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15" windowHeight="5850" firstSheet="1" activeTab="2"/>
  </bookViews>
  <sheets>
    <sheet name="AER only" sheetId="6" state="veryHidden" r:id="rId1"/>
    <sheet name="Business &amp; other details" sheetId="7" r:id="rId2"/>
    <sheet name=" EBSS" sheetId="3" r:id="rId3"/>
  </sheets>
  <definedNames>
    <definedName name="anscount" hidden="1">1</definedName>
    <definedName name="CRCP_span" localSheetId="2">CONCATENATE(CRCP_y1, " to ",CRCP_y5)</definedName>
    <definedName name="CRCP_span">CONCATENATE(CRCP_y1, " to ",CRCP_y5)</definedName>
    <definedName name="CRCP_y1">'Business &amp; other details'!$C$39</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Y">'Business &amp; other details'!$C$48</definedName>
    <definedName name="CRY_calendar">'AER only'!$R$133:$R$152</definedName>
    <definedName name="CRY_financial">'AER only'!$P$133:$P$152</definedName>
    <definedName name="dms_0203_ProjectType">'AER only'!$N$57:$N$64</definedName>
    <definedName name="dms_020301_ProjectType_List">'AER only'!$F$94:$F$97</definedName>
    <definedName name="dms_020302_ProjectType_List">'AER only'!$G$94:$G$106</definedName>
    <definedName name="dms_020303_01_UOM">'AER only'!$O$57:$O$63</definedName>
    <definedName name="dms_020501_01_UOM">'AER only'!$P$57:$P$69</definedName>
    <definedName name="dms_020501_02_UOM">'AER only'!$Q$57:$Q$65</definedName>
    <definedName name="dms_020501_03_UOM">'AER only'!$R$57:$R$66</definedName>
    <definedName name="dms_020501_04_UOM">'AER only'!$S$57:$S$65</definedName>
    <definedName name="dms_020603_01_UOM">'AER only'!$T$57:$T$61</definedName>
    <definedName name="dms_020701_01_Rows">'AER only'!$W$57:$W$62</definedName>
    <definedName name="dms_020701_01_UOM">'AER only'!$U$57:$U$62</definedName>
    <definedName name="dms_020701_02_UOM">'AER only'!$V$57:$V$62</definedName>
    <definedName name="dms_030601_01_UOM">'AER only'!$Z$57:$Z$60</definedName>
    <definedName name="dms_030601_02_UOM">'AER only'!$AA$57:$AA$60</definedName>
    <definedName name="dms_030605_UOM">'AER only'!$AE$57:$AE$70</definedName>
    <definedName name="dms_03060703_UOM">'AER only'!$AF$57:$AF$61</definedName>
    <definedName name="dms_030701_01_UOM">'AER only'!$AB$57:$AB$59</definedName>
    <definedName name="dms_030702_01_UOM">'AER only'!$AC$57:$AC$70</definedName>
    <definedName name="dms_030703_01_UOM">'AER only'!$AD$57</definedName>
    <definedName name="dms_040102_01_UOM">'AER only'!$X$57:$X$60</definedName>
    <definedName name="dms_040102_04_UOM">'AER only'!$Y$57:$Y$60</definedName>
    <definedName name="dms_0502_Inst_Year">'Business &amp; other details'!$C$96</definedName>
    <definedName name="dms_060101_Rows">'AER only'!$C$185</definedName>
    <definedName name="dms_060101_StartDateTxt" localSheetId="1">'Business &amp; other details'!$C$118</definedName>
    <definedName name="dms_060101_StartDateTxt">'AER only'!$E$185</definedName>
    <definedName name="dms_060101_StartDateVal">'Business &amp; other details'!$C$119</definedName>
    <definedName name="dms_060102_Rows">'AER only'!$D$185</definedName>
    <definedName name="dms_0603_FeederList">'AER only'!$I$189:$M$189</definedName>
    <definedName name="dms_060301_Avg_Duration_Sustained_Int_Row">'AER only'!$D$179</definedName>
    <definedName name="dms_060301_checkvalue">'Business &amp; other details'!$C$102</definedName>
    <definedName name="dms_060301_CustNo_Affected_Row">'AER only'!$C$179</definedName>
    <definedName name="dms_060301_Effect_unplanned_SAIDI_Row">'AER only'!$E$179</definedName>
    <definedName name="dms_060301_Effect_unplanned_SAIFI_Row">'AER only'!$F$179</definedName>
    <definedName name="dms_060301_LastRow">'Business &amp; other details'!$C$104</definedName>
    <definedName name="dms_060301_MaxRows">'Business &amp; other details'!$C$105</definedName>
    <definedName name="dms_060701_ARR_MaxRows">'Business &amp; other details'!$C$112</definedName>
    <definedName name="dms_060701_Feeder_Header_Lvl4">'AER only'!$C$192:$N$192</definedName>
    <definedName name="dms_060701_MaxCols">'Business &amp; other details'!$C$115</definedName>
    <definedName name="dms_060701_MaxRows">'Business &amp; other details'!$C$113</definedName>
    <definedName name="dms_060701_OffsetRows">'Business &amp; other details'!$C$116</definedName>
    <definedName name="dms_060701_Reset_MaxRows">'Business &amp; other details'!$C$111</definedName>
    <definedName name="dms_060701_Rows">'AER only'!$C$194:$N$194</definedName>
    <definedName name="dms_060701_StartDateTxt">'Business &amp; other details'!$C$118</definedName>
    <definedName name="dms_060701_StartDateVal">'Business &amp; other details'!$C$119</definedName>
    <definedName name="dms_0608_LastRow">'Business &amp; other details'!$C$124</definedName>
    <definedName name="dms_0608_OffsetRows">'Business &amp; other details'!$C$123</definedName>
    <definedName name="dms_060801_01_Rows">'AER only'!$C$202</definedName>
    <definedName name="dms_060801_02_Rows">'AER only'!$D$202</definedName>
    <definedName name="dms_060801_03_Rows">'AER only'!$E$202</definedName>
    <definedName name="dms_060801_04_Rows">'AER only'!$F$202</definedName>
    <definedName name="dms_060801_MaxRows">'Business &amp; other details'!$C$125</definedName>
    <definedName name="dms_070904_01_Rows">'AER only'!$C$208:$D$208</definedName>
    <definedName name="dms_070904_Start_Year">'Business &amp; other details'!$C$128</definedName>
    <definedName name="dms_663">'Business &amp; other details'!$C$106</definedName>
    <definedName name="dms_663_List">'AER only'!$M$11:$M$51</definedName>
    <definedName name="dms_ABN">'Business &amp; other details'!$C$15</definedName>
    <definedName name="dms_ABN_List">'AER only'!$D$11:$D$51</definedName>
    <definedName name="dms_Addr1">'Business &amp; other details'!$E$18</definedName>
    <definedName name="dms_Addr1_List">'AER only'!$O$11:$O$51</definedName>
    <definedName name="dms_Addr2">'Business &amp; other details'!$E$19</definedName>
    <definedName name="dms_Addr2_List">'AER only'!$P$11:$P$51</definedName>
    <definedName name="dms_AmendmentReason">'Business &amp; other details'!$C$60</definedName>
    <definedName name="dms_ARR">'Business &amp; other details'!$C$79</definedName>
    <definedName name="dms_CA">'Business &amp; other details'!$C$78</definedName>
    <definedName name="dms_Calendar_Years">'AER only'!$M$133:$M$163</definedName>
    <definedName name="dms_CalYears">'AER only'!$S$133:$S$152</definedName>
    <definedName name="dms_CBD_flag">'AER only'!$AB$11:$AB$51</definedName>
    <definedName name="dms_CBD_flag_NSP">'Business &amp; other details'!$C$134</definedName>
    <definedName name="dms_CFinalYear_List">'AER only'!$E$133:$E$147</definedName>
    <definedName name="dms_Classification">'Business &amp; other details'!$C$69</definedName>
    <definedName name="dms_ContactEmail">'Business &amp; other details'!$C$31</definedName>
    <definedName name="dms_ContactEmail_List">'AER only'!$AA$11:$AA$51</definedName>
    <definedName name="dms_ContactEmail2">'Business &amp; other details'!$F$31</definedName>
    <definedName name="dms_ContactName1">'Business &amp; other details'!$C$29</definedName>
    <definedName name="dms_ContactName1_List">'AER only'!$Y$11:$Y$51</definedName>
    <definedName name="dms_ContactName2">'Business &amp; other details'!$F$29</definedName>
    <definedName name="dms_ContactPh1">'Business &amp; other details'!$C$30</definedName>
    <definedName name="dms_ContactPh1_List">'AER only'!$Z$11:$Z$51</definedName>
    <definedName name="dms_ContactPh2">'Business &amp; other details'!$F$30</definedName>
    <definedName name="dms_crcp_cy1">'AER only'!$H$151</definedName>
    <definedName name="dms_crcp_cy10">'AER only'!$H$160</definedName>
    <definedName name="dms_crcp_cy11">'AER only'!$H$161</definedName>
    <definedName name="dms_crcp_cy12">'AER only'!$H$162</definedName>
    <definedName name="dms_crcp_cy13">'AER only'!$H$163</definedName>
    <definedName name="dms_crcp_cy14">'AER only'!$H$164</definedName>
    <definedName name="dms_crcp_cy15">'AER only'!$H$165</definedName>
    <definedName name="dms_crcp_cy2">'AER only'!$H$152</definedName>
    <definedName name="dms_crcp_cy3">'AER only'!$H$153</definedName>
    <definedName name="dms_crcp_cy4">'AER only'!$H$154</definedName>
    <definedName name="dms_crcp_cy5">'AER only'!$H$155</definedName>
    <definedName name="dms_crcp_cy6">'AER only'!$H$156</definedName>
    <definedName name="dms_crcp_cy7">'AER only'!$H$157</definedName>
    <definedName name="dms_crcp_cy8">'AER only'!$H$158</definedName>
    <definedName name="dms_crcp_cy9">'AER only'!$H$159</definedName>
    <definedName name="dms_CRCP_FinalYear_Ref">'Business &amp; other details'!$C$87</definedName>
    <definedName name="dms_CRCP_FinalYear_Result">'Business &amp; other details'!$C$89</definedName>
    <definedName name="dms_CRCP_FirstYear_Result">'Business &amp; other details'!$C$88</definedName>
    <definedName name="dms_CRCP_index">'AER only'!$J$133:$J$147</definedName>
    <definedName name="dms_CRCP_years">'AER only'!$H$133:$H$147</definedName>
    <definedName name="dms_CRCP_yL">'AER only'!$H$147</definedName>
    <definedName name="dms_CRCP_yM">'AER only'!$H$146</definedName>
    <definedName name="dms_CRCP_yN">'AER only'!$H$145</definedName>
    <definedName name="dms_CRCP_yO">'AER only'!$H$144</definedName>
    <definedName name="dms_CRCP_yP">'AER only'!$H$143</definedName>
    <definedName name="dms_CRCP_yQ">'AER only'!$H$142</definedName>
    <definedName name="dms_CRCP_yR">'AER only'!$H$141</definedName>
    <definedName name="dms_CRCP_yS">'AER only'!$H$140</definedName>
    <definedName name="dms_CRCP_yT">'AER only'!$H$139</definedName>
    <definedName name="dms_CRCP_yU">'AER only'!$H$138</definedName>
    <definedName name="dms_CRCP_yV">'AER only'!$H$137</definedName>
    <definedName name="dms_CRCP_yW">'AER only'!$H$136</definedName>
    <definedName name="dms_CRCP_yX">'AER only'!$H$135</definedName>
    <definedName name="dms_CRCP_yY">'AER only'!$H$134</definedName>
    <definedName name="dms_CRCP_yZ">'AER only'!$H$133</definedName>
    <definedName name="dms_CRCPlength_List">'AER only'!$K$11:$K$51</definedName>
    <definedName name="dms_CRCPlength_Num">'Business &amp; other details'!$C$86</definedName>
    <definedName name="dms_CRCPlength_Num_List">'AER only'!$D$133:$D$147</definedName>
    <definedName name="dms_CRY_ListC">'AER only'!$D$151:$D$170</definedName>
    <definedName name="dms_CRY_ListF">'AER only'!$C$151:$C$170</definedName>
    <definedName name="dms_CRYc_y1">'AER only'!$R$133</definedName>
    <definedName name="dms_CRYc_y10">'AER only'!$R$142</definedName>
    <definedName name="dms_CRYc_y11">'AER only'!$R$143</definedName>
    <definedName name="dms_CRYc_y12">'AER only'!$R$144</definedName>
    <definedName name="dms_CRYc_y13">'AER only'!$R$145</definedName>
    <definedName name="dms_CRYc_y14">'AER only'!$R$146</definedName>
    <definedName name="dms_CRYc_y15">'AER only'!$R$147</definedName>
    <definedName name="dms_CRYc_y16">'AER only'!$R$148</definedName>
    <definedName name="dms_CRYc_y17">'AER only'!$R$149</definedName>
    <definedName name="dms_CRYc_y18">'AER only'!$R$150</definedName>
    <definedName name="dms_CRYc_y19">'AER only'!$R$151</definedName>
    <definedName name="dms_CRYc_y2">'AER only'!$R$134</definedName>
    <definedName name="dms_CRYc_y20">'AER only'!$R$152</definedName>
    <definedName name="dms_CRYc_y3">'AER only'!$R$135</definedName>
    <definedName name="dms_CRYc_y4">'AER only'!$R$136</definedName>
    <definedName name="dms_CRYc_y5">'AER only'!$R$137</definedName>
    <definedName name="dms_CRYc_y6">'AER only'!$R$138</definedName>
    <definedName name="dms_CRYc_y7">'AER only'!$R$139</definedName>
    <definedName name="dms_CRYc_y8">'AER only'!$R$140</definedName>
    <definedName name="dms_CRYc_y9">'AER only'!$R$141</definedName>
    <definedName name="dms_CRYf_y1">'AER only'!$P$133</definedName>
    <definedName name="dms_CRYf_y10">'AER only'!$P$142</definedName>
    <definedName name="dms_CRYf_y11">'AER only'!$P$143</definedName>
    <definedName name="dms_CRYf_y12">'AER only'!$P$144</definedName>
    <definedName name="dms_CRYf_y13">'AER only'!$P$145</definedName>
    <definedName name="dms_CRYf_y14">'AER only'!$P$146</definedName>
    <definedName name="dms_CRYf_y15">'AER only'!$P$147</definedName>
    <definedName name="dms_CRYf_y16">'AER only'!$P$148</definedName>
    <definedName name="dms_CRYf_y17">'AER only'!$P$149</definedName>
    <definedName name="dms_CRYf_y18">'AER only'!$P$150</definedName>
    <definedName name="dms_CRYf_y19">'AER only'!$P$151</definedName>
    <definedName name="dms_CRYf_y2">'AER only'!$P$134</definedName>
    <definedName name="dms_CRYf_y20">'AER only'!$P$152</definedName>
    <definedName name="dms_CRYf_y3">'AER only'!$P$135</definedName>
    <definedName name="dms_CRYf_y4">'AER only'!$P$136</definedName>
    <definedName name="dms_CRYf_y5">'AER only'!$P$137</definedName>
    <definedName name="dms_CRYf_y6">'AER only'!$P$138</definedName>
    <definedName name="dms_CRYf_y7">'AER only'!$P$139</definedName>
    <definedName name="dms_CRYf_y8">'AER only'!$P$140</definedName>
    <definedName name="dms_CRYf_y9">'AER only'!$P$141</definedName>
    <definedName name="dms_cy1">'AER only'!$D$151</definedName>
    <definedName name="dms_cy10">'AER only'!$D$160</definedName>
    <definedName name="dms_cy11">'AER only'!$D$161</definedName>
    <definedName name="dms_cy12">'AER only'!$D$162</definedName>
    <definedName name="dms_cy13">'AER only'!$D$163</definedName>
    <definedName name="dms_cy14">'AER only'!$D$164</definedName>
    <definedName name="dms_cy15">'AER only'!$D$165</definedName>
    <definedName name="dms_cy16">'AER only'!$D$166</definedName>
    <definedName name="dms_cy17">'AER only'!$D$167</definedName>
    <definedName name="dms_cy18">'AER only'!$D$168</definedName>
    <definedName name="dms_cy19">'AER only'!$D$169</definedName>
    <definedName name="dms_cy2">'AER only'!$D$152</definedName>
    <definedName name="dms_cy20">'AER only'!$D$170</definedName>
    <definedName name="dms_cy3">'AER only'!$D$153</definedName>
    <definedName name="dms_cy4">'AER only'!$D$154</definedName>
    <definedName name="dms_cy5">'AER only'!$D$155</definedName>
    <definedName name="dms_cy6">'AER only'!$D$156</definedName>
    <definedName name="dms_cy7">'AER only'!$D$157</definedName>
    <definedName name="dms_cy8">'AER only'!$D$158</definedName>
    <definedName name="dms_cy9">'AER only'!$D$159</definedName>
    <definedName name="dms_DataQuality">'Business &amp; other details'!$C$59</definedName>
    <definedName name="dms_DataQuality_List">'AER only'!$B$67:$B$71</definedName>
    <definedName name="dms_Defined_Names_Used">'Business &amp; other details'!$C$143</definedName>
    <definedName name="dms_DeterminationRef">'Business &amp; other details'!$C$132</definedName>
    <definedName name="dms_DeterminationRef_List">'AER only'!$N$11:$N$51</definedName>
    <definedName name="dms_DISCARD">'Business &amp; other details'!$C$141</definedName>
    <definedName name="dms_dollar_nom_UOM">'Business &amp; other details'!$C$68</definedName>
    <definedName name="dms_DollarReal">'Business &amp; other details'!$C$74</definedName>
    <definedName name="dms_DollarReal_Prev">'Business &amp; other details'!$C$75</definedName>
    <definedName name="dms_EB">'Business &amp; other details'!$C$77</definedName>
    <definedName name="dms_EBSS_status">'Business &amp; other details'!$C$62</definedName>
    <definedName name="dms_FeederName_1">'AER only'!$AH$11:$AH$51</definedName>
    <definedName name="dms_FeederName_2">'AER only'!$AI$11:$AI$51</definedName>
    <definedName name="dms_FeederName_3">'AER only'!$AJ$11:$AJ$51</definedName>
    <definedName name="dms_FeederName_4">'AER only'!$AK$11:$AK$51</definedName>
    <definedName name="dms_FeederName_5">'AER only'!$AL$11:$AL$51</definedName>
    <definedName name="dms_FeederType_5_flag">'AER only'!$AF$11:$AF$51</definedName>
    <definedName name="dms_FifthFeeder_flag_NSP">'Business &amp; other details'!$C$138</definedName>
    <definedName name="dms_FinalYear_List">'AER only'!$C$133:$C$147</definedName>
    <definedName name="dms_Financial_Years">'AER only'!$L$133:$L$163</definedName>
    <definedName name="dms_FinYears">'AER only'!$Q$133:$Q$152</definedName>
    <definedName name="dms_FormControl">'Business &amp; other details'!$C$91</definedName>
    <definedName name="dms_FormControl_Choices">'AER only'!$C$75:$C$77</definedName>
    <definedName name="dms_FormControl_List">'AER only'!$H$11:$H$51</definedName>
    <definedName name="dms_FRCP_cyear_list">'AER only'!$I$151:$I$165</definedName>
    <definedName name="dms_frcp_fy1">'AER only'!$G$151</definedName>
    <definedName name="dms_frcp_fy10">'AER only'!$G$160</definedName>
    <definedName name="dms_frcp_fy11">'AER only'!$G$161</definedName>
    <definedName name="dms_frcp_fy12">'AER only'!$G$162</definedName>
    <definedName name="dms_frcp_fy13">'AER only'!$G$163</definedName>
    <definedName name="dms_frcp_fy14">'AER only'!$G$164</definedName>
    <definedName name="dms_frcp_fy15">'AER only'!$G$165</definedName>
    <definedName name="dms_frcp_fy2">'AER only'!$G$152</definedName>
    <definedName name="dms_frcp_fy3">'AER only'!$G$153</definedName>
    <definedName name="dms_frcp_fy4">'AER only'!$G$154</definedName>
    <definedName name="dms_frcp_fy5">'AER only'!$G$155</definedName>
    <definedName name="dms_frcp_fy6">'AER only'!$G$156</definedName>
    <definedName name="dms_frcp_fy7">'AER only'!$G$157</definedName>
    <definedName name="dms_frcp_fy8">'AER only'!$G$158</definedName>
    <definedName name="dms_frcp_fy9">'AER only'!$G$159</definedName>
    <definedName name="dms_FRCP_fyear_list">'AER only'!$F$151:$F$165</definedName>
    <definedName name="dms_FRCP_ListC">'AER only'!$H$151:$H$165</definedName>
    <definedName name="dms_FRCP_ListF">'AER only'!$G$151:$G$165</definedName>
    <definedName name="dms_FRCP_y1">'AER only'!$F$133</definedName>
    <definedName name="dms_FRCP_y10">'AER only'!$F$142</definedName>
    <definedName name="dms_FRCP_y11">'AER only'!$F$143</definedName>
    <definedName name="dms_FRCP_y12">'AER only'!$F$144</definedName>
    <definedName name="dms_FRCP_y13">'AER only'!$F$145</definedName>
    <definedName name="dms_FRCP_y14">'AER only'!$F$146</definedName>
    <definedName name="dms_FRCP_y15">'AER only'!$F$147</definedName>
    <definedName name="dms_FRCP_y2">'AER only'!$F$134</definedName>
    <definedName name="dms_FRCP_y3">'AER only'!$F$135</definedName>
    <definedName name="dms_FRCP_y4">'AER only'!$F$136</definedName>
    <definedName name="dms_FRCP_y5">'AER only'!$F$137</definedName>
    <definedName name="dms_FRCP_y6">'AER only'!$F$138</definedName>
    <definedName name="dms_FRCP_y7">'AER only'!$F$139</definedName>
    <definedName name="dms_FRCP_y8">'AER only'!$F$140</definedName>
    <definedName name="dms_FRCP_y9">'AER only'!$F$141</definedName>
    <definedName name="dms_FRCP_years">'AER only'!$F$133:$F$147</definedName>
    <definedName name="dms_FRCPlength_List">'AER only'!$L$11:$L$51</definedName>
    <definedName name="dms_FRCPlength_Num">'Business &amp; other details'!$C$83</definedName>
    <definedName name="dms_FRCPlength_Num_List">'AER only'!$B$133:$B$147</definedName>
    <definedName name="dms_fy1">'AER only'!$C$151</definedName>
    <definedName name="dms_fy10">'AER only'!$C$160</definedName>
    <definedName name="dms_fy11">'AER only'!$C$161</definedName>
    <definedName name="dms_fy12">'AER only'!$C$162</definedName>
    <definedName name="dms_fy13">'AER only'!$C$163</definedName>
    <definedName name="dms_fy14">'AER only'!$C$164</definedName>
    <definedName name="dms_fy15">'AER only'!$C$165</definedName>
    <definedName name="dms_fy16">'AER only'!$C$166</definedName>
    <definedName name="dms_fy17">'AER only'!$C$167</definedName>
    <definedName name="dms_fy18">'AER only'!$C$168</definedName>
    <definedName name="dms_fy19">'AER only'!$C$169</definedName>
    <definedName name="dms_fy2">'AER only'!$C$152</definedName>
    <definedName name="dms_fy20">'AER only'!$C$170</definedName>
    <definedName name="dms_fy3">'AER only'!$C$153</definedName>
    <definedName name="dms_fy4">'AER only'!$C$154</definedName>
    <definedName name="dms_fy5">'AER only'!$C$155</definedName>
    <definedName name="dms_fy6">'AER only'!$C$156</definedName>
    <definedName name="dms_fy7">'AER only'!$C$157</definedName>
    <definedName name="dms_fy8">'AER only'!$C$158</definedName>
    <definedName name="dms_fy9">'AER only'!$C$159</definedName>
    <definedName name="dms_Jurisdiction">'Business &amp; other details'!$C$70</definedName>
    <definedName name="dms_JurisdictionList">'AER only'!$E$11:$E$51</definedName>
    <definedName name="dms_LeapYear_Result">'Business &amp; other details'!$C$110</definedName>
    <definedName name="dms_LongRural_flag">'AER only'!$AE$11:$AE$51</definedName>
    <definedName name="dms_LongRural_flag_NSP">'Business &amp; other details'!$C$137</definedName>
    <definedName name="dms_MAIFI_flag_List">'AER only'!$AG$11:$AG$51</definedName>
    <definedName name="dms_Model">'Business &amp; other details'!$C$67</definedName>
    <definedName name="dms_Model_List">'AER only'!$B$57:$B$64</definedName>
    <definedName name="dms_Multi_RYE_flag">'Business &amp; other details'!$C$146</definedName>
    <definedName name="dms_MultiYear_FinalYear_Ref">'Business &amp; other details'!$C$84</definedName>
    <definedName name="dms_MultiYear_FinalYear_Result">'Business &amp; other details'!$C$85</definedName>
    <definedName name="dms_MultiYear_Flag">'Business &amp; other details'!$C$94</definedName>
    <definedName name="dms_MultiYear_ResponseFlag">'Business &amp; other details'!$C$93</definedName>
    <definedName name="dms_PAddr1">'Business &amp; other details'!$E$23</definedName>
    <definedName name="dms_PAddr1_List">'AER only'!$T$11:$T$51</definedName>
    <definedName name="dms_PAddr2">'Business &amp; other details'!$E$24</definedName>
    <definedName name="dms_PAddr2_List">'AER only'!$U$11:$U$51</definedName>
    <definedName name="dms_Partial">'Business &amp; other details'!$C$130</definedName>
    <definedName name="dms_PostCode">'Business &amp; other details'!$G$21</definedName>
    <definedName name="dms_PostCode_List">'AER only'!$S$11:$S$51</definedName>
    <definedName name="dms_PPostCode">'Business &amp; other details'!$G$26</definedName>
    <definedName name="dms_PPostCode_List">'AER only'!$X$11:$X$51</definedName>
    <definedName name="dms_PRCP_BaseYear">' EBSS'!$C$24</definedName>
    <definedName name="dms_PRCPlength_Num">'Business &amp; other details'!$C$85</definedName>
    <definedName name="dms_PState">'Business &amp; other details'!$E$26</definedName>
    <definedName name="dms_PState_List">'AER only'!$W$11:$W$51</definedName>
    <definedName name="dms_PSuburb">'Business &amp; other details'!$E$25</definedName>
    <definedName name="dms_PSuburb_List">'AER only'!$V$11:$V$51</definedName>
    <definedName name="dms_Public_Lighting">'Business &amp; other details'!$C$133</definedName>
    <definedName name="dms_Public_Lighting_List">'AER only'!$AM$11:$AM$51</definedName>
    <definedName name="dms_RCP_cyear_list">'AER only'!$E$151:$E$170</definedName>
    <definedName name="dms_RCP_fyear_list">'AER only'!$B$151:$B$170</definedName>
    <definedName name="dms_Reason_Interruption">'AER only'!$D$94:$D$109</definedName>
    <definedName name="dms_Reason_Interruption_Detailed">'AER only'!$C$94:$C$116</definedName>
    <definedName name="dms_Reg_Year_Span">'Business &amp; other details'!$B$3</definedName>
    <definedName name="dms_RPT">'Business &amp; other details'!$C$66</definedName>
    <definedName name="dms_RPT_List">'AER only'!$I$11:$I$51</definedName>
    <definedName name="dms_RPTMonth">'Business &amp; other details'!$C$73</definedName>
    <definedName name="dms_RPTMonth_List">'AER only'!$J$11:$J$51</definedName>
    <definedName name="DMS_RSwapc2">'AER only'!$O$75</definedName>
    <definedName name="dms_RYE">'Business &amp; other details'!$C$65</definedName>
    <definedName name="dms_RYE_01">'Business &amp; other details'!$C$148</definedName>
    <definedName name="dms_RYE_02">'Business &amp; other details'!$C$149</definedName>
    <definedName name="dms_RYE_03">'Business &amp; other details'!$C$150</definedName>
    <definedName name="dms_RYE_04">'Business &amp; other details'!$C$151</definedName>
    <definedName name="dms_RYE_05">'Business &amp; other details'!$C$152</definedName>
    <definedName name="dms_RYE_Formula_Result">'AER only'!$E$57:$E$64</definedName>
    <definedName name="dms_Sector">'Business &amp; other details'!$C$63</definedName>
    <definedName name="dms_Sector_List">'AER only'!$F$11:$F$51</definedName>
    <definedName name="dms_Segment">'Business &amp; other details'!$C$64</definedName>
    <definedName name="dms_Segment_List">'AER only'!$G$11:$G$51</definedName>
    <definedName name="dms_ShortRural_flag">'AER only'!$AD$11:$AD$51</definedName>
    <definedName name="dms_ShortRural_flag_NSP">'Business &amp; other details'!$C$136</definedName>
    <definedName name="dms_SingleYear_FinalYear_Ref">'Business &amp; other details'!$C$81</definedName>
    <definedName name="dms_SingleYear_FinalYear_Result">'Business &amp; other details'!$C$82</definedName>
    <definedName name="dms_SingleYear_Model">'Business &amp; other details'!$C$77:$C$79</definedName>
    <definedName name="dms_Source">'Business &amp; other details'!$C$58</definedName>
    <definedName name="dms_SourceList">'AER only'!$B$75:$B$87</definedName>
    <definedName name="dms_Specified_FinalYear">'Business &amp; other details'!$C$95</definedName>
    <definedName name="dms_State">'Business &amp; other details'!$E$21</definedName>
    <definedName name="dms_State_List">'AER only'!$R$11:$R$51</definedName>
    <definedName name="dms_STPIS_Exclusion_List">'AER only'!$E$94:$E$103</definedName>
    <definedName name="dms_SubmissionDate">'Business &amp; other details'!$C$61</definedName>
    <definedName name="dms_Suburb">'Business &amp; other details'!$E$20</definedName>
    <definedName name="dms_Suburb_List">'AER only'!$Q$11:$Q$51</definedName>
    <definedName name="dms_TradingName">'Business &amp; other details'!$C$14</definedName>
    <definedName name="dms_TradingName_List">'AER only'!$B$11:$B$51</definedName>
    <definedName name="dms_TradingNameFull">'Business &amp; other details'!$B$2</definedName>
    <definedName name="dms_TradingNameFull_List">'AER only'!$C$11:$C$51</definedName>
    <definedName name="dms_Urban_flag">'AER only'!$AC$11:$AC$51</definedName>
    <definedName name="dms_Urban_flag_NSP">'Business &amp; other details'!$C$135</definedName>
    <definedName name="dms_Worksheet_List">'AER only'!$C$57:$C$64</definedName>
    <definedName name="DMS_Xfactor">'AER only'!$O$75</definedName>
    <definedName name="dms_y1">'AER only'!$C$151</definedName>
    <definedName name="dms_y10">'AER only'!$C$160</definedName>
    <definedName name="dms_y11">'AER only'!$C$161</definedName>
    <definedName name="dms_y12">'AER only'!$C$162</definedName>
    <definedName name="dms_y13">'AER only'!$C$163</definedName>
    <definedName name="dms_y14">'AER only'!$C$164</definedName>
    <definedName name="dms_y15">'AER only'!$C$165</definedName>
    <definedName name="dms_y16">'AER only'!$C$166</definedName>
    <definedName name="dms_y17">'AER only'!$C$167</definedName>
    <definedName name="dms_y18">'AER only'!$C$168</definedName>
    <definedName name="dms_y19">'AER only'!$C$169</definedName>
    <definedName name="dms_y2">'AER only'!$C$152</definedName>
    <definedName name="dms_y20">'AER only'!$C$170</definedName>
    <definedName name="dms_y3">'AER only'!$C$153</definedName>
    <definedName name="dms_y4">'AER only'!$C$154</definedName>
    <definedName name="dms_y5">'AER only'!$C$155</definedName>
    <definedName name="dms_y6">'AER only'!$C$156</definedName>
    <definedName name="dms_y7">'AER only'!$C$157</definedName>
    <definedName name="dms_y8">'AER only'!$C$158</definedName>
    <definedName name="dms_y9">'AER only'!$C$159</definedName>
    <definedName name="FRCP_1to5">"2015-16 to 2019-20"</definedName>
    <definedName name="FRCP_span" localSheetId="2">CONCATENATE(FRCP_y1, " to ", [0]!FRCP_y5)</definedName>
    <definedName name="FRCP_span">CONCATENATE(FRCP_y1, " to ", FRCP_y5)</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Y">'Business &amp; other details'!$C$50</definedName>
    <definedName name="MAIFI_flag">'AER only'!$AG$9</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RCP_1to5">"2015-16 to 2019-20"</definedName>
    <definedName name="Reason_for_interruption">'AER only'!$B$94:$B$123</definedName>
    <definedName name="SheetHeader">'Business &amp; other details'!$B$1</definedName>
    <definedName name="Years">'Business &amp; other details'!$C$39:$H$39</definedName>
  </definedNames>
  <calcPr calcId="162913"/>
</workbook>
</file>

<file path=xl/calcChain.xml><?xml version="1.0" encoding="utf-8"?>
<calcChain xmlns="http://schemas.openxmlformats.org/spreadsheetml/2006/main">
  <c r="N16" i="3" l="1"/>
  <c r="B46" i="3" l="1"/>
  <c r="N17" i="3" l="1"/>
  <c r="M18" i="3" s="1"/>
  <c r="M17" i="3"/>
  <c r="G17" i="3"/>
  <c r="H17" i="3"/>
  <c r="I17" i="3"/>
  <c r="J17" i="3"/>
  <c r="K17" i="3"/>
  <c r="L17" i="3"/>
  <c r="F17" i="3"/>
  <c r="E17" i="3"/>
  <c r="H51" i="3"/>
  <c r="L18" i="3" l="1"/>
  <c r="S48" i="3"/>
  <c r="S43" i="3"/>
  <c r="S46" i="3"/>
  <c r="S49" i="3"/>
  <c r="S47" i="3"/>
  <c r="S50" i="3"/>
  <c r="S45" i="3"/>
  <c r="K18" i="3" l="1"/>
  <c r="R49" i="3"/>
  <c r="R45" i="3"/>
  <c r="R46" i="3"/>
  <c r="R48" i="3"/>
  <c r="R43" i="3"/>
  <c r="R47" i="3"/>
  <c r="R50" i="3"/>
  <c r="J18" i="3" l="1"/>
  <c r="Q50" i="3"/>
  <c r="Q46" i="3"/>
  <c r="Q48" i="3"/>
  <c r="Q43" i="3"/>
  <c r="Q49" i="3"/>
  <c r="Q45" i="3"/>
  <c r="Q47" i="3"/>
  <c r="N42" i="3"/>
  <c r="N28" i="3"/>
  <c r="I18" i="3" l="1"/>
  <c r="P47" i="3"/>
  <c r="P45" i="3"/>
  <c r="P48" i="3"/>
  <c r="P50" i="3"/>
  <c r="P46" i="3"/>
  <c r="P49" i="3"/>
  <c r="P43" i="3"/>
  <c r="D51" i="3"/>
  <c r="E51" i="3"/>
  <c r="F51" i="3"/>
  <c r="D37" i="3"/>
  <c r="E37" i="3"/>
  <c r="F37" i="3"/>
  <c r="H18" i="3" l="1"/>
  <c r="G18" i="3" s="1"/>
  <c r="F18" i="3" s="1"/>
  <c r="E18" i="3" s="1"/>
  <c r="D18" i="3" s="1"/>
  <c r="O48" i="3"/>
  <c r="O43" i="3"/>
  <c r="O50" i="3"/>
  <c r="O45" i="3"/>
  <c r="O47" i="3"/>
  <c r="O46" i="3"/>
  <c r="O49" i="3"/>
  <c r="C138" i="7"/>
  <c r="C131" i="6" s="1"/>
  <c r="C137" i="7"/>
  <c r="C136" i="7"/>
  <c r="C135" i="7"/>
  <c r="C134" i="7"/>
  <c r="C133" i="7"/>
  <c r="C132" i="7"/>
  <c r="C86" i="7"/>
  <c r="C87" i="7" s="1"/>
  <c r="C66" i="7"/>
  <c r="F134" i="6" s="1"/>
  <c r="F135" i="6" s="1"/>
  <c r="F133" i="6"/>
  <c r="C125" i="7"/>
  <c r="C77" i="7"/>
  <c r="C78" i="7"/>
  <c r="C79" i="7"/>
  <c r="C116" i="7"/>
  <c r="C114" i="7"/>
  <c r="C110" i="7"/>
  <c r="C112" i="7" s="1"/>
  <c r="C109" i="7"/>
  <c r="C106" i="7"/>
  <c r="C105" i="7"/>
  <c r="C104" i="7"/>
  <c r="C102" i="7"/>
  <c r="C103" i="7" s="1"/>
  <c r="C101" i="7"/>
  <c r="C94" i="7"/>
  <c r="C96" i="7" s="1"/>
  <c r="C91" i="7"/>
  <c r="C83" i="7"/>
  <c r="C84" i="7" s="1"/>
  <c r="C73" i="7"/>
  <c r="C70" i="7"/>
  <c r="C64" i="7"/>
  <c r="C63" i="7"/>
  <c r="G26" i="7"/>
  <c r="E26" i="7"/>
  <c r="E25" i="7"/>
  <c r="E24" i="7"/>
  <c r="E23" i="7"/>
  <c r="G21" i="7"/>
  <c r="E21" i="7"/>
  <c r="E20" i="7"/>
  <c r="E19" i="7"/>
  <c r="C15" i="7"/>
  <c r="B2" i="7"/>
  <c r="B1" i="7"/>
  <c r="L192" i="6"/>
  <c r="K192" i="6"/>
  <c r="J192" i="6"/>
  <c r="I192" i="6"/>
  <c r="H192" i="6"/>
  <c r="G192" i="6"/>
  <c r="F192" i="6"/>
  <c r="E192" i="6"/>
  <c r="D192" i="6"/>
  <c r="C192" i="6"/>
  <c r="L189" i="6"/>
  <c r="K189" i="6"/>
  <c r="J189" i="6"/>
  <c r="I189" i="6"/>
  <c r="R133" i="6"/>
  <c r="R134" i="6" s="1"/>
  <c r="R135" i="6" s="1"/>
  <c r="R136" i="6" s="1"/>
  <c r="R137" i="6" s="1"/>
  <c r="R138" i="6" s="1"/>
  <c r="R139" i="6" s="1"/>
  <c r="R140" i="6" s="1"/>
  <c r="R141" i="6" s="1"/>
  <c r="R142" i="6" s="1"/>
  <c r="R143" i="6" s="1"/>
  <c r="R144" i="6" s="1"/>
  <c r="R145" i="6" s="1"/>
  <c r="R146" i="6" s="1"/>
  <c r="R147" i="6" s="1"/>
  <c r="R148" i="6" s="1"/>
  <c r="R149" i="6" s="1"/>
  <c r="R150" i="6" s="1"/>
  <c r="R151" i="6" s="1"/>
  <c r="R152" i="6" s="1"/>
  <c r="P133" i="6"/>
  <c r="P134" i="6" s="1"/>
  <c r="P135" i="6" s="1"/>
  <c r="P136" i="6" s="1"/>
  <c r="P137" i="6" s="1"/>
  <c r="P138" i="6" s="1"/>
  <c r="P139" i="6" s="1"/>
  <c r="P140" i="6" s="1"/>
  <c r="P141" i="6" s="1"/>
  <c r="P142" i="6" s="1"/>
  <c r="P143" i="6" s="1"/>
  <c r="P144" i="6" s="1"/>
  <c r="P145" i="6" s="1"/>
  <c r="P146" i="6" s="1"/>
  <c r="P147" i="6" s="1"/>
  <c r="P148" i="6" s="1"/>
  <c r="P149" i="6" s="1"/>
  <c r="P150" i="6" s="1"/>
  <c r="P151" i="6" s="1"/>
  <c r="P152" i="6" s="1"/>
  <c r="C151" i="6"/>
  <c r="O133" i="6"/>
  <c r="B7" i="3"/>
  <c r="C37" i="3"/>
  <c r="G37" i="3"/>
  <c r="C51" i="3"/>
  <c r="G51" i="3"/>
  <c r="I51" i="3"/>
  <c r="J51" i="3"/>
  <c r="I37" i="3"/>
  <c r="J37" i="3"/>
  <c r="K37" i="3"/>
  <c r="L37" i="3"/>
  <c r="H37" i="3"/>
  <c r="V47" i="3"/>
  <c r="U61" i="3"/>
  <c r="B47" i="3"/>
  <c r="B45" i="3"/>
  <c r="B2" i="3"/>
  <c r="C115" i="7" l="1"/>
  <c r="C80" i="7"/>
  <c r="H133" i="6"/>
  <c r="H134" i="6" s="1"/>
  <c r="H135" i="6" s="1"/>
  <c r="H136" i="6" s="1"/>
  <c r="H137" i="6" s="1"/>
  <c r="H138" i="6" s="1"/>
  <c r="H139" i="6" s="1"/>
  <c r="H140" i="6" s="1"/>
  <c r="H141" i="6" s="1"/>
  <c r="C152" i="6"/>
  <c r="C153" i="6" s="1"/>
  <c r="C154" i="6" s="1"/>
  <c r="C155" i="6" s="1"/>
  <c r="C156" i="6" s="1"/>
  <c r="C157" i="6" s="1"/>
  <c r="C158" i="6" s="1"/>
  <c r="C159" i="6" s="1"/>
  <c r="C160" i="6" s="1"/>
  <c r="C161" i="6" s="1"/>
  <c r="C162" i="6" s="1"/>
  <c r="C163" i="6" s="1"/>
  <c r="C164" i="6" s="1"/>
  <c r="C165" i="6" s="1"/>
  <c r="C166" i="6" s="1"/>
  <c r="C167" i="6" s="1"/>
  <c r="C168" i="6" s="1"/>
  <c r="C169" i="6" s="1"/>
  <c r="C170" i="6" s="1"/>
  <c r="C89" i="7"/>
  <c r="E63" i="6" s="1"/>
  <c r="F136" i="6"/>
  <c r="E35" i="7"/>
  <c r="D35" i="7"/>
  <c r="C82" i="7"/>
  <c r="C98" i="7" s="1"/>
  <c r="C95" i="7"/>
  <c r="C111" i="7"/>
  <c r="C113" i="7" s="1"/>
  <c r="C74" i="7" l="1"/>
  <c r="H142" i="6"/>
  <c r="H143" i="6" s="1"/>
  <c r="H144" i="6" s="1"/>
  <c r="H145" i="6" s="1"/>
  <c r="H146" i="6" s="1"/>
  <c r="H147" i="6" s="1"/>
  <c r="C88" i="7"/>
  <c r="E57" i="6"/>
  <c r="N40" i="3"/>
  <c r="P60" i="3"/>
  <c r="N69" i="3"/>
  <c r="N55" i="3"/>
  <c r="N26" i="3"/>
  <c r="N67" i="3"/>
  <c r="C72" i="7"/>
  <c r="E60" i="6"/>
  <c r="V61" i="3"/>
  <c r="E58" i="6"/>
  <c r="W61" i="3"/>
  <c r="F35" i="7"/>
  <c r="F137" i="6"/>
  <c r="C85" i="7"/>
  <c r="C39" i="7" l="1"/>
  <c r="C75" i="7"/>
  <c r="E62" i="6"/>
  <c r="C65" i="7" s="1"/>
  <c r="E61" i="6"/>
  <c r="E64" i="6"/>
  <c r="B3" i="7"/>
  <c r="F138" i="6"/>
  <c r="G35" i="7"/>
  <c r="X61" i="3"/>
  <c r="B3" i="3" l="1"/>
  <c r="R51" i="3"/>
  <c r="P61" i="3"/>
  <c r="E39" i="7"/>
  <c r="C41" i="7"/>
  <c r="J14" i="3"/>
  <c r="G44" i="7"/>
  <c r="C40" i="7"/>
  <c r="E41" i="7"/>
  <c r="H28" i="3"/>
  <c r="N62" i="3"/>
  <c r="G40" i="7"/>
  <c r="D40" i="7"/>
  <c r="P28" i="3"/>
  <c r="F39" i="7"/>
  <c r="H42" i="3"/>
  <c r="F40" i="7"/>
  <c r="D39" i="7"/>
  <c r="P42" i="3"/>
  <c r="F41" i="7"/>
  <c r="D41" i="7"/>
  <c r="G39" i="7"/>
  <c r="G41" i="7"/>
  <c r="E40" i="7"/>
  <c r="Y61" i="3"/>
  <c r="F139" i="6"/>
  <c r="C36" i="7"/>
  <c r="Q51" i="3" l="1"/>
  <c r="T28" i="3"/>
  <c r="N14" i="3"/>
  <c r="B18" i="3"/>
  <c r="T61" i="3"/>
  <c r="T42" i="3"/>
  <c r="L42" i="3"/>
  <c r="N66" i="3"/>
  <c r="L28" i="3"/>
  <c r="J28" i="3"/>
  <c r="R42" i="3"/>
  <c r="N64" i="3"/>
  <c r="J42" i="3"/>
  <c r="L14" i="3"/>
  <c r="R28" i="3"/>
  <c r="R61" i="3"/>
  <c r="Q42" i="3"/>
  <c r="Q61" i="3"/>
  <c r="I28" i="3"/>
  <c r="N63" i="3"/>
  <c r="K14" i="3"/>
  <c r="Q28" i="3"/>
  <c r="I42" i="3"/>
  <c r="S61" i="3"/>
  <c r="M14" i="3"/>
  <c r="N65" i="3"/>
  <c r="C118" i="7"/>
  <c r="S28" i="3"/>
  <c r="K42" i="3"/>
  <c r="S42" i="3"/>
  <c r="K28" i="3"/>
  <c r="G42" i="3"/>
  <c r="F44" i="7"/>
  <c r="O42" i="3"/>
  <c r="G28" i="3"/>
  <c r="O28" i="3"/>
  <c r="I14" i="3"/>
  <c r="H26" i="3"/>
  <c r="D36" i="7"/>
  <c r="F140" i="6"/>
  <c r="T31" i="3"/>
  <c r="T33" i="3"/>
  <c r="T35" i="3"/>
  <c r="P29" i="3"/>
  <c r="P32" i="3"/>
  <c r="P34" i="3"/>
  <c r="P36" i="3"/>
  <c r="Q31" i="3"/>
  <c r="Q33" i="3"/>
  <c r="Q35" i="3"/>
  <c r="R29" i="3"/>
  <c r="R32" i="3"/>
  <c r="R34" i="3"/>
  <c r="R36" i="3"/>
  <c r="S31" i="3"/>
  <c r="S33" i="3"/>
  <c r="S35" i="3"/>
  <c r="T29" i="3"/>
  <c r="T32" i="3"/>
  <c r="T34" i="3"/>
  <c r="T36" i="3"/>
  <c r="P31" i="3"/>
  <c r="P33" i="3"/>
  <c r="P35" i="3"/>
  <c r="Q29" i="3"/>
  <c r="Q32" i="3"/>
  <c r="Q34" i="3"/>
  <c r="Q36" i="3"/>
  <c r="R31" i="3"/>
  <c r="R33" i="3"/>
  <c r="R35" i="3"/>
  <c r="S29" i="3"/>
  <c r="S32" i="3"/>
  <c r="S34" i="3"/>
  <c r="S36" i="3"/>
  <c r="P51" i="3" l="1"/>
  <c r="E185" i="6"/>
  <c r="C119" i="7"/>
  <c r="H14" i="3"/>
  <c r="E44" i="7"/>
  <c r="F28" i="3"/>
  <c r="F42" i="3"/>
  <c r="F141" i="6"/>
  <c r="E36" i="7"/>
  <c r="S37" i="3"/>
  <c r="T37" i="3"/>
  <c r="O51" i="3"/>
  <c r="R37" i="3"/>
  <c r="Q37" i="3"/>
  <c r="P37" i="3"/>
  <c r="Q56" i="3" l="1"/>
  <c r="C128" i="7"/>
  <c r="G14" i="3"/>
  <c r="E28" i="3"/>
  <c r="D44" i="7"/>
  <c r="E42" i="3"/>
  <c r="F142" i="6"/>
  <c r="F36" i="7"/>
  <c r="R56" i="3"/>
  <c r="U64" i="3" s="1"/>
  <c r="O31" i="3"/>
  <c r="O33" i="3"/>
  <c r="O35" i="3"/>
  <c r="O32" i="3"/>
  <c r="O36" i="3"/>
  <c r="O29" i="3"/>
  <c r="O34" i="3"/>
  <c r="W64" i="3" l="1"/>
  <c r="S64" i="3"/>
  <c r="T64" i="3"/>
  <c r="O37" i="3"/>
  <c r="V64" i="3"/>
  <c r="D42" i="3"/>
  <c r="D28" i="3"/>
  <c r="F14" i="3"/>
  <c r="C44" i="7"/>
  <c r="F143" i="6"/>
  <c r="F144" i="6" s="1"/>
  <c r="F145" i="6" s="1"/>
  <c r="F146" i="6" s="1"/>
  <c r="F147" i="6" s="1"/>
  <c r="G36" i="7"/>
  <c r="V63" i="3"/>
  <c r="R63" i="3"/>
  <c r="S63" i="3"/>
  <c r="T63" i="3"/>
  <c r="U63" i="3"/>
  <c r="E14" i="3" l="1"/>
  <c r="D14" i="3" s="1"/>
  <c r="C14" i="3" s="1"/>
  <c r="C42" i="3"/>
  <c r="C28" i="3"/>
  <c r="C26" i="3"/>
  <c r="N31" i="3" l="1"/>
  <c r="N32" i="3"/>
  <c r="N34" i="3"/>
  <c r="N35" i="3"/>
  <c r="N33" i="3"/>
  <c r="N29" i="3"/>
  <c r="N36" i="3"/>
  <c r="N46" i="3"/>
  <c r="N43" i="3"/>
  <c r="N49" i="3"/>
  <c r="N47" i="3"/>
  <c r="N45" i="3"/>
  <c r="N50" i="3"/>
  <c r="N48" i="3"/>
  <c r="N37" i="3" l="1"/>
  <c r="N51" i="3"/>
  <c r="P56" i="3" l="1"/>
  <c r="R62" i="3" s="1"/>
  <c r="S62" i="3" l="1"/>
  <c r="Q62" i="3"/>
  <c r="U62" i="3"/>
  <c r="T62" i="3"/>
  <c r="T51" i="3"/>
  <c r="K51" i="3" l="1"/>
  <c r="S51" i="3"/>
  <c r="S56" i="3" l="1"/>
  <c r="T56" i="3"/>
  <c r="W66" i="3" l="1"/>
  <c r="U66" i="3"/>
  <c r="X66" i="3"/>
  <c r="V66" i="3"/>
  <c r="Y66" i="3"/>
  <c r="Y67" i="3" s="1"/>
  <c r="Y69" i="3" s="1"/>
  <c r="X65" i="3"/>
  <c r="W65" i="3"/>
  <c r="V65" i="3"/>
  <c r="T65" i="3"/>
  <c r="U65" i="3"/>
  <c r="U67" i="3" s="1"/>
  <c r="V67" i="3" l="1"/>
  <c r="V69" i="3" s="1"/>
  <c r="W67" i="3"/>
  <c r="W69" i="3" s="1"/>
  <c r="X67" i="3"/>
  <c r="X69" i="3" s="1"/>
  <c r="U69" i="3"/>
  <c r="Z67" i="3" l="1"/>
  <c r="Z69" i="3"/>
</calcChain>
</file>

<file path=xl/sharedStrings.xml><?xml version="1.0" encoding="utf-8"?>
<sst xmlns="http://schemas.openxmlformats.org/spreadsheetml/2006/main" count="2239" uniqueCount="1024">
  <si>
    <t>Data in these columns used for data validation and database purposes.</t>
  </si>
  <si>
    <t>Date last modified:</t>
  </si>
  <si>
    <t>updated TransGrid's correct legal name, corrected TasNetworks (T) to June financial year</t>
  </si>
  <si>
    <t>FOR ELECTRICITY BUSINESSES ONLY</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</si>
  <si>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</si>
  <si>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</si>
  <si>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</si>
  <si>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</si>
  <si>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</si>
  <si>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</si>
  <si>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</si>
  <si>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</si>
  <si>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</si>
  <si>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</si>
  <si>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</si>
  <si>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</si>
  <si>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</si>
  <si>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</si>
  <si>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</si>
  <si>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</si>
  <si>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</si>
  <si>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</si>
  <si>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</si>
  <si>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</si>
  <si>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</si>
  <si>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</si>
  <si>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</si>
  <si>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</si>
  <si>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</si>
  <si>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</si>
  <si>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</si>
  <si>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</si>
  <si>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</si>
  <si>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</si>
  <si>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</si>
  <si>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</si>
  <si>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</si>
  <si>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</si>
  <si>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</si>
  <si>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</si>
  <si>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</si>
  <si>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</si>
  <si>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</si>
  <si>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</si>
  <si>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</si>
  <si>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</si>
  <si>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</si>
  <si>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</si>
  <si>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</si>
  <si>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</si>
  <si>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ActewAGL Distribution</t>
  </si>
  <si>
    <t>ACT</t>
  </si>
  <si>
    <t>Electricity</t>
  </si>
  <si>
    <t>Distribution</t>
  </si>
  <si>
    <t>Revenue cap</t>
  </si>
  <si>
    <t>Financial</t>
  </si>
  <si>
    <t>June</t>
  </si>
  <si>
    <t>2014-19 Distribution Determination</t>
  </si>
  <si>
    <t>40 Bunda Street</t>
  </si>
  <si>
    <t>CANBERRA</t>
  </si>
  <si>
    <t>GPO BOX 366</t>
  </si>
  <si>
    <t>Robert Walker</t>
  </si>
  <si>
    <t>02 6248 3847</t>
  </si>
  <si>
    <t>robert.walker@actewagle.com.au</t>
  </si>
  <si>
    <t>NO</t>
  </si>
  <si>
    <t>YES</t>
  </si>
  <si>
    <t>Long rural</t>
  </si>
  <si>
    <t>ActewAGL Distribution (Tx Assets)</t>
  </si>
  <si>
    <t>distribution determination</t>
  </si>
  <si>
    <t>ActewAGL Gas</t>
  </si>
  <si>
    <t>Gas</t>
  </si>
  <si>
    <t>Weighted average price cap</t>
  </si>
  <si>
    <t>x</t>
  </si>
  <si>
    <t>Philip Deamer</t>
  </si>
  <si>
    <t>02 6248 3438</t>
  </si>
  <si>
    <t>GasAAReview@actewagl.com.au</t>
  </si>
  <si>
    <t>AGN (Albury)</t>
  </si>
  <si>
    <t>Australian Gas Networks Limited (reporting data for Albury)</t>
  </si>
  <si>
    <t>Vic</t>
  </si>
  <si>
    <t>Calendar</t>
  </si>
  <si>
    <t>December</t>
  </si>
  <si>
    <t>ADELAIDE</t>
  </si>
  <si>
    <t>SA</t>
  </si>
  <si>
    <t>AGN (SA)</t>
  </si>
  <si>
    <t>AGN (Victoria)</t>
  </si>
  <si>
    <t>Australian Gas Networks Limited (reporting data for Victoria)</t>
  </si>
  <si>
    <t>Amadeus</t>
  </si>
  <si>
    <t>APT Pipelines (NT) Pty Ltd</t>
  </si>
  <si>
    <t>NT</t>
  </si>
  <si>
    <t>Transmission</t>
  </si>
  <si>
    <t>n/a</t>
  </si>
  <si>
    <t>Level 19, HSBC Building</t>
  </si>
  <si>
    <t>580 George Street</t>
  </si>
  <si>
    <t>SYDNEY</t>
  </si>
  <si>
    <t>NSW</t>
  </si>
  <si>
    <t>Alexandra Curran</t>
  </si>
  <si>
    <t>02 9275 0020</t>
  </si>
  <si>
    <t>alexandra.curran@apa.com.au</t>
  </si>
  <si>
    <t>APA GasNet</t>
  </si>
  <si>
    <t>APA GasNet Australia (Operations) Pty Ltd</t>
  </si>
  <si>
    <t>PO Box R41</t>
  </si>
  <si>
    <t>ROYAL EXCHANGE</t>
  </si>
  <si>
    <t>Ausgrid</t>
  </si>
  <si>
    <t>570 George St</t>
  </si>
  <si>
    <t>John Thomson</t>
  </si>
  <si>
    <t>john.thomson@ausgrid.com.au</t>
  </si>
  <si>
    <t>Ausgrid (Tx Assets)</t>
  </si>
  <si>
    <t>AusNet (D)</t>
  </si>
  <si>
    <t>2016-20 Distribution Determination</t>
  </si>
  <si>
    <t>Level 32</t>
  </si>
  <si>
    <t>2 Southbank Boulevard</t>
  </si>
  <si>
    <t>SOUTHBANK</t>
  </si>
  <si>
    <t>Locked Bag 14051</t>
  </si>
  <si>
    <t>MELBOURNE CITY MAIL CENTRE</t>
  </si>
  <si>
    <t>VIC</t>
  </si>
  <si>
    <t>Hannah Williams</t>
  </si>
  <si>
    <t>03 9683 4088</t>
  </si>
  <si>
    <t>hwilliams@powercor.com.au</t>
  </si>
  <si>
    <t>AusNet (Gas)</t>
  </si>
  <si>
    <t>AusNet Gas Services</t>
  </si>
  <si>
    <t>X</t>
  </si>
  <si>
    <t>AusNet (T)</t>
  </si>
  <si>
    <t>March</t>
  </si>
  <si>
    <t>transmission determination</t>
  </si>
  <si>
    <t>Clare Thompson</t>
  </si>
  <si>
    <t>03 9695 6670</t>
  </si>
  <si>
    <t>clare.e.thompson@ausnetservices.com.au</t>
  </si>
  <si>
    <t>Australian Distribution Co.</t>
  </si>
  <si>
    <t>-</t>
  </si>
  <si>
    <t>123 Straight Street</t>
  </si>
  <si>
    <t>PO Box 123</t>
  </si>
  <si>
    <t>Bob Smith</t>
  </si>
  <si>
    <t>02 1234 5678</t>
  </si>
  <si>
    <t>bob@auselec.net.au</t>
  </si>
  <si>
    <t>Australian Transmission Co.</t>
  </si>
  <si>
    <t>CitiPower</t>
  </si>
  <si>
    <t>40 Market Street</t>
  </si>
  <si>
    <t>MELBOURNE</t>
  </si>
  <si>
    <t>Locked Bag 14090</t>
  </si>
  <si>
    <t>Directlink</t>
  </si>
  <si>
    <t>Qld</t>
  </si>
  <si>
    <t>ElectraNet</t>
  </si>
  <si>
    <t>52-55 East Terrace</t>
  </si>
  <si>
    <t>Rymill Park</t>
  </si>
  <si>
    <t>PO Box 7096</t>
  </si>
  <si>
    <t>Hutt Street Post Office</t>
  </si>
  <si>
    <t>Bill Jackson</t>
  </si>
  <si>
    <t>08 8404 7969</t>
  </si>
  <si>
    <t>jackson.bill@electranet.com.au</t>
  </si>
  <si>
    <t>Endeavour Energy</t>
  </si>
  <si>
    <t>51 Huntingwood Drive</t>
  </si>
  <si>
    <t>HUNTINGWOOD</t>
  </si>
  <si>
    <t>PO Box 811</t>
  </si>
  <si>
    <t>SEVEN HILLS</t>
  </si>
  <si>
    <t>Jon Hocking</t>
  </si>
  <si>
    <t>02 9853 4386 / 0407 348 156</t>
  </si>
  <si>
    <t>Jon.Hocking@Endeavourenergy.com.au</t>
  </si>
  <si>
    <t>Energex</t>
  </si>
  <si>
    <t>2015-20 Distribution Determination</t>
  </si>
  <si>
    <t>26 Reddacliff Street</t>
  </si>
  <si>
    <t>NEWSTEAD</t>
  </si>
  <si>
    <t>QLD</t>
  </si>
  <si>
    <t>Ergon Energy</t>
  </si>
  <si>
    <t>22 Walker Street</t>
  </si>
  <si>
    <t>TOWNSVILLE</t>
  </si>
  <si>
    <t>Po Box 264</t>
  </si>
  <si>
    <t>FORTITUDE VALLEY</t>
  </si>
  <si>
    <t>Jenny Doyle, Group Manager Regulatory Affairs</t>
  </si>
  <si>
    <t>(07) 3851 6416</t>
  </si>
  <si>
    <t>jenny.doyle@ergon.com.au</t>
  </si>
  <si>
    <t>Essential Energy</t>
  </si>
  <si>
    <t>8 Buller Street</t>
  </si>
  <si>
    <t>PORT MACQUARIE</t>
  </si>
  <si>
    <t>PO Box 5730</t>
  </si>
  <si>
    <t>Catherine Waddell</t>
  </si>
  <si>
    <t>02 6338 3553</t>
  </si>
  <si>
    <t>catherine.waddell@essentialenergy.com.au</t>
  </si>
  <si>
    <t>Jemena Electricity</t>
  </si>
  <si>
    <t>Level 16</t>
  </si>
  <si>
    <t>567 Collins Street</t>
  </si>
  <si>
    <t>PO Box 16182</t>
  </si>
  <si>
    <t>JGN</t>
  </si>
  <si>
    <t>Multinet Gas</t>
  </si>
  <si>
    <t>Multinet Gas (DB No.1) Pty Ltd (ACN 086 026 986), Multinet Gas (DB No.2) Pty Ltd (ACN 086 230 122)</t>
  </si>
  <si>
    <t>Murraylink</t>
  </si>
  <si>
    <t>Power and Water</t>
  </si>
  <si>
    <t>Power and Water Corporation</t>
  </si>
  <si>
    <t>GPO Box 1921</t>
  </si>
  <si>
    <t>DARWIN</t>
  </si>
  <si>
    <t>Powercor Australia</t>
  </si>
  <si>
    <t>Locked bag 14090</t>
  </si>
  <si>
    <t>Powerlink</t>
  </si>
  <si>
    <t>Queensland Electricity Transmission Corporation Limited trading as Powerlink Queensland</t>
  </si>
  <si>
    <t>33 Harold St</t>
  </si>
  <si>
    <t>VIRGINIA</t>
  </si>
  <si>
    <t>PO Box 1193</t>
  </si>
  <si>
    <t>Jennifer Harris</t>
  </si>
  <si>
    <t>07 3860 2667</t>
  </si>
  <si>
    <t>jharris@powerlink.com.au</t>
  </si>
  <si>
    <t>Roma to Brisbane Pipeline</t>
  </si>
  <si>
    <t>APT Petroleum Pipelines Limited t/a Roma to Brisbane Pipeline</t>
  </si>
  <si>
    <t>009 737 393</t>
  </si>
  <si>
    <t>SA Power Networks</t>
  </si>
  <si>
    <t>1 Anzac Highway</t>
  </si>
  <si>
    <t>KESWICK</t>
  </si>
  <si>
    <t>GPO Box 77</t>
  </si>
  <si>
    <t>Tas</t>
  </si>
  <si>
    <t>Critical Infrastructure</t>
  </si>
  <si>
    <t>High density commercial</t>
  </si>
  <si>
    <t>High density rural</t>
  </si>
  <si>
    <t>Low density rural</t>
  </si>
  <si>
    <t>TasNetworks (T)</t>
  </si>
  <si>
    <t>1-7 Maria Street</t>
  </si>
  <si>
    <t>LENAH VALLEY</t>
  </si>
  <si>
    <t>PO Box 606</t>
  </si>
  <si>
    <t>MOONAH</t>
  </si>
  <si>
    <t>TransGrid</t>
  </si>
  <si>
    <t>NSW Electricity Networks Operations Pty Ltd trading as TransGrid</t>
  </si>
  <si>
    <t>180 Thomas Street</t>
  </si>
  <si>
    <t>PO Box A1000</t>
  </si>
  <si>
    <t>SYDNEY SOUTH</t>
  </si>
  <si>
    <t>Garrie Chubb</t>
  </si>
  <si>
    <t>0408 210 221</t>
  </si>
  <si>
    <t>garrie.chubb@transgrid.com.au</t>
  </si>
  <si>
    <t>United Energy</t>
  </si>
  <si>
    <t>Level 3</t>
  </si>
  <si>
    <t>6 Nexus Court</t>
  </si>
  <si>
    <t>MULGRAVE</t>
  </si>
  <si>
    <t>PO Box 449</t>
  </si>
  <si>
    <t>MOUNT WAVERLEY</t>
  </si>
  <si>
    <t>Mathew Abraham</t>
  </si>
  <si>
    <t>03 8846 9758</t>
  </si>
  <si>
    <t>mathew.abraham@ue.com.au</t>
  </si>
  <si>
    <t>For EB &amp; Reset RINs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</si>
  <si>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</si>
  <si>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</si>
  <si>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</si>
  <si>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</si>
  <si>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Reason for interruption</t>
  </si>
  <si>
    <t>dms_Reason_Interruption_Detailed</t>
  </si>
  <si>
    <t>dms_Reason_Interruption</t>
  </si>
  <si>
    <t xml:space="preserve">dms_Model_List </t>
  </si>
  <si>
    <t>dms_RYE_Formula_Result</t>
  </si>
  <si>
    <t>dms_0203_ProjectType</t>
  </si>
  <si>
    <t>dms_020303_01_UOM</t>
  </si>
  <si>
    <t>dms_020501_01_UOM</t>
  </si>
  <si>
    <t>dms_020501_02_UOM</t>
  </si>
  <si>
    <t>dms_020501_03_UOM</t>
  </si>
  <si>
    <t>dms_020501_04_UOM</t>
  </si>
  <si>
    <t>dms_020603_01_UOM</t>
  </si>
  <si>
    <t>dms_040102_01_UOM</t>
  </si>
  <si>
    <t>dms_040102_04_UOM</t>
  </si>
  <si>
    <t>dms_030601_01_UOM</t>
  </si>
  <si>
    <t>dms_030601_02_UOM</t>
  </si>
  <si>
    <t>dms_030701_01_UOM</t>
  </si>
  <si>
    <t>dms_030702_01_UOM</t>
  </si>
  <si>
    <t>dms_030703_01_UOM</t>
  </si>
  <si>
    <t>Animal</t>
  </si>
  <si>
    <t>Animal impact</t>
  </si>
  <si>
    <t>ARR</t>
  </si>
  <si>
    <t>ANNUAL REPORTING STATEMENT</t>
  </si>
  <si>
    <t>=LEFT(dms_SingleYear_FinalYear_Result,2)&amp;RIGHT(dms_SingleYear_FinalYear_Result,2)</t>
  </si>
  <si>
    <t>Formula errors are OK</t>
  </si>
  <si>
    <t>New line on new route - single circuit</t>
  </si>
  <si>
    <t>Circuit line length in km</t>
  </si>
  <si>
    <t>0's</t>
  </si>
  <si>
    <t>days</t>
  </si>
  <si>
    <t>minutes/customer</t>
  </si>
  <si>
    <t>Customer / km</t>
  </si>
  <si>
    <t>%</t>
  </si>
  <si>
    <t>km</t>
  </si>
  <si>
    <t>Animal nesting/burrowing, etc and other</t>
  </si>
  <si>
    <t>Asset failure</t>
  </si>
  <si>
    <t>CA</t>
  </si>
  <si>
    <t>CATEGORY ANALYSIS</t>
  </si>
  <si>
    <t>New line on new route - dual circuit</t>
  </si>
  <si>
    <t>MWh/customer</t>
  </si>
  <si>
    <t>Number of spans</t>
  </si>
  <si>
    <t>Other</t>
  </si>
  <si>
    <t>CPI</t>
  </si>
  <si>
    <t>New line on new route - other</t>
  </si>
  <si>
    <t>MVA added</t>
  </si>
  <si>
    <t>$0s</t>
  </si>
  <si>
    <t>interruptions/customer</t>
  </si>
  <si>
    <t>kVA / customer</t>
  </si>
  <si>
    <t>LV</t>
  </si>
  <si>
    <t>Overloads</t>
  </si>
  <si>
    <t>EB</t>
  </si>
  <si>
    <t>ECONOMIC BENCHMARKING</t>
  </si>
  <si>
    <t>Line rebuild over existing route - single circuit</t>
  </si>
  <si>
    <t>Distribution substation</t>
  </si>
  <si>
    <t>Planned</t>
  </si>
  <si>
    <t>PTRM</t>
  </si>
  <si>
    <t>POST TAX REVENUE MODEL</t>
  </si>
  <si>
    <t>=LEFT(dms_MultiYear_FinalYear_Result,2)&amp;RIGHT(dms_MultiYear_FinalYear_Result,2)</t>
  </si>
  <si>
    <t>Line rebuild over existing route - dual circuit</t>
  </si>
  <si>
    <t>Number</t>
  </si>
  <si>
    <t>total spend $0s</t>
  </si>
  <si>
    <t>(per cent)</t>
  </si>
  <si>
    <t>HV</t>
  </si>
  <si>
    <t>Network business</t>
  </si>
  <si>
    <t>Reset</t>
  </si>
  <si>
    <t>REGULATORY REPORTING STATEMENT</t>
  </si>
  <si>
    <t>Reconductor - Single circuit</t>
  </si>
  <si>
    <t>net circuit km added</t>
  </si>
  <si>
    <t>Years</t>
  </si>
  <si>
    <t>Zone substation</t>
  </si>
  <si>
    <t>Third party</t>
  </si>
  <si>
    <t>RFM</t>
  </si>
  <si>
    <t>ROLL FORWARD MODEL</t>
  </si>
  <si>
    <t>=LEFT(dms_CRCP_FinalYear_Result,2)&amp;RIGHT(dms_CRCP_FinalYear_Result,2)</t>
  </si>
  <si>
    <t>Reconductor - Dual circuit</t>
  </si>
  <si>
    <t>Subtransmission</t>
  </si>
  <si>
    <t>Unknown</t>
  </si>
  <si>
    <t>WACC</t>
  </si>
  <si>
    <t>WEIGHTED AVERAGE COST OF CAPITAL</t>
  </si>
  <si>
    <t>Trees</t>
  </si>
  <si>
    <t>insert description of 'other'</t>
  </si>
  <si>
    <t>Vegetation</t>
  </si>
  <si>
    <t>Weather</t>
  </si>
  <si>
    <t>dms_DataQuality_List</t>
  </si>
  <si>
    <t>Defects</t>
  </si>
  <si>
    <t>2 - STPIS Exclusion (3.3)(a)</t>
  </si>
  <si>
    <t>Actual</t>
  </si>
  <si>
    <t>Network error</t>
  </si>
  <si>
    <t>3 - STPIS Exclusion (3.3)(a)</t>
  </si>
  <si>
    <t>Estimate</t>
  </si>
  <si>
    <t>Spans</t>
  </si>
  <si>
    <t>Switching and protection error</t>
  </si>
  <si>
    <t>4 - STPIS Exclusion (3.3)(a)</t>
  </si>
  <si>
    <t>Consolidated</t>
  </si>
  <si>
    <t>Fire</t>
  </si>
  <si>
    <t>5 - STPIS Exclusion (3.3)(a)</t>
  </si>
  <si>
    <t>Recast</t>
  </si>
  <si>
    <t/>
  </si>
  <si>
    <t>6 - STPIS Exclusion (3.3)(a)</t>
  </si>
  <si>
    <t>Public</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</si>
  <si>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</si>
  <si>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</si>
  <si>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</si>
  <si>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</si>
  <si>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</si>
  <si>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</si>
  <si>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</si>
  <si>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Vehicle impact</t>
  </si>
  <si>
    <t>dms_SourceList</t>
  </si>
  <si>
    <t>dms_FormControl_Choices</t>
  </si>
  <si>
    <t>DMS_Xfactor</t>
  </si>
  <si>
    <t>After appeal</t>
  </si>
  <si>
    <t>x factors</t>
  </si>
  <si>
    <t>Blow-in/Fall-in - NSP responsibility</t>
  </si>
  <si>
    <t>Draft decision</t>
  </si>
  <si>
    <t>Revenue yield</t>
  </si>
  <si>
    <t>number</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</si>
  <si>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</si>
  <si>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</si>
  <si>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</si>
  <si>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</si>
  <si>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</si>
  <si>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</si>
  <si>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</si>
  <si>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</si>
  <si>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</si>
  <si>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</si>
  <si>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</si>
  <si>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</si>
  <si>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Reporting</t>
  </si>
  <si>
    <t>Revised regulatory proposal</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</si>
  <si>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</si>
  <si>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</si>
  <si>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</si>
  <si>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</si>
  <si>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</si>
  <si>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</si>
  <si>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</si>
  <si>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</si>
  <si>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</si>
  <si>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CRY from input cell on business sheet</t>
  </si>
  <si>
    <t>CRY - financial</t>
  </si>
  <si>
    <t>dms_FinYears</t>
  </si>
  <si>
    <t>CRY calendar</t>
  </si>
  <si>
    <t>dms_CalYears</t>
  </si>
  <si>
    <t>dms_FRCP_y1</t>
  </si>
  <si>
    <t>CRCP_y1</t>
  </si>
  <si>
    <t>dms_CRCP_yZ</t>
  </si>
  <si>
    <t>dms_CRYf_y1</t>
  </si>
  <si>
    <t>dms_CRYc_y1</t>
  </si>
  <si>
    <t>dms_FRCP_y2</t>
  </si>
  <si>
    <t>CRCP_y2</t>
  </si>
  <si>
    <t>dms_CRCP_yY</t>
  </si>
  <si>
    <t>dms_CRYf_y2</t>
  </si>
  <si>
    <t>dms_CRYc_y2</t>
  </si>
  <si>
    <t>dms_FRCP_y3</t>
  </si>
  <si>
    <t>CRCP_y3</t>
  </si>
  <si>
    <t>dms_CRCP_yX</t>
  </si>
  <si>
    <t>dms_CRYf_y3</t>
  </si>
  <si>
    <t>dms_CRYc_y3</t>
  </si>
  <si>
    <t>dms_FRCP_y4</t>
  </si>
  <si>
    <t>CRCP_y4</t>
  </si>
  <si>
    <t>dms_CRCP_yW</t>
  </si>
  <si>
    <t>dms_CRYf_y4</t>
  </si>
  <si>
    <t>dms_CRYc_y4</t>
  </si>
  <si>
    <t>dms_FRCP_y5</t>
  </si>
  <si>
    <t>CRCP_y5</t>
  </si>
  <si>
    <t>dms_CRCP_yV</t>
  </si>
  <si>
    <t>dms_CRYf_y5</t>
  </si>
  <si>
    <t>dms_CRYc_y5</t>
  </si>
  <si>
    <t>dms_FRCP_y6</t>
  </si>
  <si>
    <t>CRCP_y6</t>
  </si>
  <si>
    <t>dms_CRCP_yU</t>
  </si>
  <si>
    <t>dms_CRYf_y6</t>
  </si>
  <si>
    <t>dms_CRYc_y6</t>
  </si>
  <si>
    <t>dms_FRCP_y7</t>
  </si>
  <si>
    <t>CRCP_y7</t>
  </si>
  <si>
    <t>dms_CRCP_yT</t>
  </si>
  <si>
    <t>dms_CRYf_y7</t>
  </si>
  <si>
    <t>dms_CRYc_y7</t>
  </si>
  <si>
    <t>dms_FRCP_y8</t>
  </si>
  <si>
    <t>CRCP_y8</t>
  </si>
  <si>
    <t>dms_CRCP_yS</t>
  </si>
  <si>
    <t>dms_CRYf_y8</t>
  </si>
  <si>
    <t>dms_CRYc_y8</t>
  </si>
  <si>
    <t>dms_FRCP_y9</t>
  </si>
  <si>
    <t>CRCP_y9</t>
  </si>
  <si>
    <t>dms_CRCP_yR</t>
  </si>
  <si>
    <t>dms_CRYf_y9</t>
  </si>
  <si>
    <t>dms_CRYc_y9</t>
  </si>
  <si>
    <t>dms_FRCP_y10</t>
  </si>
  <si>
    <t>CRCP_y10</t>
  </si>
  <si>
    <t>dms_CRCP_yQ</t>
  </si>
  <si>
    <t>dms_CRYf_y10</t>
  </si>
  <si>
    <t>dms_CRYc_y10</t>
  </si>
  <si>
    <t>dms_FRCP_y11</t>
  </si>
  <si>
    <t>CRCP_y11</t>
  </si>
  <si>
    <t>dms_CRCP_yP</t>
  </si>
  <si>
    <t>dms_CRYf_y11</t>
  </si>
  <si>
    <t>dms_CRYc_y11</t>
  </si>
  <si>
    <t>dms_FRCP_y12</t>
  </si>
  <si>
    <t>CRCP_y12</t>
  </si>
  <si>
    <t>dms_CRCP_yO</t>
  </si>
  <si>
    <t>dms_CRYf_y12</t>
  </si>
  <si>
    <t>dms_CRYc_y12</t>
  </si>
  <si>
    <t>dms_FRCP_y13</t>
  </si>
  <si>
    <t>CRCP_y13</t>
  </si>
  <si>
    <t>dms_CRCP_yN</t>
  </si>
  <si>
    <t>dms_CRYf_y13</t>
  </si>
  <si>
    <t>dms_CRYc_y13</t>
  </si>
  <si>
    <t>dms_FRCP_y14</t>
  </si>
  <si>
    <t>CRCP_y14</t>
  </si>
  <si>
    <t>dms_CRCP_yM</t>
  </si>
  <si>
    <t>dms_CRYf_y14</t>
  </si>
  <si>
    <t>dms_CRYc_y14</t>
  </si>
  <si>
    <t>dms_FRCP_y15</t>
  </si>
  <si>
    <t>CRCP_y15</t>
  </si>
  <si>
    <t>dms_CRCP_yL</t>
  </si>
  <si>
    <t>dms_CRYf_y15</t>
  </si>
  <si>
    <t>dms_CRYc_y15</t>
  </si>
  <si>
    <t>dms_CRYf_y16</t>
  </si>
  <si>
    <t>dms_CRYc_y16</t>
  </si>
  <si>
    <t>These are drop down lists for businesses to select the correct FRCP_y1 on the business and other details worksheet.
This also populates the column headings in the worksheets</t>
  </si>
  <si>
    <t>dms_CRYf_y17</t>
  </si>
  <si>
    <t>dms_CRYc_y17</t>
  </si>
  <si>
    <t>dms_RCP_fyear_list</t>
  </si>
  <si>
    <t>dms_CRY_ListF</t>
  </si>
  <si>
    <t>dms_CRY_ListC</t>
  </si>
  <si>
    <t>dms_RCP_cyear_list</t>
  </si>
  <si>
    <t>dms_FRCP_fyear_list</t>
  </si>
  <si>
    <t>dms_FRCP_ListF</t>
  </si>
  <si>
    <t>dms_FRCP_ListC</t>
  </si>
  <si>
    <t>dms_FRCP_cyear_list</t>
  </si>
  <si>
    <t>dms_CRYf_y18</t>
  </si>
  <si>
    <t>dms_CRYc_y18</t>
  </si>
  <si>
    <t>2006-07</t>
  </si>
  <si>
    <t>dms_cy1</t>
  </si>
  <si>
    <t>dms_frcp_fy1</t>
  </si>
  <si>
    <t>2016-17</t>
  </si>
  <si>
    <t>dms_crcp_cy1</t>
  </si>
  <si>
    <t>dms_CRYf_y19</t>
  </si>
  <si>
    <t>dms_CRYc_y19</t>
  </si>
  <si>
    <t>2007-08</t>
  </si>
  <si>
    <t>2008</t>
  </si>
  <si>
    <t>dms_cy2</t>
  </si>
  <si>
    <t>dms_frcp_fy2</t>
  </si>
  <si>
    <t>2017-18</t>
  </si>
  <si>
    <t>dms_crcp_cy2</t>
  </si>
  <si>
    <t>dms_CRYf_y20</t>
  </si>
  <si>
    <t>dms_CRYc_y20</t>
  </si>
  <si>
    <t>2008-09</t>
  </si>
  <si>
    <t>2009</t>
  </si>
  <si>
    <t>dms_cy3</t>
  </si>
  <si>
    <t>dms_frcp_fy3</t>
  </si>
  <si>
    <t>2018-19</t>
  </si>
  <si>
    <t>dms_crcp_cy3</t>
  </si>
  <si>
    <t>2009-10</t>
  </si>
  <si>
    <t>dms_cy4</t>
  </si>
  <si>
    <t>dms_frcp_fy4</t>
  </si>
  <si>
    <t>2019-20</t>
  </si>
  <si>
    <t>dms_crcp_cy4</t>
  </si>
  <si>
    <t>2010-11</t>
  </si>
  <si>
    <t>dms_cy5</t>
  </si>
  <si>
    <t>dms_frcp_fy5</t>
  </si>
  <si>
    <t>2020-21</t>
  </si>
  <si>
    <t>dms_crcp_cy5</t>
  </si>
  <si>
    <t>2011-12</t>
  </si>
  <si>
    <t>dms_cy6</t>
  </si>
  <si>
    <t>dms_frcp_fy6</t>
  </si>
  <si>
    <t>2021-22</t>
  </si>
  <si>
    <t>dms_crcp_cy6</t>
  </si>
  <si>
    <t>2012-13</t>
  </si>
  <si>
    <t>dms_cy7</t>
  </si>
  <si>
    <t>dms_frcp_fy7</t>
  </si>
  <si>
    <t>2022-23</t>
  </si>
  <si>
    <t>dms_crcp_cy7</t>
  </si>
  <si>
    <t>2013-14</t>
  </si>
  <si>
    <t>dms_cy8</t>
  </si>
  <si>
    <t>dms_frcp_fy8</t>
  </si>
  <si>
    <t>2023-24</t>
  </si>
  <si>
    <t>dms_crcp_cy8</t>
  </si>
  <si>
    <t>2014-15</t>
  </si>
  <si>
    <t>dms_cy9</t>
  </si>
  <si>
    <t>dms_frcp_fy9</t>
  </si>
  <si>
    <t>2024-25</t>
  </si>
  <si>
    <t>dms_crcp_cy9</t>
  </si>
  <si>
    <t>2015-16</t>
  </si>
  <si>
    <t>dms_cy10</t>
  </si>
  <si>
    <t>dms_frcp_fy10</t>
  </si>
  <si>
    <t>2025-26</t>
  </si>
  <si>
    <t>dms_crcp_cy10</t>
  </si>
  <si>
    <t>dms_cy11</t>
  </si>
  <si>
    <t>dms_frcp_fy11</t>
  </si>
  <si>
    <t>2026-27</t>
  </si>
  <si>
    <t>dms_crcp_cy11</t>
  </si>
  <si>
    <t>2005-06</t>
  </si>
  <si>
    <t>2006</t>
  </si>
  <si>
    <t>dms_cy12</t>
  </si>
  <si>
    <t>dms_frcp_fy12</t>
  </si>
  <si>
    <t>2027-28</t>
  </si>
  <si>
    <t>dms_crcp_cy12</t>
  </si>
  <si>
    <t>2007</t>
  </si>
  <si>
    <t>dms_cy13</t>
  </si>
  <si>
    <t>dms_frcp_fy13</t>
  </si>
  <si>
    <t>2028-29</t>
  </si>
  <si>
    <t>dms_crcp_cy13</t>
  </si>
  <si>
    <t>dms_cy14</t>
  </si>
  <si>
    <t>dms_frcp_fy14</t>
  </si>
  <si>
    <t>2029-30</t>
  </si>
  <si>
    <t>dms_crcp_cy14</t>
  </si>
  <si>
    <t>dms_cy15</t>
  </si>
  <si>
    <t>dms_frcp_fy15</t>
  </si>
  <si>
    <t>2030-31</t>
  </si>
  <si>
    <t>dms_crcp_cy15</t>
  </si>
  <si>
    <t>dms_cy16</t>
  </si>
  <si>
    <t>dms_cy17</t>
  </si>
  <si>
    <t>dms_cy18</t>
  </si>
  <si>
    <t>dms_cy19</t>
  </si>
  <si>
    <t>dms_cy20</t>
  </si>
  <si>
    <t>2031-32</t>
  </si>
  <si>
    <t>2032-33</t>
  </si>
  <si>
    <t>2033-34</t>
  </si>
  <si>
    <t>2034-35</t>
  </si>
  <si>
    <t>2035-36</t>
  </si>
  <si>
    <t>BUSINESS &amp; OTHER DETAILS</t>
  </si>
  <si>
    <t>Instructions</t>
  </si>
  <si>
    <t>SUBMISSION PARTICULARS INPUT SHEETS</t>
  </si>
  <si>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</si>
  <si>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</si>
  <si>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</si>
  <si>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</si>
  <si>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</si>
  <si>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</si>
  <si>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</si>
  <si>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</si>
  <si>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</si>
  <si>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</si>
  <si>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</si>
  <si>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</si>
  <si>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</si>
  <si>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</si>
  <si>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</si>
  <si>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</si>
  <si>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</si>
  <si>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</si>
  <si>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</si>
  <si>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</si>
  <si>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</si>
  <si>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</si>
  <si>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Source</t>
  </si>
  <si>
    <t>Please select the correct submission type from the dropdown list.</t>
  </si>
  <si>
    <t>Data quality (actual, estimate, public, consolidated)</t>
  </si>
  <si>
    <t>Amended RIN submission - amendment reason</t>
  </si>
  <si>
    <t>Submission Date</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</si>
  <si>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</si>
  <si>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</si>
  <si>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</si>
  <si>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</si>
  <si>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</si>
  <si>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</si>
  <si>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</si>
  <si>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</si>
  <si>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</si>
  <si>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</si>
  <si>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</si>
  <si>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</si>
  <si>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</si>
  <si>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</si>
  <si>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</si>
  <si>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</si>
  <si>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</si>
  <si>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dms_Model</t>
  </si>
  <si>
    <t>Drop down selection</t>
  </si>
  <si>
    <t>Security Classification</t>
  </si>
  <si>
    <t>dms_Classification</t>
  </si>
  <si>
    <t>Always Public</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</si>
  <si>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</si>
  <si>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</si>
  <si>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</si>
  <si>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</si>
  <si>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</si>
  <si>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</si>
  <si>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Form of control</t>
  </si>
  <si>
    <t>dms_FormControl</t>
  </si>
  <si>
    <t>=INDEX(dms_FormControl_List,MATCH(dms_TradingName,dms_TradingName_List))</t>
  </si>
  <si>
    <t>Jurisdiction</t>
  </si>
  <si>
    <t>dms_Jurisdiction</t>
  </si>
  <si>
    <t>=INDEX(dms_JurisdictionList,MATCH(dms_TradingName,dms_TradingName_List))</t>
  </si>
  <si>
    <t>dms_MultiYear_Flag</t>
  </si>
  <si>
    <t>dms_Specified_FinalYear</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</si>
  <si>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</si>
  <si>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</si>
  <si>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</si>
  <si>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</si>
  <si>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</si>
  <si>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</si>
  <si>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</si>
  <si>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</si>
  <si>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</si>
  <si>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</si>
  <si>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Formula errors OK</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</si>
  <si>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</si>
  <si>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</si>
  <si>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</si>
  <si>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</si>
  <si>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</si>
  <si>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</si>
  <si>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</si>
  <si>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</si>
  <si>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</si>
  <si>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</si>
  <si>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</si>
  <si>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</si>
  <si>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</si>
  <si>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</si>
  <si>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</si>
  <si>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</si>
  <si>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</si>
  <si>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</si>
  <si>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</si>
  <si>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</si>
  <si>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</si>
  <si>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Table 6.6.3 - Public lighting repair - no. business days</t>
  </si>
  <si>
    <t>dms_663</t>
  </si>
  <si>
    <t>Distribution Determination Reference</t>
  </si>
  <si>
    <t>EB/CA Unit of Measure for Monetary Values</t>
  </si>
  <si>
    <t>dms_dollar_nom_UOM</t>
  </si>
  <si>
    <t>discard this record?</t>
  </si>
  <si>
    <t>dms_DISCARD</t>
  </si>
  <si>
    <t>If record is to be discarded from DB set this flag to YES</t>
  </si>
  <si>
    <t>USES NAMED RANGES FLAG</t>
  </si>
  <si>
    <t>yes</t>
  </si>
  <si>
    <t>dms_Defined_Names_Used</t>
  </si>
  <si>
    <t>7.5 EBSS</t>
  </si>
  <si>
    <t>Intstructions</t>
  </si>
  <si>
    <t>Actual and estimated inflation</t>
  </si>
  <si>
    <t>Estimated</t>
  </si>
  <si>
    <t xml:space="preserve">Inflation rate (per cent) </t>
  </si>
  <si>
    <t>7.5.1.1 - Opex allowance applicable to EBSS (EBSS target)</t>
  </si>
  <si>
    <t>Previous period</t>
  </si>
  <si>
    <t>Total opex allowance</t>
  </si>
  <si>
    <t xml:space="preserve">Approved excludable costs - allowance </t>
  </si>
  <si>
    <t>Debt raising costs</t>
  </si>
  <si>
    <t>Capitalisation policy changes</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</si>
  <si>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</si>
  <si>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</si>
  <si>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</si>
  <si>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</si>
  <si>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</si>
  <si>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</si>
  <si>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</si>
  <si>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Carryover</t>
  </si>
  <si>
    <t>Total</t>
  </si>
  <si>
    <t>dms_DeterminationRef</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</si>
  <si>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</si>
  <si>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</si>
  <si>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</si>
  <si>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</si>
  <si>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</si>
  <si>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</si>
  <si>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</si>
  <si>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</si>
  <si>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added (Albury and Victora) for AGN</t>
  </si>
  <si>
    <t>inserted Power and Water, added NRs (dms_FeederCat_1 and dms_FeederCat_2)</t>
  </si>
  <si>
    <t>inserted AEMO as a business</t>
  </si>
  <si>
    <t>Column1</t>
  </si>
  <si>
    <t>AEMO</t>
  </si>
  <si>
    <t>Australian Energy Market Operator Ltd</t>
  </si>
  <si>
    <t>Level 22</t>
  </si>
  <si>
    <t>530 Collins Street</t>
  </si>
  <si>
    <t>GPO Box 2008</t>
  </si>
  <si>
    <t>AGN (Albury and Victoria)</t>
  </si>
  <si>
    <t>Australian Gas Networks Limited (reporting data for Albury and Victoria)</t>
  </si>
  <si>
    <t>Level 6</t>
  </si>
  <si>
    <t>400 King William Street</t>
  </si>
  <si>
    <t>PO Box 6468</t>
  </si>
  <si>
    <t>Halifax Street</t>
  </si>
  <si>
    <t>Craig de Laine</t>
  </si>
  <si>
    <t xml:space="preserve">08 8418 1129 </t>
  </si>
  <si>
    <t>craig.delaine@agn.com.au</t>
  </si>
  <si>
    <t>Australian Gas Networks Limited (reporting data for SA)</t>
  </si>
  <si>
    <t>065083009</t>
  </si>
  <si>
    <t>GPO Box 4009</t>
  </si>
  <si>
    <t>AusNet Electricity Services Pty Ltd</t>
  </si>
  <si>
    <t>086015036</t>
  </si>
  <si>
    <t>Ausnet Services (Transmission) Ltd</t>
  </si>
  <si>
    <t>Australian Distribution Co. (Vic)</t>
  </si>
  <si>
    <t>Australian Distribution Co. (Victoria)</t>
  </si>
  <si>
    <t>Scott Young</t>
  </si>
  <si>
    <t>02 9275 0031</t>
  </si>
  <si>
    <t>scott.young@apa.com.au</t>
  </si>
  <si>
    <t>Matthew Serpell</t>
  </si>
  <si>
    <t>03 9173 8231</t>
  </si>
  <si>
    <t>matthew.serpell@jemena.com.au</t>
  </si>
  <si>
    <t>Jemena Gas Networks (NSW) Ltd</t>
  </si>
  <si>
    <t>003 004 322</t>
  </si>
  <si>
    <t>086026986</t>
  </si>
  <si>
    <t>Level 19</t>
  </si>
  <si>
    <t>Lucy Moon</t>
  </si>
  <si>
    <t>08 8924 5822</t>
  </si>
  <si>
    <t>Lucy.Moon@powerwater.com.au</t>
  </si>
  <si>
    <t>Mark Allen</t>
  </si>
  <si>
    <t>02 9275 0010</t>
  </si>
  <si>
    <t>mark.allen@apa.com.au</t>
  </si>
  <si>
    <t>Richard Sibly</t>
  </si>
  <si>
    <t>08 8404 5613</t>
  </si>
  <si>
    <t>richard.sibly@sapowernetworks.com.au</t>
  </si>
  <si>
    <t>John Sayers</t>
  </si>
  <si>
    <t>03 6271 6469</t>
  </si>
  <si>
    <t>john.sayers@tasnetworks.com.au</t>
  </si>
  <si>
    <t>For AARs only</t>
  </si>
  <si>
    <t>For DNSPs only</t>
  </si>
  <si>
    <t>dms_030605_UOM</t>
  </si>
  <si>
    <t>dms_03060703_UOM</t>
  </si>
  <si>
    <t>7.5.1 -  The carryover amounts that arise from applying the EBSS during the current regulatory control period</t>
  </si>
  <si>
    <t>Opex associated with pass throughs</t>
  </si>
  <si>
    <t xml:space="preserve">Other adjustments or exclusions required by the EBSS </t>
  </si>
  <si>
    <t>ABS CPI index - June (old base)</t>
  </si>
  <si>
    <t>ABS CPI index - June (rebased)</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</si>
  <si>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</si>
  <si>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Excluded cost category 2</t>
  </si>
  <si>
    <t>major changes to accommodate STPIS</t>
  </si>
  <si>
    <t>Template Version</t>
  </si>
  <si>
    <t>dms_Public_Lighting_List</t>
  </si>
  <si>
    <t>02 9269 2312</t>
  </si>
  <si>
    <t>please provide contact details</t>
  </si>
  <si>
    <t>Australian Distribution Co. (Gas)</t>
  </si>
  <si>
    <t xml:space="preserve">Australian Gas Distribution Co. </t>
  </si>
  <si>
    <t>Central Ranges Pipeline (D)</t>
  </si>
  <si>
    <t>Central Ranges Pipeline Pty Ltd</t>
  </si>
  <si>
    <t>Central Ranges Pipeline (T)</t>
  </si>
  <si>
    <t>43-45 Centreway</t>
  </si>
  <si>
    <t>MT WAVERLEY</t>
  </si>
  <si>
    <t>Andrew Schille</t>
  </si>
  <si>
    <t>03 8846 9860</t>
  </si>
  <si>
    <t>andrew.schille@ue.com.au</t>
  </si>
  <si>
    <t>70 250 995 390</t>
  </si>
  <si>
    <t>dms_Worksheet_List</t>
  </si>
  <si>
    <t>dms_020701_01_UOM</t>
  </si>
  <si>
    <t>dms_020701_02_UOM</t>
  </si>
  <si>
    <t>dms_020701_01_Rows</t>
  </si>
  <si>
    <t>Route line length within zone</t>
  </si>
  <si>
    <t>Number of maintenance spans</t>
  </si>
  <si>
    <t>Total length of maintenance spans</t>
  </si>
  <si>
    <t>Length of vegetation corridors</t>
  </si>
  <si>
    <t>Average number of trees per maintenance span</t>
  </si>
  <si>
    <t>years</t>
  </si>
  <si>
    <t>Average frequency of cutting cycle</t>
  </si>
  <si>
    <t>dms_STPIS_Exclusion_List</t>
  </si>
  <si>
    <t>dms_020301_ProjectType_List</t>
  </si>
  <si>
    <t>dms_020302_ProjectType_List</t>
  </si>
  <si>
    <t>New substation establishment</t>
  </si>
  <si>
    <t>Equipment failure</t>
  </si>
  <si>
    <t>Capacity upgrade</t>
  </si>
  <si>
    <t>Operational error</t>
  </si>
  <si>
    <t>Voltage upgrade</t>
  </si>
  <si>
    <t>Animals</t>
  </si>
  <si>
    <t>Third party impacts</t>
  </si>
  <si>
    <t>Transmission failure</t>
  </si>
  <si>
    <t>Load shedding</t>
  </si>
  <si>
    <t>Reconductor - Other</t>
  </si>
  <si>
    <t>Inter-distributor connection failure</t>
  </si>
  <si>
    <t>Line upgrade - raising/retensoring</t>
  </si>
  <si>
    <t>Line upgrade - voltage upgrade</t>
  </si>
  <si>
    <t>Line upgrade - capacity</t>
  </si>
  <si>
    <t>String spare circuit</t>
  </si>
  <si>
    <t>dms_Financial_Years</t>
  </si>
  <si>
    <t>dms_Calendar_Years</t>
  </si>
  <si>
    <t>dms_y1</t>
  </si>
  <si>
    <t>dms_y2</t>
  </si>
  <si>
    <t>dms_y3</t>
  </si>
  <si>
    <t>dms_y4</t>
  </si>
  <si>
    <t>dms_y5</t>
  </si>
  <si>
    <t>dms_y6</t>
  </si>
  <si>
    <t>dms_y7</t>
  </si>
  <si>
    <t>dms_y8</t>
  </si>
  <si>
    <t>dms_y9</t>
  </si>
  <si>
    <t>dms_y10</t>
  </si>
  <si>
    <t>dms_y11</t>
  </si>
  <si>
    <t>dms_y12</t>
  </si>
  <si>
    <t>dms_y13</t>
  </si>
  <si>
    <t>dms_y14</t>
  </si>
  <si>
    <t>dms_y15</t>
  </si>
  <si>
    <t>dms_y16</t>
  </si>
  <si>
    <t>dms_y17</t>
  </si>
  <si>
    <t>dms_y18</t>
  </si>
  <si>
    <t>dms_y19</t>
  </si>
  <si>
    <t>dms_y20</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</si>
  <si>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</si>
  <si>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</si>
  <si>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</si>
  <si>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</si>
  <si>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</si>
  <si>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</si>
  <si>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</si>
  <si>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</si>
  <si>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</si>
  <si>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</si>
  <si>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</si>
  <si>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</si>
  <si>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</si>
  <si>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</si>
  <si>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</si>
  <si>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</si>
  <si>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dms_0603_FeederList</t>
  </si>
  <si>
    <t>Table 6.7.1 - daily performance data - unplanned - MAIFI  -- row descriptions and header named range values</t>
  </si>
  <si>
    <t>These headings (Lists) are determined from the INDEX/MATCH function on the NSP selected on the Business &amp; other details sheet</t>
  </si>
  <si>
    <t>dms_060701_Feeder_Header_Lvl4</t>
  </si>
  <si>
    <t>Network</t>
  </si>
  <si>
    <t>dms_060701_Rows</t>
  </si>
  <si>
    <t>All events</t>
  </si>
  <si>
    <t>After removing excluded events</t>
  </si>
  <si>
    <t>the number of column headings changes from 10 to 12 depending on the number of feeder categories for the NSP</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</si>
  <si>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</si>
  <si>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</si>
  <si>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</si>
  <si>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</si>
  <si>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</si>
  <si>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</si>
  <si>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</si>
  <si>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</si>
  <si>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</si>
  <si>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</si>
  <si>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</si>
  <si>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</si>
  <si>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</si>
  <si>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Use this to add to existing files</t>
  </si>
  <si>
    <t>ARRs 6.7 STPIS daily performance</t>
  </si>
  <si>
    <t>dms_060101_Values</t>
  </si>
  <si>
    <t>dms_060102_Values</t>
  </si>
  <si>
    <t>dms_060701_Values</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</si>
  <si>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</si>
  <si>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</si>
  <si>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</si>
  <si>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</si>
  <si>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</si>
  <si>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</si>
  <si>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</si>
  <si>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</si>
  <si>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</si>
  <si>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</si>
  <si>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</si>
  <si>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</si>
  <si>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</si>
  <si>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</si>
  <si>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</si>
  <si>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</si>
  <si>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</si>
  <si>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</si>
  <si>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</si>
  <si>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</si>
  <si>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</si>
  <si>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</si>
  <si>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</si>
  <si>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</si>
  <si>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</si>
  <si>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</si>
  <si>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</si>
  <si>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</si>
  <si>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</si>
  <si>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t>
  </si>
  <si>
    <t>dd/mm/yy</t>
  </si>
  <si>
    <t>If the cover sheet is attached to an ABC RIN apply the NAMED RANGE to the cell</t>
  </si>
  <si>
    <t>FORECAST and MultiYear RINS</t>
  </si>
  <si>
    <t>CRY-1  (last full calendar year before CRY)</t>
  </si>
  <si>
    <t>dms_Cal_Year_B4_CRY</t>
  </si>
  <si>
    <t>'=IF(dms_RPT="financial",VALUE(LEFT(dms_SingleYear_FinalYear_Result,4)),VALUE(LEFT(dms_SingleYear_FinalYear_Result,4)-1))</t>
  </si>
  <si>
    <t>Dollar $ real previous year (PRCP_y5)</t>
  </si>
  <si>
    <t>dms_DollarReal_Prev</t>
  </si>
  <si>
    <t>=IF(SUM(dms_SingleYear_Model)&gt;0,CONCATENATE(dms_RPTMonth)&amp;" "&amp;VALUE(((LEFT(CRY,2))&amp;RIGHT(CRY,2))-1),CONCATENATE(dms_RPTMonth)&amp;" "&amp;VALUE(((LEFT(dms_CRCP_FirstYear_Result,2)&amp;RIGHT(dms_CRCP_FirstYear_Result,2))))-1)</t>
  </si>
  <si>
    <t>This block works out the various RYE's for ALL RIN types and MODELS</t>
  </si>
  <si>
    <t>Is this a single Year RIN?</t>
  </si>
  <si>
    <t>=IF(SUM(dms_SingleYear_Model)=1,"yes","no")</t>
  </si>
  <si>
    <t>=IFERROR(IF(SUM(dms_SingleYear_Model)&lt;&gt;0,(INDIRECT(dms_SingleYear_FinalYear_Ref)),"not a single year RIN"),"CRY not present")</t>
  </si>
  <si>
    <t>PTRM/ RFMs</t>
  </si>
  <si>
    <t>ABC RINS THAT SPAN MULTIPLE YEARS</t>
  </si>
  <si>
    <t>Is this a multi year ABC RIN?</t>
  </si>
  <si>
    <t>Multiyear EB, CA or ARR?</t>
  </si>
  <si>
    <t>This is set from the answer provided above</t>
  </si>
  <si>
    <t>The result here is returned to dms_CRCP_FinalYear_Result if response to Q in C73 is "yes" and dms_MultiYear_Flag is set to 1</t>
  </si>
  <si>
    <t xml:space="preserve"> Start year for 5.2 in Multi year RINS</t>
  </si>
  <si>
    <t>dms_0502_Inst_Year</t>
  </si>
  <si>
    <t>=IF(dms_MultiYear_Flag=1,FRY,CRY)</t>
  </si>
  <si>
    <t>For single year RINS this is CRY - multi year RINS need to start a the end of the span of years (ie. FRY)</t>
  </si>
  <si>
    <t>EB RINS</t>
  </si>
  <si>
    <t>Calendar Year for table 3.6 data</t>
  </si>
  <si>
    <t>dms_0306_Year</t>
  </si>
  <si>
    <t>=IF(dms_RPT="financial",VALUE(LEFT(dms_SingleYear_FinalYear_Result,4)),VALUE(LEFT(dms_SingleYear_FinalYear_Result,4)-1))</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</si>
  <si>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</si>
  <si>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</si>
  <si>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</si>
  <si>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</si>
  <si>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</si>
  <si>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</si>
  <si>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</si>
  <si>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</si>
  <si>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</si>
  <si>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</si>
  <si>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</si>
  <si>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</si>
  <si>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</si>
  <si>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</si>
  <si>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=INDEX(dms_663_List,MATCH(dms_TradingName,dms_TradingName_List))</t>
  </si>
  <si>
    <t>ARR or RESET RINS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</si>
  <si>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</si>
  <si>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</si>
  <si>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</si>
  <si>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</si>
  <si>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</si>
  <si>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</si>
  <si>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</si>
  <si>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</si>
  <si>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</si>
  <si>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</si>
  <si>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</si>
  <si>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</si>
  <si>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</si>
  <si>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</si>
  <si>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</si>
  <si>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</si>
  <si>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</si>
  <si>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</si>
  <si>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</si>
  <si>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</si>
  <si>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</si>
  <si>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</si>
  <si>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</si>
  <si>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</si>
  <si>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</si>
  <si>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</si>
  <si>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</si>
  <si>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</si>
  <si>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</si>
  <si>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</si>
  <si>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</si>
  <si>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</si>
  <si>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</si>
  <si>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</si>
  <si>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</si>
  <si>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</si>
  <si>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Is dms_060801_StartCell named range present?</t>
  </si>
  <si>
    <t>=IFERROR(IF((ROW(dms_060801_StartCell)-1)=1,"yes","yes"),"no")</t>
  </si>
  <si>
    <t>Table 6.8 - Number of offset rows</t>
  </si>
  <si>
    <t>dms_0608_OffsetRows</t>
  </si>
  <si>
    <t>=IFERROR(IF(dms_Model="ARR",(ROW(dms_060801_StartCell)-1),"not an ARR"),"6.8 error")</t>
  </si>
  <si>
    <t>Table 6.8 - Last row</t>
  </si>
  <si>
    <t>6.8 not present</t>
  </si>
  <si>
    <t>dms_0608_LastRow</t>
  </si>
  <si>
    <t>=IFERROR(IF(dms_060801_StartCell&lt;&gt;"",IF(dms_Model="ARR",(LOOKUP(2,1/(dms_060801_01_Values&lt;&gt;""),(ROW(dms_060801_01_Values)))),"not an ARR"),0),"6.8 not present")</t>
  </si>
  <si>
    <t>Table 6.8 - MaxRows</t>
  </si>
  <si>
    <t>dms_060801_MaxRows</t>
  </si>
  <si>
    <t>=IFERROR(IF(dms_Model="ARR",(MAX(0,dms_0608_LastRow-dms_0608_OffsetRows)),"not an ARR"),"6.8 not present")</t>
  </si>
  <si>
    <t>TNSP RESET RINS</t>
  </si>
  <si>
    <t>Table 7.9.4 only appears in TNSPs Reset RIN</t>
  </si>
  <si>
    <t>Table 7.9.4 - first year</t>
  </si>
  <si>
    <t>dms_070904_Start_Year</t>
  </si>
  <si>
    <t>=LEFT(PRCP_y3,4)</t>
  </si>
  <si>
    <t>SUBSET FILES</t>
  </si>
  <si>
    <t>Is this Submission File a Subset File</t>
  </si>
  <si>
    <t>dms_Partial</t>
  </si>
  <si>
    <t>MISC</t>
  </si>
  <si>
    <t>Public lighting NSP?</t>
  </si>
  <si>
    <t>dms_Public_Lighting</t>
  </si>
  <si>
    <t>=INDEX(dms_Public_Lighting_List,MATCH(dms_TradingName,dms_TradingName_List))</t>
  </si>
  <si>
    <t>Fifth Feeder Category (eg. TasNetworks (D))</t>
  </si>
  <si>
    <t>dms_FifthFeeder_flag_NSP</t>
  </si>
  <si>
    <t>=INDEX(dms_FeederType_5_flag,MATCH(dms_TradingName,dms_TradingName_List))</t>
  </si>
  <si>
    <t>DISCARD FILES</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</si>
  <si>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</si>
  <si>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</si>
  <si>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</si>
  <si>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</si>
  <si>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</si>
  <si>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</si>
  <si>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</si>
  <si>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</si>
  <si>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</si>
  <si>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</si>
  <si>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</si>
  <si>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</si>
  <si>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</si>
  <si>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</si>
  <si>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Base year non-recurrent efficiency gain ($m)</t>
  </si>
  <si>
    <r>
      <t xml:space="preserve">Base year for the previous period </t>
    </r>
    <r>
      <rPr>
        <b/>
        <sz val="9"/>
        <color rgb="FFFF0000"/>
        <rFont val="Calibri"/>
        <family val="2"/>
        <scheme val="minor"/>
      </rPr>
      <t>(drop down menu)</t>
    </r>
  </si>
  <si>
    <t>Level 25</t>
  </si>
  <si>
    <t xml:space="preserve">Insurance costs </t>
  </si>
  <si>
    <r>
      <t xml:space="preserve">Based on  RBA, </t>
    </r>
    <r>
      <rPr>
        <i/>
        <sz val="11"/>
        <color theme="1"/>
        <rFont val="Calibri"/>
        <family val="2"/>
        <scheme val="minor"/>
      </rPr>
      <t>Statement on Monetary policy</t>
    </r>
    <r>
      <rPr>
        <sz val="11"/>
        <color theme="1"/>
        <rFont val="Calibri"/>
        <family val="2"/>
        <scheme val="minor"/>
      </rPr>
      <t>, August 2019, Appendix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</si>
</sst>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 ###\ ###\ ###\ ##0"/>
    <numFmt numFmtId="165" formatCode="_([$€-2]* #,##0.00_);_([$€-2]* \(#,##0.00\);_([$€-2]* &quot;-&quot;??_)"/>
    <numFmt numFmtId="166" formatCode="_-* #,##0.00_-;[Red]\(#,##0.00\)_-;_-* &quot;-&quot;??_-;_-@_-"/>
    <numFmt numFmtId="167" formatCode="_(* #,##0_);_(* \(#,##0\);_(* &quot;-&quot;_);_(@_)"/>
    <numFmt numFmtId="168" formatCode="_(* #,##0.00_);_(* \(#,##0.00\);_(* &quot;-&quot;??_);_(@_)"/>
    <numFmt numFmtId="169" formatCode="_(&quot;$&quot;* #,##0.00_);_(&quot;$&quot;* \(#,##0.00\);_(&quot;$&quot;*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0#\)\ ####\ ####"/>
    <numFmt numFmtId="186" formatCode="0.0"/>
    <numFmt numFmtId="187" formatCode="_-* #,##0_-;\-* #,##0_-;_-* &quot;-&quot;??_-;_-@_-"/>
    <numFmt numFmtId="188" formatCode="_-* #,##0.0_-;\-* #,##0.0_-;_-* &quot;-&quot;??_-;_-@_-"/>
    <numFmt numFmtId="189" formatCode="#,##0_ ;\(#,##0\)_ "/>
    <numFmt numFmtId="190" formatCode="#,##0.0_ ;\-#,##0.0\ "/>
    <numFmt numFmtId="191" formatCode="#,##0;\(#,##0\)"/>
    <numFmt numFmtId="192" formatCode="0###"/>
    <numFmt numFmtId="193" formatCode="#,##0.00000"/>
    <numFmt numFmtId="194" formatCode="#,##0.0000"/>
    <numFmt numFmtId="195" formatCode="_-* #,##0.0000_-;\-* #,##0.0000_-;_-* &quot;-&quot;??_-;_-@_-"/>
    <numFmt numFmtId="196" formatCode="0.0000"/>
  </numFmts>
  <fonts count="15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color theme="1"/>
      <name val="Arial"/>
      <family val="2"/>
    </font>
    <font>
      <sz val="14"/>
      <color rgb="FFFF0000"/>
      <name val="Arial"/>
      <family val="2"/>
    </font>
    <font>
      <sz val="11"/>
      <color theme="1"/>
      <name val="Arial"/>
      <family val="2"/>
    </font>
    <font>
      <b/>
      <sz val="10"/>
      <color rgb="FFFF0000"/>
      <name val="Arial"/>
      <family val="2"/>
    </font>
    <font>
      <b/>
      <sz val="12"/>
      <color theme="1"/>
      <name val="Calibri"/>
      <family val="2"/>
      <scheme val="minor"/>
    </font>
    <font>
      <b/>
      <sz val="10"/>
      <name val="Arial"/>
      <family val="2"/>
    </font>
    <font>
      <b/>
      <sz val="11"/>
      <name val="Calibri"/>
      <family val="2"/>
      <scheme val="minor"/>
    </font>
    <font>
      <sz val="10"/>
      <color theme="1"/>
      <name val="Arial"/>
      <family val="2"/>
    </font>
    <font>
      <sz val="10"/>
      <color theme="7" tint="-0.249977111117893"/>
      <name val="Arial"/>
      <family val="2"/>
    </font>
    <font>
      <sz val="11"/>
      <color theme="8" tint="-0.249977111117893"/>
      <name val="Arial"/>
      <family val="2"/>
    </font>
    <font>
      <sz val="10"/>
      <color rgb="FFFF0000"/>
      <name val="Arial"/>
      <family val="2"/>
    </font>
    <font>
      <sz val="10"/>
      <color indexed="8"/>
      <name val="Arial"/>
      <family val="2"/>
    </font>
    <font>
      <b/>
      <sz val="11"/>
      <color rgb="FFFF0000"/>
      <name val="Arial"/>
      <family val="2"/>
    </font>
    <font>
      <sz val="11"/>
      <name val="Calibri"/>
      <family val="2"/>
      <scheme val="minor"/>
    </font>
    <font>
      <sz val="11"/>
      <color theme="0" tint="-0.34998626667073579"/>
      <name val="Arial"/>
      <family val="2"/>
    </font>
    <font>
      <sz val="11"/>
      <color theme="1"/>
      <name val="Calibri"/>
      <family val="2"/>
    </font>
    <font>
      <sz val="9"/>
      <name val="Arial"/>
      <family val="2"/>
    </font>
    <font>
      <sz val="10"/>
      <color rgb="FF000000"/>
      <name val="Arial"/>
      <family val="2"/>
    </font>
    <font>
      <sz val="10"/>
      <color theme="0" tint="-0.34998626667073579"/>
      <name val="Arial"/>
      <family val="2"/>
    </font>
    <font>
      <b/>
      <sz val="11"/>
      <name val="Arial"/>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9"/>
      <color rgb="FF80808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2"/>
      <color theme="0"/>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6"/>
      <name val="Arial"/>
      <family val="2"/>
    </font>
    <font>
      <b/>
      <sz val="16"/>
      <color theme="0"/>
      <name val="Arial"/>
      <family val="2"/>
    </font>
    <font>
      <b/>
      <sz val="10"/>
      <color indexed="10"/>
      <name val="Arial"/>
      <family val="2"/>
    </font>
    <font>
      <b/>
      <sz val="9"/>
      <color indexed="1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b/>
      <sz val="10"/>
      <color theme="1"/>
      <name val="Arial"/>
      <family val="2"/>
    </font>
    <font>
      <sz val="10"/>
      <color theme="4" tint="-0.249977111117893"/>
      <name val="Arial"/>
      <family val="2"/>
    </font>
    <font>
      <sz val="10"/>
      <color theme="0"/>
      <name val="Arial"/>
      <family val="2"/>
    </font>
    <font>
      <sz val="10"/>
      <color rgb="FFFFCC00"/>
      <name val="Arial"/>
      <family val="2"/>
    </font>
    <font>
      <b/>
      <sz val="12"/>
      <color rgb="FFFF0000"/>
      <name val="Calibri"/>
      <family val="2"/>
      <scheme val="minor"/>
    </font>
    <font>
      <b/>
      <sz val="10"/>
      <color rgb="FFFFCC00"/>
      <name val="Arial"/>
      <family val="2"/>
    </font>
    <font>
      <sz val="10"/>
      <color rgb="FFFFFFFF"/>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sz val="11"/>
      <color theme="5" tint="-0.249977111117893"/>
      <name val="Arial"/>
      <family val="2"/>
    </font>
    <font>
      <sz val="10"/>
      <color theme="5" tint="-0.249977111117893"/>
      <name val="Arial"/>
      <family val="2"/>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sz val="5"/>
      <name val="Arial"/>
      <family val="2"/>
    </font>
    <font>
      <b/>
      <sz val="10"/>
      <color theme="0"/>
      <name val="Arial"/>
      <family val="2"/>
    </font>
    <font>
      <vertAlign val="superscript"/>
      <sz val="5"/>
      <name val="Arial"/>
      <family val="2"/>
    </font>
    <font>
      <b/>
      <sz val="14"/>
      <color theme="0"/>
      <name val="Arial"/>
      <family val="2"/>
    </font>
    <font>
      <sz val="12"/>
      <name val="Arial"/>
      <family val="2"/>
    </font>
    <font>
      <sz val="12"/>
      <color theme="1"/>
      <name val="Arial"/>
      <family val="2"/>
    </font>
    <font>
      <vertAlign val="subscript"/>
      <sz val="14"/>
      <color theme="1"/>
      <name val="Arial"/>
      <family val="2"/>
    </font>
    <font>
      <sz val="11"/>
      <name val="Arial"/>
      <family val="2"/>
    </font>
    <font>
      <sz val="11"/>
      <color theme="4" tint="-0.249977111117893"/>
      <name val="Calibri"/>
      <family val="2"/>
      <scheme val="minor"/>
    </font>
    <font>
      <strike/>
      <sz val="11"/>
      <color theme="1"/>
      <name val="Arial"/>
      <family val="2"/>
    </font>
    <font>
      <strike/>
      <sz val="11"/>
      <color theme="1"/>
      <name val="Calibri"/>
      <family val="2"/>
      <scheme val="minor"/>
    </font>
    <font>
      <strike/>
      <sz val="10"/>
      <name val="Arial"/>
      <family val="2"/>
    </font>
    <font>
      <sz val="11"/>
      <color theme="4"/>
      <name val="Calibri"/>
      <family val="2"/>
      <scheme val="minor"/>
    </font>
    <font>
      <sz val="10"/>
      <color theme="4"/>
      <name val="Arial"/>
      <family val="2"/>
    </font>
    <font>
      <sz val="11"/>
      <color rgb="FF0070C0"/>
      <name val="Calibri"/>
      <family val="2"/>
      <scheme val="minor"/>
    </font>
    <font>
      <sz val="10"/>
      <color rgb="FF0070C0"/>
      <name val="Arial"/>
      <family val="2"/>
    </font>
    <font>
      <i/>
      <sz val="10"/>
      <color rgb="FFFF0000"/>
      <name val="Arial"/>
      <family val="2"/>
    </font>
    <font>
      <b/>
      <i/>
      <sz val="10"/>
      <name val="Arial"/>
      <family val="2"/>
    </font>
    <font>
      <b/>
      <i/>
      <sz val="11"/>
      <color theme="1"/>
      <name val="Calibri"/>
      <family val="2"/>
      <scheme val="minor"/>
    </font>
    <font>
      <sz val="10"/>
      <color rgb="FF366092"/>
      <name val="Arial"/>
      <family val="2"/>
    </font>
    <font>
      <sz val="10"/>
      <color theme="4" tint="-0.499984740745262"/>
      <name val="Arial"/>
      <family val="2"/>
    </font>
    <font>
      <b/>
      <u/>
      <sz val="11"/>
      <color theme="1"/>
      <name val="Arial"/>
      <family val="2"/>
    </font>
    <font>
      <b/>
      <i/>
      <sz val="11"/>
      <color theme="1"/>
      <name val="Arial"/>
      <family val="2"/>
    </font>
    <font>
      <sz val="11"/>
      <color rgb="FFFF0000"/>
      <name val="Arial"/>
      <family val="2"/>
    </font>
    <font>
      <sz val="11"/>
      <color theme="4" tint="-0.249977111117893"/>
      <name val="Arial"/>
      <family val="2"/>
    </font>
    <font>
      <i/>
      <sz val="10"/>
      <color theme="4" tint="-0.249977111117893"/>
      <name val="Arial"/>
      <family val="2"/>
    </font>
    <font>
      <i/>
      <sz val="10"/>
      <color theme="0" tint="-0.499984740745262"/>
      <name val="Arial"/>
      <family val="2"/>
    </font>
    <font>
      <i/>
      <u/>
      <sz val="10"/>
      <color theme="0" tint="-0.499984740745262"/>
      <name val="Arial"/>
      <family val="2"/>
    </font>
    <font>
      <i/>
      <sz val="10"/>
      <color theme="4" tint="-0.499984740745262"/>
      <name val="Arial"/>
      <family val="2"/>
    </font>
    <font>
      <sz val="16"/>
      <color rgb="FFFF0000"/>
      <name val="Arial"/>
      <family val="2"/>
    </font>
    <font>
      <b/>
      <sz val="10"/>
      <color rgb="FF808080"/>
      <name val="Arial"/>
      <family val="2"/>
    </font>
    <font>
      <b/>
      <sz val="11"/>
      <color rgb="FFFF0000"/>
      <name val="Calibri"/>
      <family val="2"/>
      <scheme val="minor"/>
    </font>
    <font>
      <b/>
      <sz val="9"/>
      <color rgb="FFFF0000"/>
      <name val="Calibri"/>
      <family val="2"/>
      <scheme val="minor"/>
    </font>
    <font>
      <sz val="10"/>
      <name val="Arial"/>
    </font>
    <font>
      <i/>
      <sz val="11"/>
      <color theme="1"/>
      <name val="Calibri"/>
      <family val="2"/>
      <scheme val="minor"/>
    </font>
  </fonts>
  <fills count="8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4"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theme="9" tint="0.79998168889431442"/>
        <bgColor indexed="64"/>
      </patternFill>
    </fill>
    <fill>
      <patternFill patternType="solid">
        <fgColor rgb="FFFCD5B4"/>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7" tint="0.59999389629810485"/>
        <bgColor rgb="FF000000"/>
      </patternFill>
    </fill>
    <fill>
      <patternFill patternType="solid">
        <fgColor theme="6" tint="0.79998168889431442"/>
        <bgColor rgb="FF000000"/>
      </patternFill>
    </fill>
    <fill>
      <patternFill patternType="solid">
        <fgColor rgb="FFE4DFEC"/>
        <bgColor rgb="FF000000"/>
      </patternFill>
    </fill>
    <fill>
      <patternFill patternType="solid">
        <fgColor rgb="FFCCC0DA"/>
        <bgColor rgb="FF000000"/>
      </patternFill>
    </fill>
    <fill>
      <patternFill patternType="solid">
        <fgColor theme="7" tint="0.79998168889431442"/>
        <bgColor rgb="FF000000"/>
      </patternFill>
    </fill>
    <fill>
      <patternFill patternType="solid">
        <fgColor theme="0" tint="-0.14999847407452621"/>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solid">
        <fgColor rgb="FFFFFFCC"/>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2"/>
        <bgColor auto="1"/>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59999389629810485"/>
        <bgColor indexed="64"/>
      </patternFill>
    </fill>
    <fill>
      <patternFill patternType="solid">
        <fgColor rgb="FFA6A6A6"/>
        <bgColor rgb="FF000000"/>
      </patternFill>
    </fill>
    <fill>
      <patternFill patternType="solid">
        <fgColor theme="4" tint="-0.499984740745262"/>
        <bgColor rgb="FF000000"/>
      </patternFill>
    </fill>
    <fill>
      <patternFill patternType="solid">
        <fgColor rgb="FFBFBFBF"/>
        <bgColor rgb="FF000000"/>
      </patternFill>
    </fill>
    <fill>
      <patternFill patternType="solid">
        <fgColor theme="0" tint="-0.34998626667073579"/>
        <bgColor rgb="FF000000"/>
      </patternFill>
    </fill>
  </fills>
  <borders count="350">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style="thin">
        <color theme="0" tint="-0.24994659260841701"/>
      </right>
      <top/>
      <bottom style="medium">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style="thin">
        <color theme="0" tint="-0.34998626667073579"/>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auto="1"/>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right style="medium">
        <color auto="1"/>
      </right>
      <top style="thin">
        <color theme="0" tint="-0.24994659260841701"/>
      </top>
      <bottom style="medium">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auto="1"/>
      </bottom>
      <diagonal/>
    </border>
    <border>
      <left/>
      <right/>
      <top style="medium">
        <color rgb="FFFF0000"/>
      </top>
      <bottom style="medium">
        <color auto="1"/>
      </bottom>
      <diagonal/>
    </border>
    <border>
      <left/>
      <right style="medium">
        <color rgb="FFFF0000"/>
      </right>
      <top style="medium">
        <color rgb="FFFF0000"/>
      </top>
      <bottom style="medium">
        <color auto="1"/>
      </bottom>
      <diagonal/>
    </border>
    <border>
      <left style="thin">
        <color indexed="64"/>
      </left>
      <right/>
      <top style="thin">
        <color indexed="64"/>
      </top>
      <bottom style="thin">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top style="medium">
        <color indexed="64"/>
      </top>
      <bottom style="medium">
        <color auto="1"/>
      </bottom>
      <diagonal/>
    </border>
    <border>
      <left style="medium">
        <color rgb="FFFF0000"/>
      </left>
      <right style="thin">
        <color indexed="64"/>
      </right>
      <top style="medium">
        <color indexed="64"/>
      </top>
      <bottom style="medium">
        <color auto="1"/>
      </bottom>
      <diagonal/>
    </border>
    <border>
      <left style="thin">
        <color rgb="FFBFBFBF"/>
      </left>
      <right style="thin">
        <color indexed="64"/>
      </right>
      <top style="medium">
        <color indexed="64"/>
      </top>
      <bottom style="medium">
        <color auto="1"/>
      </bottom>
      <diagonal/>
    </border>
    <border>
      <left style="thin">
        <color rgb="FFBFBFBF"/>
      </left>
      <right style="medium">
        <color rgb="FFFF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medium">
        <color rgb="FFFF0000"/>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rgb="FFFF0000"/>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diagonal/>
    </border>
    <border>
      <left style="medium">
        <color rgb="FFFF0000"/>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top style="thin">
        <color indexed="64"/>
      </top>
      <bottom style="thin">
        <color indexed="64"/>
      </bottom>
      <diagonal/>
    </border>
    <border>
      <left style="medium">
        <color indexed="64"/>
      </left>
      <right style="medium">
        <color auto="1"/>
      </right>
      <top/>
      <bottom style="thin">
        <color auto="1"/>
      </bottom>
      <diagonal/>
    </border>
    <border>
      <left style="medium">
        <color auto="1"/>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top style="thin">
        <color rgb="FFBFBFBF"/>
      </top>
      <bottom style="medium">
        <color auto="1"/>
      </bottom>
      <diagonal/>
    </border>
    <border>
      <left style="medium">
        <color rgb="FFFF0000"/>
      </left>
      <right style="thin">
        <color theme="0" tint="-0.24994659260841701"/>
      </right>
      <top style="thin">
        <color theme="0" tint="-0.24994659260841701"/>
      </top>
      <bottom style="medium">
        <color auto="1"/>
      </bottom>
      <diagonal/>
    </border>
    <border>
      <left style="thin">
        <color theme="0" tint="-0.24994659260841701"/>
      </left>
      <right style="medium">
        <color rgb="FFFF0000"/>
      </right>
      <top style="thin">
        <color theme="0" tint="-0.24994659260841701"/>
      </top>
      <bottom style="medium">
        <color indexed="64"/>
      </bottom>
      <diagonal/>
    </border>
    <border>
      <left style="medium">
        <color auto="1"/>
      </left>
      <right style="thin">
        <color indexed="64"/>
      </right>
      <top style="thin">
        <color theme="0" tint="-0.24994659260841701"/>
      </top>
      <bottom style="medium">
        <color indexed="64"/>
      </bottom>
      <diagonal/>
    </border>
    <border>
      <left/>
      <right style="medium">
        <color rgb="FFFF0000"/>
      </right>
      <top/>
      <bottom/>
      <diagonal/>
    </border>
    <border>
      <left style="medium">
        <color indexed="64"/>
      </left>
      <right style="thin">
        <color theme="0" tint="-0.24994659260841701"/>
      </right>
      <top style="medium">
        <color indexed="64"/>
      </top>
      <bottom/>
      <diagonal/>
    </border>
    <border>
      <left style="thin">
        <color theme="0" tint="-0.24994659260841701"/>
      </left>
      <right style="thin">
        <color indexed="64"/>
      </right>
      <top style="medium">
        <color indexed="64"/>
      </top>
      <bottom style="medium">
        <color indexed="64"/>
      </bottom>
      <diagonal/>
    </border>
    <border>
      <left style="medium">
        <color rgb="FFFF0000"/>
      </left>
      <right/>
      <top style="medium">
        <color indexed="64"/>
      </top>
      <bottom style="medium">
        <color indexed="64"/>
      </bottom>
      <diagonal/>
    </border>
    <border>
      <left style="medium">
        <color auto="1"/>
      </left>
      <right style="thin">
        <color indexed="64"/>
      </right>
      <top style="medium">
        <color indexed="64"/>
      </top>
      <bottom style="thin">
        <color theme="0" tint="-0.24994659260841701"/>
      </bottom>
      <diagonal/>
    </border>
    <border>
      <left style="medium">
        <color rgb="FFFF0000"/>
      </left>
      <right style="thin">
        <color theme="0" tint="-0.24994659260841701"/>
      </right>
      <top style="medium">
        <color indexed="64"/>
      </top>
      <bottom/>
      <diagonal/>
    </border>
    <border>
      <left style="thin">
        <color theme="0" tint="-0.24994659260841701"/>
      </left>
      <right style="medium">
        <color auto="1"/>
      </right>
      <top style="medium">
        <color indexed="64"/>
      </top>
      <bottom/>
      <diagonal/>
    </border>
    <border>
      <left/>
      <right style="medium">
        <color indexed="64"/>
      </right>
      <top style="medium">
        <color indexed="64"/>
      </top>
      <bottom style="thin">
        <color theme="0" tint="-0.34998626667073579"/>
      </bottom>
      <diagonal/>
    </border>
    <border>
      <left style="medium">
        <color rgb="FFFF0000"/>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rgb="FFFF0000"/>
      </left>
      <right style="thin">
        <color theme="0" tint="-0.24994659260841701"/>
      </right>
      <top style="thin">
        <color theme="0" tint="-0.24994659260841701"/>
      </top>
      <bottom style="medium">
        <color rgb="FFFF0000"/>
      </bottom>
      <diagonal/>
    </border>
    <border>
      <left style="thin">
        <color theme="0" tint="-0.24994659260841701"/>
      </left>
      <right style="thin">
        <color theme="0" tint="-0.24994659260841701"/>
      </right>
      <top style="thin">
        <color theme="0" tint="-0.24994659260841701"/>
      </top>
      <bottom style="medium">
        <color rgb="FFFF0000"/>
      </bottom>
      <diagonal/>
    </border>
    <border>
      <left style="thin">
        <color theme="0" tint="-0.24994659260841701"/>
      </left>
      <right style="thin">
        <color indexed="64"/>
      </right>
      <top style="thin">
        <color theme="0" tint="-0.24994659260841701"/>
      </top>
      <bottom style="medium">
        <color rgb="FFFF0000"/>
      </bottom>
      <diagonal/>
    </border>
    <border>
      <left/>
      <right style="medium">
        <color rgb="FFFF0000"/>
      </right>
      <top/>
      <bottom style="medium">
        <color rgb="FFFF000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9" tint="-0.249977111117893"/>
      </left>
      <right style="thin">
        <color rgb="FFA6A6A6"/>
      </right>
      <top style="medium">
        <color auto="1"/>
      </top>
      <bottom style="medium">
        <color auto="1"/>
      </bottom>
      <diagonal/>
    </border>
    <border>
      <left style="thin">
        <color rgb="FFA6A6A6"/>
      </left>
      <right style="thin">
        <color rgb="FFA6A6A6"/>
      </right>
      <top style="medium">
        <color indexed="64"/>
      </top>
      <bottom style="medium">
        <color indexed="64"/>
      </bottom>
      <diagonal/>
    </border>
    <border>
      <left style="medium">
        <color auto="1"/>
      </left>
      <right style="thin">
        <color rgb="FFA6A6A6"/>
      </right>
      <top style="medium">
        <color auto="1"/>
      </top>
      <bottom style="medium">
        <color auto="1"/>
      </bottom>
      <diagonal/>
    </border>
    <border>
      <left style="thin">
        <color rgb="FFBFBFBF"/>
      </left>
      <right style="medium">
        <color theme="9" tint="-0.249977111117893"/>
      </right>
      <top style="medium">
        <color indexed="64"/>
      </top>
      <bottom style="medium">
        <color indexed="64"/>
      </bottom>
      <diagonal/>
    </border>
    <border>
      <left style="medium">
        <color theme="8" tint="-0.249977111117893"/>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medium">
        <color theme="8" tint="-0.249977111117893"/>
      </right>
      <top style="medium">
        <color indexed="64"/>
      </top>
      <bottom style="medium">
        <color indexed="64"/>
      </bottom>
      <diagonal/>
    </border>
    <border>
      <left style="medium">
        <color theme="9" tint="-0.249977111117893"/>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indexed="64"/>
      </left>
      <right style="thin">
        <color rgb="FFA6A6A6"/>
      </right>
      <top/>
      <bottom style="thin">
        <color rgb="FFA6A6A6"/>
      </bottom>
      <diagonal/>
    </border>
    <border>
      <left style="thin">
        <color rgb="FFBFBFBF"/>
      </left>
      <right style="medium">
        <color theme="9" tint="-0.249977111117893"/>
      </right>
      <top/>
      <bottom style="thin">
        <color rgb="FFBFBFBF"/>
      </bottom>
      <diagonal/>
    </border>
    <border>
      <left style="medium">
        <color theme="8" tint="-0.249977111117893"/>
      </left>
      <right/>
      <top/>
      <bottom/>
      <diagonal/>
    </border>
    <border>
      <left style="thin">
        <color theme="0" tint="-0.24994659260841701"/>
      </left>
      <right style="thin">
        <color indexed="64"/>
      </right>
      <top/>
      <bottom style="thin">
        <color theme="0" tint="-0.24994659260841701"/>
      </bottom>
      <diagonal/>
    </border>
    <border>
      <left/>
      <right style="medium">
        <color theme="8" tint="-0.249977111117893"/>
      </right>
      <top/>
      <bottom/>
      <diagonal/>
    </border>
    <border>
      <left style="medium">
        <color theme="9" tint="-0.249977111117893"/>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indexed="64"/>
      </left>
      <right style="thin">
        <color rgb="FFA6A6A6"/>
      </right>
      <top style="thin">
        <color rgb="FFA6A6A6"/>
      </top>
      <bottom style="thin">
        <color rgb="FFA6A6A6"/>
      </bottom>
      <diagonal/>
    </border>
    <border>
      <left style="thin">
        <color rgb="FFBFBFBF"/>
      </left>
      <right style="medium">
        <color theme="9" tint="-0.249977111117893"/>
      </right>
      <top style="thin">
        <color rgb="FFBFBFBF"/>
      </top>
      <bottom style="thin">
        <color rgb="FFBFBFBF"/>
      </bottom>
      <diagonal/>
    </border>
    <border>
      <left style="medium">
        <color theme="9" tint="-0.249977111117893"/>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indexed="64"/>
      </left>
      <right style="thin">
        <color rgb="FFA6A6A6"/>
      </right>
      <top style="thin">
        <color rgb="FFA6A6A6"/>
      </top>
      <bottom style="thin">
        <color rgb="FFBFBFBF"/>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thin">
        <color theme="0" tint="-0.24994659260841701"/>
      </right>
      <top style="medium">
        <color auto="1"/>
      </top>
      <bottom style="thin">
        <color theme="0" tint="-0.24994659260841701"/>
      </bottom>
      <diagonal/>
    </border>
    <border>
      <left style="medium">
        <color theme="9" tint="-0.249977111117893"/>
      </left>
      <right style="thin">
        <color theme="0" tint="-0.24994659260841701"/>
      </right>
      <top style="thin">
        <color theme="0" tint="-0.24994659260841701"/>
      </top>
      <bottom style="thin">
        <color theme="0" tint="-0.24994659260841701"/>
      </bottom>
      <diagonal/>
    </border>
    <border>
      <left/>
      <right/>
      <top style="medium">
        <color auto="1"/>
      </top>
      <bottom style="thin">
        <color rgb="FFBFBFBF"/>
      </bottom>
      <diagonal/>
    </border>
    <border>
      <left style="medium">
        <color indexed="64"/>
      </left>
      <right style="thin">
        <color indexed="64"/>
      </right>
      <top style="medium">
        <color indexed="64"/>
      </top>
      <bottom style="thin">
        <color rgb="FFBFBFBF"/>
      </bottom>
      <diagonal/>
    </border>
    <border>
      <left/>
      <right style="medium">
        <color indexed="64"/>
      </right>
      <top style="thin">
        <color rgb="FFBFBFBF"/>
      </top>
      <bottom style="thin">
        <color rgb="FFBFBFBF"/>
      </bottom>
      <diagonal/>
    </border>
    <border>
      <left style="medium">
        <color indexed="64"/>
      </left>
      <right style="medium">
        <color indexed="64"/>
      </right>
      <top/>
      <bottom style="thin">
        <color rgb="FFBFBFBF"/>
      </bottom>
      <diagonal/>
    </border>
    <border>
      <left/>
      <right/>
      <top style="thin">
        <color rgb="FFBFBFBF"/>
      </top>
      <bottom style="thin">
        <color rgb="FFBFBFBF"/>
      </bottom>
      <diagonal/>
    </border>
    <border>
      <left style="medium">
        <color auto="1"/>
      </left>
      <right style="thin">
        <color auto="1"/>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medium">
        <color theme="8" tint="-0.249977111117893"/>
      </left>
      <right/>
      <top/>
      <bottom style="medium">
        <color theme="8" tint="-0.249977111117893"/>
      </bottom>
      <diagonal/>
    </border>
    <border>
      <left style="medium">
        <color indexed="64"/>
      </left>
      <right style="thin">
        <color theme="0" tint="-0.24994659260841701"/>
      </right>
      <top style="thin">
        <color theme="0" tint="-0.24994659260841701"/>
      </top>
      <bottom style="medium">
        <color theme="8" tint="-0.249977111117893"/>
      </bottom>
      <diagonal/>
    </border>
    <border>
      <left style="thin">
        <color theme="0" tint="-0.24994659260841701"/>
      </left>
      <right style="thin">
        <color indexed="64"/>
      </right>
      <top style="thin">
        <color theme="0" tint="-0.24994659260841701"/>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right/>
      <top/>
      <bottom style="thin">
        <color rgb="FFBFBFBF"/>
      </bottom>
      <diagonal/>
    </border>
    <border>
      <left style="thin">
        <color theme="0" tint="-0.24994659260841701"/>
      </left>
      <right style="medium">
        <color auto="1"/>
      </right>
      <top style="medium">
        <color indexed="64"/>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indexed="64"/>
      </left>
      <right style="thin">
        <color indexed="64"/>
      </right>
      <top style="thin">
        <color rgb="FFBFBFBF"/>
      </top>
      <bottom style="medium">
        <color auto="1"/>
      </bottom>
      <diagonal/>
    </border>
    <border>
      <left style="thin">
        <color indexed="64"/>
      </left>
      <right style="medium">
        <color indexed="64"/>
      </right>
      <top style="thin">
        <color rgb="FFBFBFBF"/>
      </top>
      <bottom style="medium">
        <color indexed="64"/>
      </bottom>
      <diagonal/>
    </border>
    <border>
      <left style="medium">
        <color indexed="64"/>
      </left>
      <right style="medium">
        <color indexed="64"/>
      </right>
      <top/>
      <bottom style="medium">
        <color indexed="64"/>
      </bottom>
      <diagonal/>
    </border>
    <border>
      <left style="medium">
        <color theme="9" tint="-0.249977111117893"/>
      </left>
      <right style="thin">
        <color theme="0" tint="-0.24994659260841701"/>
      </right>
      <top style="thin">
        <color theme="0" tint="-0.24994659260841701"/>
      </top>
      <bottom style="medium">
        <color theme="9" tint="-0.249977111117893"/>
      </bottom>
      <diagonal/>
    </border>
    <border>
      <left style="thin">
        <color theme="0" tint="-0.24994659260841701"/>
      </left>
      <right style="thin">
        <color theme="0" tint="-0.24994659260841701"/>
      </right>
      <top style="thin">
        <color theme="0" tint="-0.24994659260841701"/>
      </top>
      <bottom style="medium">
        <color theme="9" tint="-0.249977111117893"/>
      </bottom>
      <diagonal/>
    </border>
    <border>
      <left style="thin">
        <color theme="0" tint="-0.24994659260841701"/>
      </left>
      <right style="thin">
        <color indexed="64"/>
      </right>
      <top style="thin">
        <color theme="0" tint="-0.24994659260841701"/>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n">
        <color theme="0" tint="-0.24994659260841701"/>
      </left>
      <right style="medium">
        <color auto="1"/>
      </right>
      <top style="thin">
        <color theme="0" tint="-0.2499465926084170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top/>
      <bottom style="medium">
        <color auto="1"/>
      </bottom>
      <diagonal/>
    </border>
    <border>
      <left style="thin">
        <color theme="0" tint="-0.34998626667073579"/>
      </left>
      <right/>
      <top style="thin">
        <color theme="0" tint="-0.34998626667073579"/>
      </top>
      <bottom style="medium">
        <color auto="1"/>
      </bottom>
      <diagonal/>
    </border>
    <border>
      <left style="thin">
        <color theme="0" tint="-0.24994659260841701"/>
      </left>
      <right/>
      <top style="thin">
        <color theme="0" tint="-0.24994659260841701"/>
      </top>
      <bottom style="medium">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right/>
      <top/>
      <bottom style="thin">
        <color theme="0" tint="-0.24994659260841701"/>
      </bottom>
      <diagonal/>
    </border>
    <border>
      <left/>
      <right style="medium">
        <color indexed="64"/>
      </right>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thin">
        <color indexed="64"/>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indexed="64"/>
      </right>
      <top style="medium">
        <color auto="1"/>
      </top>
      <bottom style="thin">
        <color theme="0" tint="-0.34998626667073579"/>
      </bottom>
      <diagonal/>
    </border>
    <border>
      <left/>
      <right style="thin">
        <color theme="0" tint="-0.24994659260841701"/>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style="medium">
        <color indexed="64"/>
      </left>
      <right/>
      <top style="thin">
        <color theme="0" tint="-0.24994659260841701"/>
      </top>
      <bottom/>
      <diagonal/>
    </border>
    <border>
      <left style="medium">
        <color indexed="64"/>
      </left>
      <right style="medium">
        <color indexed="64"/>
      </right>
      <top style="medium">
        <color indexed="64"/>
      </top>
      <bottom style="thin">
        <color indexed="64"/>
      </bottom>
      <diagonal/>
    </border>
    <border>
      <left style="thin">
        <color theme="0" tint="-0.24994659260841701"/>
      </left>
      <right/>
      <top/>
      <bottom/>
      <diagonal/>
    </border>
    <border>
      <left style="medium">
        <color rgb="FFFF0000"/>
      </left>
      <right/>
      <top/>
      <bottom style="medium">
        <color rgb="FFFF0000"/>
      </bottom>
      <diagonal/>
    </border>
    <border>
      <left/>
      <right/>
      <top/>
      <bottom style="medium">
        <color rgb="FFFF0000"/>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style="thin">
        <color theme="0" tint="-0.24994659260841701"/>
      </left>
      <right style="medium">
        <color indexed="64"/>
      </right>
      <top style="thin">
        <color theme="0" tint="-0.24994659260841701"/>
      </top>
      <bottom/>
      <diagonal/>
    </border>
    <border>
      <left/>
      <right style="thin">
        <color indexed="64"/>
      </right>
      <top style="medium">
        <color indexed="64"/>
      </top>
      <bottom style="thin">
        <color indexed="64"/>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thin">
        <color theme="0" tint="-0.34998626667073579"/>
      </top>
      <bottom style="medium">
        <color indexed="64"/>
      </bottom>
      <diagonal/>
    </border>
    <border>
      <left/>
      <right/>
      <top style="medium">
        <color indexed="64"/>
      </top>
      <bottom style="thin">
        <color theme="0" tint="-0.34998626667073579"/>
      </bottom>
      <diagonal/>
    </border>
    <border>
      <left style="thin">
        <color theme="0" tint="-0.34998626667073579"/>
      </left>
      <right/>
      <top style="medium">
        <color auto="1"/>
      </top>
      <bottom style="thin">
        <color theme="0" tint="-0.34998626667073579"/>
      </bottom>
      <diagonal/>
    </border>
    <border>
      <left style="thin">
        <color indexed="64"/>
      </left>
      <right/>
      <top style="medium">
        <color indexed="64"/>
      </top>
      <bottom/>
      <diagonal/>
    </border>
    <border>
      <left style="thin">
        <color theme="0" tint="-0.24994659260841701"/>
      </left>
      <right/>
      <top style="medium">
        <color indexed="64"/>
      </top>
      <bottom/>
      <diagonal/>
    </border>
    <border>
      <left style="thin">
        <color theme="0" tint="-0.24994659260841701"/>
      </left>
      <right style="medium">
        <color indexed="64"/>
      </right>
      <top style="medium">
        <color indexed="64"/>
      </top>
      <bottom style="medium">
        <color indexed="64"/>
      </bottom>
      <diagonal/>
    </border>
    <border>
      <left/>
      <right/>
      <top style="thin">
        <color theme="4"/>
      </top>
      <bottom/>
      <diagonal/>
    </border>
    <border>
      <left style="thin">
        <color theme="0" tint="-0.34998626667073579"/>
      </left>
      <right/>
      <top style="medium">
        <color indexed="64"/>
      </top>
      <bottom/>
      <diagonal/>
    </border>
    <border>
      <left style="thin">
        <color theme="0" tint="-0.24994659260841701"/>
      </left>
      <right style="medium">
        <color indexed="64"/>
      </right>
      <top/>
      <bottom style="thin">
        <color theme="0" tint="-0.24994659260841701"/>
      </bottom>
      <diagonal/>
    </border>
    <border>
      <left/>
      <right style="thin">
        <color theme="0" tint="-0.34998626667073579"/>
      </right>
      <top style="thin">
        <color theme="4"/>
      </top>
      <bottom/>
      <diagonal/>
    </border>
    <border>
      <left style="thin">
        <color indexed="64"/>
      </left>
      <right/>
      <top style="thin">
        <color theme="0" tint="-0.24994659260841701"/>
      </top>
      <bottom/>
      <diagonal/>
    </border>
    <border>
      <left style="medium">
        <color indexed="64"/>
      </left>
      <right/>
      <top style="thin">
        <color theme="0" tint="-0.24994659260841701"/>
      </top>
      <bottom style="medium">
        <color indexed="64"/>
      </bottom>
      <diagonal/>
    </border>
    <border>
      <left style="thin">
        <color indexed="64"/>
      </left>
      <right/>
      <top style="thin">
        <color theme="0" tint="-0.24994659260841701"/>
      </top>
      <bottom style="medium">
        <color auto="1"/>
      </bottom>
      <diagonal/>
    </border>
    <border>
      <left style="medium">
        <color auto="1"/>
      </left>
      <right/>
      <top style="medium">
        <color auto="1"/>
      </top>
      <bottom style="medium">
        <color rgb="FFFF0000"/>
      </bottom>
      <diagonal/>
    </border>
    <border>
      <left/>
      <right/>
      <top style="medium">
        <color auto="1"/>
      </top>
      <bottom style="medium">
        <color rgb="FFFF0000"/>
      </bottom>
      <diagonal/>
    </border>
    <border>
      <left/>
      <right style="medium">
        <color auto="1"/>
      </right>
      <top style="medium">
        <color auto="1"/>
      </top>
      <bottom style="medium">
        <color rgb="FFFF0000"/>
      </bottom>
      <diagonal/>
    </border>
    <border>
      <left style="medium">
        <color rgb="FFFF0000"/>
      </left>
      <right/>
      <top/>
      <bottom style="medium">
        <color auto="1"/>
      </bottom>
      <diagonal/>
    </border>
    <border>
      <left/>
      <right style="medium">
        <color rgb="FFFF0000"/>
      </right>
      <top/>
      <bottom style="medium">
        <color auto="1"/>
      </bottom>
      <diagonal/>
    </border>
    <border>
      <left style="medium">
        <color rgb="FFFF0000"/>
      </left>
      <right style="thin">
        <color theme="0" tint="-0.24994659260841701"/>
      </right>
      <top/>
      <bottom style="thin">
        <color theme="0" tint="-0.24994659260841701"/>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theme="0" tint="-0.24994659260841701"/>
      </right>
      <top style="medium">
        <color indexed="64"/>
      </top>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right style="medium">
        <color indexed="64"/>
      </right>
      <top/>
      <bottom style="mediumDashed">
        <color theme="0" tint="-0.34998626667073579"/>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bottom style="medium">
        <color indexed="64"/>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rgb="FFBFBFBF"/>
      </left>
      <right style="medium">
        <color indexed="64"/>
      </right>
      <top style="thin">
        <color rgb="FFBFBFBF"/>
      </top>
      <bottom style="medium">
        <color indexed="64"/>
      </bottom>
      <diagonal/>
    </border>
    <border>
      <left style="medium">
        <color indexed="64"/>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auto="1"/>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theme="0" tint="-0.24994659260841701"/>
      </left>
      <right/>
      <top style="thin">
        <color indexed="64"/>
      </top>
      <bottom style="thin">
        <color theme="0" tint="-0.24994659260841701"/>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diagonal/>
    </border>
    <border>
      <left style="thin">
        <color theme="0" tint="-0.34998626667073579"/>
      </left>
      <right style="thin">
        <color indexed="64"/>
      </right>
      <top/>
      <bottom/>
      <diagonal/>
    </border>
    <border>
      <left/>
      <right style="thin">
        <color indexed="64"/>
      </right>
      <top/>
      <bottom style="thin">
        <color theme="0" tint="-0.34998626667073579"/>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indexed="64"/>
      </top>
      <bottom style="thin">
        <color theme="0" tint="-0.24994659260841701"/>
      </bottom>
      <diagonal/>
    </border>
    <border>
      <left style="thin">
        <color theme="0" tint="-0.249977111117893"/>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medium">
        <color indexed="64"/>
      </top>
      <bottom/>
      <diagonal/>
    </border>
    <border>
      <left/>
      <right style="medium">
        <color indexed="64"/>
      </right>
      <top/>
      <bottom style="thin">
        <color theme="0" tint="-0.34998626667073579"/>
      </bottom>
      <diagonal/>
    </border>
    <border>
      <left style="thin">
        <color theme="0" tint="-0.24994659260841701"/>
      </left>
      <right style="medium">
        <color indexed="64"/>
      </right>
      <top/>
      <bottom/>
      <diagonal/>
    </border>
    <border>
      <left style="medium">
        <color indexed="64"/>
      </left>
      <right style="thin">
        <color theme="0" tint="-0.34998626667073579"/>
      </right>
      <top/>
      <bottom style="thin">
        <color theme="0" tint="-0.34998626667073579"/>
      </bottom>
      <diagonal/>
    </border>
    <border>
      <left/>
      <right style="medium">
        <color indexed="64"/>
      </right>
      <top style="thin">
        <color indexed="64"/>
      </top>
      <bottom/>
      <diagonal/>
    </border>
    <border>
      <left style="thin">
        <color theme="0" tint="-0.34998626667073579"/>
      </left>
      <right style="medium">
        <color indexed="64"/>
      </right>
      <top/>
      <bottom style="thin">
        <color indexed="64"/>
      </bottom>
      <diagonal/>
    </border>
  </borders>
  <cellStyleXfs count="742">
    <xf numFmtId="0" fontId="0" fillId="0" borderId="0"/>
    <xf numFmtId="9" fontId="1" fillId="0" borderId="0" applyFont="0" applyFill="0" applyBorder="0" applyAlignment="0" applyProtection="0"/>
    <xf numFmtId="0" fontId="4" fillId="0" borderId="0"/>
    <xf numFmtId="0" fontId="4" fillId="0" borderId="0"/>
    <xf numFmtId="0" fontId="1" fillId="0" borderId="0"/>
    <xf numFmtId="0" fontId="4" fillId="0" borderId="0"/>
    <xf numFmtId="0" fontId="4" fillId="18" borderId="0"/>
    <xf numFmtId="0" fontId="1" fillId="0" borderId="0"/>
    <xf numFmtId="0" fontId="1" fillId="0" borderId="0"/>
    <xf numFmtId="0" fontId="4" fillId="18" borderId="0"/>
    <xf numFmtId="0" fontId="4" fillId="0" borderId="0"/>
    <xf numFmtId="165" fontId="4" fillId="0" borderId="0"/>
    <xf numFmtId="0" fontId="4" fillId="0" borderId="0"/>
    <xf numFmtId="165" fontId="4" fillId="0" borderId="0"/>
    <xf numFmtId="165" fontId="4" fillId="0" borderId="0"/>
    <xf numFmtId="0" fontId="30" fillId="0" borderId="0"/>
    <xf numFmtId="0" fontId="30"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4" fillId="0" borderId="0"/>
    <xf numFmtId="0" fontId="4" fillId="0" borderId="0"/>
    <xf numFmtId="166" fontId="32" fillId="0" borderId="0"/>
    <xf numFmtId="166" fontId="32" fillId="0" borderId="0"/>
    <xf numFmtId="0" fontId="33" fillId="38" borderId="0" applyNumberFormat="0" applyBorder="0" applyAlignment="0" applyProtection="0"/>
    <xf numFmtId="0" fontId="1" fillId="2"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38" borderId="0" applyNumberFormat="0" applyBorder="0" applyAlignment="0" applyProtection="0"/>
    <xf numFmtId="0" fontId="1" fillId="3"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4" fillId="48" borderId="0" applyNumberFormat="0" applyBorder="0" applyAlignment="0" applyProtection="0"/>
    <xf numFmtId="0" fontId="34" fillId="52" borderId="0" applyNumberFormat="0" applyBorder="0" applyAlignment="0" applyProtection="0"/>
    <xf numFmtId="0" fontId="33" fillId="44" borderId="0" applyNumberFormat="0" applyBorder="0" applyAlignment="0" applyProtection="0"/>
    <xf numFmtId="0" fontId="33" fillId="48" borderId="0" applyNumberFormat="0" applyBorder="0" applyAlignment="0" applyProtection="0"/>
    <xf numFmtId="0" fontId="34" fillId="48" borderId="0" applyNumberFormat="0" applyBorder="0" applyAlignment="0" applyProtection="0"/>
    <xf numFmtId="0" fontId="34" fillId="53" borderId="0" applyNumberFormat="0" applyBorder="0" applyAlignment="0" applyProtection="0"/>
    <xf numFmtId="0" fontId="33" fillId="54"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3" fillId="47" borderId="0" applyNumberFormat="0" applyBorder="0" applyAlignment="0" applyProtection="0"/>
    <xf numFmtId="0" fontId="33" fillId="55"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5" fillId="0" borderId="0"/>
    <xf numFmtId="42" fontId="36" fillId="0" borderId="0" applyFont="0" applyFill="0" applyBorder="0" applyAlignment="0" applyProtection="0"/>
    <xf numFmtId="0" fontId="37" fillId="57" borderId="0" applyNumberFormat="0" applyBorder="0" applyAlignment="0" applyProtection="0"/>
    <xf numFmtId="0" fontId="38" fillId="0" borderId="0" applyNumberFormat="0" applyFill="0" applyBorder="0" applyAlignment="0"/>
    <xf numFmtId="167" fontId="4" fillId="58" borderId="0" applyNumberFormat="0" applyFont="0" applyBorder="0" applyAlignment="0">
      <alignment horizontal="right"/>
    </xf>
    <xf numFmtId="41" fontId="4" fillId="58" borderId="0" applyNumberFormat="0" applyFont="0" applyBorder="0" applyAlignment="0">
      <alignment horizontal="right"/>
    </xf>
    <xf numFmtId="167" fontId="4" fillId="58" borderId="0" applyNumberFormat="0" applyFont="0" applyBorder="0" applyAlignment="0">
      <alignment horizontal="right"/>
    </xf>
    <xf numFmtId="167" fontId="4" fillId="58" borderId="0" applyNumberFormat="0" applyFont="0" applyBorder="0" applyAlignment="0">
      <alignment horizontal="right"/>
    </xf>
    <xf numFmtId="0" fontId="39" fillId="0" borderId="0" applyNumberFormat="0" applyFill="0" applyBorder="0" applyAlignment="0">
      <protection locked="0"/>
    </xf>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1" fillId="59" borderId="157" applyNumberFormat="0" applyAlignment="0" applyProtection="0"/>
    <xf numFmtId="0" fontId="41" fillId="59" borderId="157" applyNumberFormat="0" applyAlignment="0" applyProtection="0"/>
    <xf numFmtId="41" fontId="4" fillId="0" borderId="0" applyFont="0" applyFill="0" applyBorder="0" applyAlignment="0" applyProtection="0"/>
    <xf numFmtId="0" fontId="42"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4" fillId="0" borderId="0" applyFont="0" applyFill="0" applyBorder="0" applyAlignment="0" applyProtection="0"/>
    <xf numFmtId="43" fontId="33"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1" fillId="0" borderId="0" applyFont="0" applyFill="0" applyBorder="0" applyAlignment="0" applyProtection="0"/>
    <xf numFmtId="168" fontId="43"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8" fontId="4"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 fillId="0" borderId="0" applyFont="0" applyFill="0" applyBorder="0" applyAlignment="0" applyProtection="0"/>
    <xf numFmtId="168" fontId="43"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2"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49" fontId="11" fillId="60" borderId="15">
      <alignment horizontal="center" vertical="center" wrapText="1"/>
    </xf>
    <xf numFmtId="0" fontId="46" fillId="62" borderId="0" applyNumberFormat="0" applyBorder="0" applyAlignment="0" applyProtection="0"/>
    <xf numFmtId="0" fontId="46" fillId="63" borderId="0" applyNumberFormat="0" applyBorder="0" applyAlignment="0" applyProtection="0"/>
    <xf numFmtId="0" fontId="46" fillId="64" borderId="0" applyNumberFormat="0" applyBorder="0" applyAlignment="0" applyProtection="0"/>
    <xf numFmtId="165" fontId="33" fillId="0" borderId="0" applyFont="0" applyFill="0" applyBorder="0" applyAlignment="0" applyProtection="0"/>
    <xf numFmtId="0" fontId="47" fillId="0" borderId="0" applyNumberForma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0" fontId="48" fillId="0" borderId="0"/>
    <xf numFmtId="0" fontId="49" fillId="0" borderId="0"/>
    <xf numFmtId="0" fontId="50" fillId="65" borderId="0" applyNumberFormat="0" applyBorder="0" applyAlignment="0" applyProtection="0"/>
    <xf numFmtId="0" fontId="10" fillId="0" borderId="0" applyFill="0" applyBorder="0">
      <alignment vertical="center"/>
    </xf>
    <xf numFmtId="0" fontId="51" fillId="0" borderId="158" applyNumberFormat="0" applyFill="0" applyAlignment="0" applyProtection="0"/>
    <xf numFmtId="0" fontId="10" fillId="0" borderId="0" applyFill="0" applyBorder="0">
      <alignment vertical="center"/>
    </xf>
    <xf numFmtId="0" fontId="52" fillId="0" borderId="0" applyFill="0" applyBorder="0">
      <alignment vertical="center"/>
    </xf>
    <xf numFmtId="0" fontId="53" fillId="0" borderId="159" applyNumberFormat="0" applyFill="0" applyAlignment="0" applyProtection="0"/>
    <xf numFmtId="0" fontId="52" fillId="0" borderId="0" applyFill="0" applyBorder="0">
      <alignment vertical="center"/>
    </xf>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5" fillId="0" borderId="0" applyFill="0" applyBorder="0">
      <alignment vertical="center"/>
    </xf>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5" fillId="0" borderId="0" applyFill="0" applyBorder="0">
      <alignment vertical="center"/>
    </xf>
    <xf numFmtId="0" fontId="32" fillId="0" borderId="0" applyFill="0" applyBorder="0">
      <alignment vertical="center"/>
    </xf>
    <xf numFmtId="0" fontId="54" fillId="0" borderId="0" applyNumberFormat="0" applyFill="0" applyBorder="0" applyAlignment="0" applyProtection="0"/>
    <xf numFmtId="0" fontId="32" fillId="0" borderId="0" applyFill="0" applyBorder="0">
      <alignment vertical="center"/>
    </xf>
    <xf numFmtId="172" fontId="56" fillId="0" borderId="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0" fillId="0" borderId="0" applyNumberFormat="0" applyFill="0" applyBorder="0" applyAlignment="0" applyProtection="0"/>
    <xf numFmtId="0" fontId="58" fillId="0" borderId="0" applyNumberFormat="0" applyFill="0" applyBorder="0" applyAlignment="0" applyProtection="0">
      <alignment vertical="top"/>
      <protection locked="0"/>
    </xf>
    <xf numFmtId="0" fontId="61" fillId="0" borderId="0" applyFill="0" applyBorder="0">
      <alignment horizontal="center" vertical="center"/>
      <protection locked="0"/>
    </xf>
    <xf numFmtId="0" fontId="62" fillId="0" borderId="0" applyFill="0" applyBorder="0">
      <alignment horizontal="left" vertical="center"/>
      <protection locked="0"/>
    </xf>
    <xf numFmtId="173" fontId="4" fillId="66" borderId="0" applyFont="0" applyBorder="0">
      <alignment horizontal="right"/>
    </xf>
    <xf numFmtId="172" fontId="4" fillId="66" borderId="0" applyFont="0" applyBorder="0" applyAlignment="0"/>
    <xf numFmtId="173" fontId="4" fillId="66" borderId="0" applyFont="0" applyBorder="0">
      <alignment horizontal="right"/>
    </xf>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167" fontId="4" fillId="67" borderId="0" applyFont="0" applyBorder="0" applyAlignment="0">
      <alignment horizontal="right"/>
      <protection locked="0"/>
    </xf>
    <xf numFmtId="41"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8" borderId="0" applyFont="0" applyBorder="0" applyAlignment="0">
      <alignment horizontal="right"/>
      <protection locked="0"/>
    </xf>
    <xf numFmtId="10" fontId="4" fillId="68" borderId="0" applyFont="0" applyBorder="0">
      <alignment horizontal="right"/>
      <protection locked="0"/>
    </xf>
    <xf numFmtId="41" fontId="4" fillId="68" borderId="0" applyFont="0" applyBorder="0" applyAlignment="0">
      <alignment horizontal="right"/>
      <protection locked="0"/>
    </xf>
    <xf numFmtId="3" fontId="4" fillId="69" borderId="0" applyFont="0" applyBorder="0">
      <protection locked="0"/>
    </xf>
    <xf numFmtId="172" fontId="52" fillId="69" borderId="0" applyBorder="0" applyAlignment="0">
      <protection locked="0"/>
    </xf>
    <xf numFmtId="174" fontId="4" fillId="70" borderId="0" applyFont="0" applyBorder="0">
      <alignment horizontal="right"/>
      <protection locked="0"/>
    </xf>
    <xf numFmtId="174" fontId="4" fillId="70" borderId="0" applyFont="0" applyBorder="0">
      <alignment horizontal="right"/>
      <protection locked="0"/>
    </xf>
    <xf numFmtId="174" fontId="4" fillId="70" borderId="0" applyFont="0" applyBorder="0">
      <alignment horizontal="right"/>
      <protection locked="0"/>
    </xf>
    <xf numFmtId="167" fontId="4" fillId="66" borderId="0" applyFont="0" applyBorder="0">
      <alignment horizontal="right"/>
      <protection locked="0"/>
    </xf>
    <xf numFmtId="167" fontId="4" fillId="66" borderId="0" applyFont="0" applyBorder="0">
      <alignment horizontal="right"/>
      <protection locked="0"/>
    </xf>
    <xf numFmtId="167" fontId="4" fillId="66" borderId="0" applyFont="0" applyBorder="0">
      <alignment horizontal="right"/>
      <protection locked="0"/>
    </xf>
    <xf numFmtId="175" fontId="1" fillId="61" borderId="26">
      <protection locked="0"/>
    </xf>
    <xf numFmtId="175" fontId="1" fillId="61" borderId="26">
      <protection locked="0"/>
    </xf>
    <xf numFmtId="175" fontId="1" fillId="61" borderId="26">
      <protection locked="0"/>
    </xf>
    <xf numFmtId="49" fontId="1" fillId="61" borderId="26" applyFont="0" applyAlignment="0">
      <alignment horizontal="left" vertical="center" wrapText="1"/>
      <protection locked="0"/>
    </xf>
    <xf numFmtId="49" fontId="1" fillId="61" borderId="26" applyFont="0" applyAlignment="0">
      <alignment horizontal="left" vertical="center" wrapText="1"/>
      <protection locked="0"/>
    </xf>
    <xf numFmtId="49" fontId="1" fillId="61" borderId="26" applyFont="0" applyAlignment="0">
      <alignment horizontal="left" vertical="center" wrapText="1"/>
      <protection locked="0"/>
    </xf>
    <xf numFmtId="172" fontId="64" fillId="71" borderId="0" applyBorder="0" applyAlignment="0"/>
    <xf numFmtId="0" fontId="32" fillId="58" borderId="0"/>
    <xf numFmtId="0" fontId="65" fillId="0" borderId="161" applyNumberFormat="0" applyFill="0" applyAlignment="0" applyProtection="0"/>
    <xf numFmtId="173" fontId="21" fillId="58" borderId="162" applyFont="0" applyBorder="0" applyAlignment="0"/>
    <xf numFmtId="172" fontId="52" fillId="58" borderId="0" applyFont="0" applyBorder="0" applyAlignment="0"/>
    <xf numFmtId="176" fontId="66" fillId="0" borderId="0"/>
    <xf numFmtId="0" fontId="67" fillId="0" borderId="0" applyFill="0" applyBorder="0">
      <alignment horizontal="left" vertical="center"/>
    </xf>
    <xf numFmtId="0" fontId="68" fillId="42" borderId="0" applyNumberFormat="0" applyBorder="0" applyAlignment="0" applyProtection="0"/>
    <xf numFmtId="175" fontId="1" fillId="5" borderId="26"/>
    <xf numFmtId="175" fontId="1" fillId="5" borderId="26"/>
    <xf numFmtId="175" fontId="1" fillId="5" borderId="26"/>
    <xf numFmtId="177" fontId="69" fillId="0" borderId="0"/>
    <xf numFmtId="0" fontId="4" fillId="0" borderId="0"/>
    <xf numFmtId="0" fontId="4" fillId="0" borderId="0"/>
    <xf numFmtId="0" fontId="4" fillId="0" borderId="0"/>
    <xf numFmtId="0" fontId="4" fillId="18" borderId="0"/>
    <xf numFmtId="0" fontId="1" fillId="0" borderId="0"/>
    <xf numFmtId="0" fontId="4" fillId="0" borderId="0" applyFill="0"/>
    <xf numFmtId="0" fontId="4" fillId="0" borderId="0" applyFill="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1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18" borderId="0"/>
    <xf numFmtId="0" fontId="4" fillId="18" borderId="0"/>
    <xf numFmtId="0" fontId="4" fillId="0" borderId="0"/>
    <xf numFmtId="0" fontId="1" fillId="0" borderId="0">
      <protection locked="0"/>
    </xf>
    <xf numFmtId="0" fontId="4" fillId="0" borderId="0"/>
    <xf numFmtId="0" fontId="43" fillId="0" borderId="0"/>
    <xf numFmtId="0" fontId="33" fillId="0" borderId="0"/>
    <xf numFmtId="0" fontId="33" fillId="0" borderId="0"/>
    <xf numFmtId="0" fontId="4" fillId="0" borderId="0"/>
    <xf numFmtId="0" fontId="4" fillId="0" borderId="0"/>
    <xf numFmtId="0" fontId="4" fillId="0" borderId="0"/>
    <xf numFmtId="0" fontId="4" fillId="0" borderId="0" applyFill="0"/>
    <xf numFmtId="0" fontId="4" fillId="0" borderId="0"/>
    <xf numFmtId="0" fontId="4" fillId="0" borderId="0" applyFill="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protection locked="0"/>
    </xf>
    <xf numFmtId="0" fontId="4" fillId="0" borderId="0"/>
    <xf numFmtId="0" fontId="4" fillId="18" borderId="0"/>
    <xf numFmtId="0" fontId="4" fillId="0" borderId="0"/>
    <xf numFmtId="0" fontId="4" fillId="18"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protection locked="0"/>
    </xf>
    <xf numFmtId="0" fontId="4" fillId="0" borderId="0"/>
    <xf numFmtId="0" fontId="4" fillId="0" borderId="0"/>
    <xf numFmtId="0" fontId="4" fillId="0" borderId="0"/>
    <xf numFmtId="0" fontId="4" fillId="0" borderId="0"/>
    <xf numFmtId="0" fontId="4" fillId="0" borderId="0" applyFill="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xf numFmtId="0" fontId="4" fillId="0" borderId="0"/>
    <xf numFmtId="0" fontId="1" fillId="0" borderId="0"/>
    <xf numFmtId="0" fontId="4" fillId="0" borderId="0"/>
    <xf numFmtId="0" fontId="4" fillId="0" borderId="0"/>
    <xf numFmtId="0" fontId="4" fillId="0" borderId="0"/>
    <xf numFmtId="0" fontId="4" fillId="0" borderId="0"/>
    <xf numFmtId="0" fontId="33" fillId="0" borderId="0"/>
    <xf numFmtId="0" fontId="4" fillId="0" borderId="0"/>
    <xf numFmtId="0" fontId="33" fillId="0" borderId="0"/>
    <xf numFmtId="0" fontId="36" fillId="0" borderId="0"/>
    <xf numFmtId="0" fontId="4" fillId="18" borderId="0"/>
    <xf numFmtId="0" fontId="4" fillId="18"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30" borderId="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178" fontId="4" fillId="0" borderId="0" applyFill="0" applyBorder="0"/>
    <xf numFmtId="178" fontId="4" fillId="0" borderId="0" applyFill="0" applyBorder="0"/>
    <xf numFmtId="17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2" fontId="71" fillId="0" borderId="0"/>
    <xf numFmtId="0" fontId="55" fillId="0" borderId="0" applyFill="0" applyBorder="0">
      <alignment vertical="center"/>
    </xf>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179" fontId="72" fillId="0" borderId="10"/>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3" fontId="42" fillId="0" borderId="0" applyFont="0" applyFill="0" applyBorder="0" applyAlignment="0" applyProtection="0"/>
    <xf numFmtId="0" fontId="42" fillId="72" borderId="0" applyNumberFormat="0" applyFont="0" applyBorder="0" applyAlignment="0" applyProtection="0"/>
    <xf numFmtId="180" fontId="4" fillId="0" borderId="0"/>
    <xf numFmtId="180" fontId="4" fillId="0" borderId="0"/>
    <xf numFmtId="180" fontId="4" fillId="0" borderId="0"/>
    <xf numFmtId="181" fontId="32" fillId="0" borderId="0" applyFill="0" applyBorder="0">
      <alignment horizontal="right" vertical="center"/>
    </xf>
    <xf numFmtId="182" fontId="32" fillId="0" borderId="0" applyFill="0" applyBorder="0">
      <alignment horizontal="right" vertical="center"/>
    </xf>
    <xf numFmtId="183" fontId="32" fillId="0" borderId="0" applyFill="0" applyBorder="0">
      <alignment horizontal="right" vertical="center"/>
    </xf>
    <xf numFmtId="175" fontId="7" fillId="61" borderId="32">
      <alignment horizontal="right" indent="2"/>
      <protection locked="0"/>
    </xf>
    <xf numFmtId="0" fontId="4" fillId="40" borderId="0" applyNumberFormat="0" applyFont="0" applyBorder="0" applyAlignment="0" applyProtection="0"/>
    <xf numFmtId="0" fontId="4" fillId="40" borderId="0" applyNumberFormat="0" applyFont="0" applyBorder="0" applyAlignment="0" applyProtection="0"/>
    <xf numFmtId="0" fontId="4" fillId="41" borderId="0" applyNumberFormat="0" applyFont="0" applyBorder="0" applyAlignment="0" applyProtection="0"/>
    <xf numFmtId="0" fontId="4" fillId="41"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74" fillId="0" borderId="0" applyNumberFormat="0" applyFill="0" applyBorder="0" applyAlignment="0" applyProtection="0"/>
    <xf numFmtId="0" fontId="75" fillId="73"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7" fillId="0" borderId="0"/>
    <xf numFmtId="0" fontId="76" fillId="0" borderId="0"/>
    <xf numFmtId="15" fontId="4" fillId="0" borderId="0"/>
    <xf numFmtId="15" fontId="4" fillId="0" borderId="0"/>
    <xf numFmtId="15" fontId="4" fillId="0" borderId="0"/>
    <xf numFmtId="10" fontId="4" fillId="0" borderId="0"/>
    <xf numFmtId="10" fontId="4" fillId="0" borderId="0"/>
    <xf numFmtId="10" fontId="4" fillId="0" borderId="0"/>
    <xf numFmtId="0" fontId="77" fillId="74" borderId="165" applyBorder="0" applyProtection="0">
      <alignment horizontal="centerContinuous" vertical="center"/>
    </xf>
    <xf numFmtId="0" fontId="78" fillId="0" borderId="0" applyBorder="0" applyProtection="0">
      <alignment vertical="center"/>
    </xf>
    <xf numFmtId="0" fontId="79" fillId="0" borderId="0">
      <alignment horizontal="left"/>
    </xf>
    <xf numFmtId="0" fontId="79" fillId="0" borderId="11" applyFill="0" applyBorder="0" applyProtection="0">
      <alignment horizontal="left" vertical="top"/>
    </xf>
    <xf numFmtId="0" fontId="75" fillId="75" borderId="0">
      <alignment horizontal="left" vertical="center"/>
      <protection locked="0"/>
    </xf>
    <xf numFmtId="0" fontId="80" fillId="23" borderId="0">
      <alignment vertical="center"/>
      <protection locked="0"/>
    </xf>
    <xf numFmtId="49" fontId="4" fillId="0" borderId="0" applyFont="0" applyFill="0" applyBorder="0" applyAlignment="0" applyProtection="0"/>
    <xf numFmtId="0" fontId="81" fillId="0" borderId="0"/>
    <xf numFmtId="49" fontId="4" fillId="0" borderId="0" applyFont="0" applyFill="0" applyBorder="0" applyAlignment="0" applyProtection="0"/>
    <xf numFmtId="0" fontId="82" fillId="0" borderId="0"/>
    <xf numFmtId="0" fontId="82" fillId="0" borderId="0"/>
    <xf numFmtId="0" fontId="81" fillId="0" borderId="0"/>
    <xf numFmtId="176" fontId="83" fillId="0" borderId="0"/>
    <xf numFmtId="0" fontId="74" fillId="0" borderId="0" applyNumberFormat="0" applyFill="0" applyBorder="0" applyAlignment="0" applyProtection="0"/>
    <xf numFmtId="0" fontId="84" fillId="0" borderId="0" applyFill="0" applyBorder="0">
      <alignment horizontal="left" vertical="center"/>
      <protection locked="0"/>
    </xf>
    <xf numFmtId="0" fontId="81" fillId="0" borderId="0"/>
    <xf numFmtId="0" fontId="85" fillId="0" borderId="0" applyFill="0" applyBorder="0">
      <alignment horizontal="left" vertical="center"/>
      <protection locked="0"/>
    </xf>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86" fillId="0" borderId="0" applyNumberFormat="0" applyFill="0" applyBorder="0" applyAlignment="0" applyProtection="0"/>
    <xf numFmtId="184" fontId="4" fillId="0" borderId="165" applyBorder="0" applyProtection="0">
      <alignment horizontal="right"/>
    </xf>
    <xf numFmtId="184" fontId="4" fillId="0" borderId="165" applyBorder="0" applyProtection="0">
      <alignment horizontal="right"/>
    </xf>
    <xf numFmtId="184" fontId="4" fillId="0" borderId="165" applyBorder="0" applyProtection="0">
      <alignment horizontal="right"/>
    </xf>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4" fillId="0" borderId="0"/>
    <xf numFmtId="0" fontId="4" fillId="18" borderId="0"/>
    <xf numFmtId="0" fontId="4" fillId="18" borderId="0"/>
    <xf numFmtId="0" fontId="4" fillId="18"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3" fillId="0" borderId="5">
      <alignment horizontal="center"/>
    </xf>
    <xf numFmtId="0" fontId="73" fillId="0" borderId="5">
      <alignment horizontal="center"/>
    </xf>
    <xf numFmtId="0" fontId="73" fillId="0" borderId="5">
      <alignment horizontal="center"/>
    </xf>
    <xf numFmtId="0" fontId="1" fillId="0" borderId="0"/>
    <xf numFmtId="0" fontId="1" fillId="0" borderId="0"/>
    <xf numFmtId="0" fontId="4" fillId="0" borderId="0"/>
    <xf numFmtId="0" fontId="1" fillId="0" borderId="0"/>
    <xf numFmtId="0" fontId="1" fillId="0" borderId="0"/>
    <xf numFmtId="0" fontId="4" fillId="30" borderId="0"/>
    <xf numFmtId="0" fontId="1" fillId="0" borderId="0"/>
    <xf numFmtId="0" fontId="15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9" fontId="4" fillId="0" borderId="0" applyFont="0" applyFill="0" applyBorder="0" applyAlignment="0" applyProtection="0"/>
    <xf numFmtId="43" fontId="4" fillId="0" borderId="0" applyFont="0" applyFill="0" applyBorder="0" applyAlignment="0" applyProtection="0"/>
    <xf numFmtId="41" fontId="4" fillId="68" borderId="0" applyFont="0" applyBorder="0" applyAlignment="0">
      <alignment horizontal="right"/>
      <protection locked="0"/>
    </xf>
    <xf numFmtId="41" fontId="4" fillId="66" borderId="0" applyFont="0" applyBorder="0">
      <alignment horizontal="right"/>
      <protection locked="0"/>
    </xf>
    <xf numFmtId="0" fontId="150"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43" fontId="4" fillId="0" borderId="0" applyFont="0" applyFill="0" applyBorder="0" applyAlignment="0" applyProtection="0"/>
    <xf numFmtId="0" fontId="150" fillId="0" borderId="0"/>
    <xf numFmtId="43" fontId="4" fillId="0" borderId="0" applyFont="0" applyFill="0" applyBorder="0" applyAlignment="0" applyProtection="0"/>
    <xf numFmtId="0" fontId="150" fillId="0" borderId="0"/>
    <xf numFmtId="0" fontId="15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254">
    <xf numFmtId="0" fontId="0" fillId="0" borderId="0" xfId="0"/>
    <xf numFmtId="0" fontId="4" fillId="0" borderId="0" xfId="2"/>
    <xf numFmtId="0" fontId="4" fillId="0" borderId="0" xfId="2" applyAlignment="1">
      <alignment vertical="center"/>
    </xf>
    <xf numFmtId="0" fontId="7" fillId="6" borderId="0" xfId="2" applyFont="1" applyFill="1" applyProtection="1"/>
    <xf numFmtId="0" fontId="4" fillId="0" borderId="0" xfId="3"/>
    <xf numFmtId="0" fontId="7" fillId="6" borderId="0" xfId="2" applyFont="1" applyFill="1" applyAlignment="1" applyProtection="1">
      <alignment horizontal="center"/>
    </xf>
    <xf numFmtId="1" fontId="7" fillId="6" borderId="0" xfId="2" applyNumberFormat="1" applyFont="1" applyFill="1" applyProtection="1"/>
    <xf numFmtId="49" fontId="7" fillId="6" borderId="0" xfId="2" applyNumberFormat="1" applyFont="1" applyFill="1" applyProtection="1"/>
    <xf numFmtId="0" fontId="4" fillId="0" borderId="26" xfId="2" applyBorder="1"/>
    <xf numFmtId="0" fontId="4" fillId="0" borderId="28" xfId="2" applyBorder="1"/>
    <xf numFmtId="0" fontId="4" fillId="0" borderId="2" xfId="2" applyBorder="1"/>
    <xf numFmtId="0" fontId="7" fillId="6" borderId="3" xfId="2" applyFont="1" applyFill="1" applyBorder="1" applyProtection="1"/>
    <xf numFmtId="0" fontId="10" fillId="13" borderId="0" xfId="2" applyFont="1" applyFill="1" applyAlignment="1">
      <alignment vertical="center" wrapText="1"/>
    </xf>
    <xf numFmtId="0" fontId="10" fillId="6" borderId="49" xfId="6" applyFont="1" applyFill="1" applyBorder="1" applyAlignment="1" applyProtection="1">
      <alignment horizontal="center" vertical="center" wrapText="1"/>
    </xf>
    <xf numFmtId="0" fontId="10" fillId="19" borderId="43" xfId="6" applyFont="1" applyFill="1" applyBorder="1" applyAlignment="1" applyProtection="1">
      <alignment horizontal="center" vertical="center" wrapText="1"/>
    </xf>
    <xf numFmtId="0" fontId="5" fillId="19" borderId="15" xfId="2" applyFont="1" applyFill="1" applyBorder="1" applyAlignment="1" applyProtection="1">
      <alignment horizontal="center" vertical="center" wrapText="1"/>
    </xf>
    <xf numFmtId="0" fontId="7" fillId="6" borderId="0" xfId="2" applyFont="1" applyFill="1" applyAlignment="1" applyProtection="1">
      <alignment vertical="center"/>
    </xf>
    <xf numFmtId="1" fontId="7" fillId="6" borderId="0" xfId="2" applyNumberFormat="1" applyFont="1" applyFill="1" applyAlignment="1" applyProtection="1">
      <alignment vertical="center"/>
    </xf>
    <xf numFmtId="0" fontId="10" fillId="0" borderId="50" xfId="2" applyFont="1" applyFill="1" applyBorder="1" applyAlignment="1">
      <alignment vertical="center" wrapText="1"/>
    </xf>
    <xf numFmtId="0" fontId="10" fillId="0" borderId="51" xfId="2" applyFont="1" applyFill="1" applyBorder="1" applyAlignment="1">
      <alignment vertical="center" wrapText="1"/>
    </xf>
    <xf numFmtId="0" fontId="10" fillId="0" borderId="52" xfId="2" applyFont="1" applyFill="1" applyBorder="1" applyAlignment="1">
      <alignment vertical="center" wrapText="1"/>
    </xf>
    <xf numFmtId="0" fontId="10" fillId="17" borderId="53" xfId="2" applyFont="1" applyFill="1" applyBorder="1" applyAlignment="1">
      <alignment vertical="center" wrapText="1"/>
    </xf>
    <xf numFmtId="0" fontId="10" fillId="17" borderId="54" xfId="2" applyFont="1" applyFill="1" applyBorder="1" applyAlignment="1">
      <alignment vertical="center" wrapText="1"/>
    </xf>
    <xf numFmtId="0" fontId="10" fillId="17" borderId="55" xfId="2" applyFont="1" applyFill="1" applyBorder="1" applyAlignment="1">
      <alignment vertical="center" wrapText="1"/>
    </xf>
    <xf numFmtId="0" fontId="0" fillId="0" borderId="0" xfId="0" applyAlignment="1">
      <alignment vertical="center"/>
    </xf>
    <xf numFmtId="0" fontId="4" fillId="0" borderId="57" xfId="5" applyBorder="1" applyAlignment="1" applyProtection="1">
      <alignment horizontal="left" vertical="center"/>
    </xf>
    <xf numFmtId="0" fontId="4" fillId="0" borderId="0" xfId="2" applyAlignment="1">
      <alignment horizontal="center"/>
    </xf>
    <xf numFmtId="0" fontId="4" fillId="20" borderId="57" xfId="2" applyFont="1" applyFill="1" applyBorder="1" applyAlignment="1"/>
    <xf numFmtId="0" fontId="4" fillId="21" borderId="59" xfId="2" applyFont="1" applyFill="1" applyBorder="1" applyAlignment="1" applyProtection="1">
      <alignment horizontal="center" wrapText="1"/>
    </xf>
    <xf numFmtId="0" fontId="21" fillId="21" borderId="59" xfId="2" applyFont="1" applyFill="1" applyBorder="1" applyAlignment="1" applyProtection="1">
      <alignment horizontal="center" vertical="center"/>
    </xf>
    <xf numFmtId="0" fontId="4" fillId="22" borderId="61" xfId="9" applyFill="1" applyBorder="1" applyAlignment="1">
      <alignment horizontal="center"/>
    </xf>
    <xf numFmtId="0" fontId="4" fillId="22" borderId="0" xfId="9" applyFill="1" applyBorder="1" applyAlignment="1">
      <alignment horizontal="center"/>
    </xf>
    <xf numFmtId="0" fontId="4" fillId="22" borderId="62" xfId="9" applyFill="1" applyBorder="1" applyAlignment="1">
      <alignment horizontal="center" vertical="center" wrapText="1"/>
    </xf>
    <xf numFmtId="0" fontId="4" fillId="22" borderId="63" xfId="9" applyFill="1" applyBorder="1" applyAlignment="1">
      <alignment horizontal="center" vertical="center" wrapText="1"/>
    </xf>
    <xf numFmtId="0" fontId="4" fillId="0" borderId="64" xfId="5" applyBorder="1" applyAlignment="1" applyProtection="1">
      <alignment horizontal="left" vertical="center"/>
    </xf>
    <xf numFmtId="0" fontId="4" fillId="20" borderId="64" xfId="2" applyFont="1" applyFill="1" applyBorder="1" applyAlignment="1"/>
    <xf numFmtId="0" fontId="4" fillId="21" borderId="66" xfId="2" applyFont="1" applyFill="1" applyBorder="1" applyAlignment="1" applyProtection="1">
      <alignment horizontal="center" wrapText="1"/>
    </xf>
    <xf numFmtId="0" fontId="4" fillId="22" borderId="26" xfId="9" applyFill="1" applyBorder="1" applyAlignment="1">
      <alignment horizontal="center" vertical="center" wrapText="1"/>
    </xf>
    <xf numFmtId="0" fontId="4" fillId="0" borderId="68" xfId="2" applyBorder="1"/>
    <xf numFmtId="0" fontId="4" fillId="0" borderId="70" xfId="5" applyBorder="1" applyProtection="1"/>
    <xf numFmtId="0" fontId="4" fillId="0" borderId="57" xfId="5" applyBorder="1" applyProtection="1"/>
    <xf numFmtId="0" fontId="4" fillId="0" borderId="66" xfId="2" applyFont="1" applyFill="1" applyBorder="1"/>
    <xf numFmtId="0" fontId="4" fillId="0" borderId="67" xfId="2" applyFont="1" applyFill="1" applyBorder="1"/>
    <xf numFmtId="0" fontId="4" fillId="0" borderId="71" xfId="2" applyBorder="1" applyAlignment="1">
      <alignment vertical="center"/>
    </xf>
    <xf numFmtId="0" fontId="4" fillId="0" borderId="66" xfId="2" applyFont="1" applyFill="1" applyBorder="1" applyAlignment="1">
      <alignment vertical="center"/>
    </xf>
    <xf numFmtId="0" fontId="4" fillId="0" borderId="72" xfId="5" applyBorder="1" applyProtection="1"/>
    <xf numFmtId="0" fontId="4" fillId="20" borderId="72" xfId="2" applyFont="1" applyFill="1" applyBorder="1" applyAlignment="1"/>
    <xf numFmtId="0" fontId="4" fillId="0" borderId="65" xfId="2" applyFont="1" applyFill="1" applyBorder="1" applyAlignment="1">
      <alignment vertical="center"/>
    </xf>
    <xf numFmtId="0" fontId="4" fillId="18" borderId="71" xfId="9" applyBorder="1"/>
    <xf numFmtId="0" fontId="4" fillId="6" borderId="73" xfId="5" applyFill="1" applyBorder="1" applyAlignment="1" applyProtection="1">
      <alignment vertical="center"/>
    </xf>
    <xf numFmtId="0" fontId="4" fillId="0" borderId="74" xfId="5" applyBorder="1" applyAlignment="1" applyProtection="1">
      <alignment horizontal="left" vertical="center"/>
    </xf>
    <xf numFmtId="0" fontId="4" fillId="23" borderId="75" xfId="5" applyFill="1" applyBorder="1" applyAlignment="1" applyProtection="1">
      <alignment horizontal="center" vertical="center"/>
    </xf>
    <xf numFmtId="0" fontId="5" fillId="22" borderId="15" xfId="2" applyFont="1" applyFill="1" applyBorder="1" applyProtection="1"/>
    <xf numFmtId="0" fontId="4" fillId="23" borderId="76" xfId="5" applyFill="1" applyBorder="1" applyAlignment="1" applyProtection="1">
      <alignment horizontal="center" vertical="center"/>
    </xf>
    <xf numFmtId="0" fontId="7" fillId="22" borderId="77" xfId="2" applyFont="1" applyFill="1" applyBorder="1" applyProtection="1"/>
    <xf numFmtId="0" fontId="4" fillId="6" borderId="57" xfId="5" applyFill="1" applyBorder="1" applyAlignment="1" applyProtection="1">
      <alignment horizontal="left" vertical="center"/>
    </xf>
    <xf numFmtId="0" fontId="7" fillId="22" borderId="78" xfId="2" applyFont="1" applyFill="1" applyBorder="1" applyProtection="1"/>
    <xf numFmtId="0" fontId="4" fillId="6" borderId="70" xfId="5" applyFill="1" applyBorder="1" applyAlignment="1" applyProtection="1">
      <alignment horizontal="left" vertical="center"/>
    </xf>
    <xf numFmtId="0" fontId="4" fillId="0" borderId="79" xfId="2" applyFont="1" applyFill="1" applyBorder="1" applyAlignment="1">
      <alignment vertical="center"/>
    </xf>
    <xf numFmtId="0" fontId="4" fillId="21" borderId="80" xfId="2" applyFont="1" applyFill="1" applyBorder="1" applyAlignment="1" applyProtection="1">
      <alignment horizontal="center" wrapText="1"/>
    </xf>
    <xf numFmtId="0" fontId="4" fillId="0" borderId="80" xfId="2" applyFont="1" applyFill="1" applyBorder="1" applyAlignment="1">
      <alignment vertical="center"/>
    </xf>
    <xf numFmtId="0" fontId="4" fillId="0" borderId="80" xfId="2" applyFont="1" applyFill="1" applyBorder="1"/>
    <xf numFmtId="0" fontId="4" fillId="0" borderId="81" xfId="2" applyFont="1" applyFill="1" applyBorder="1"/>
    <xf numFmtId="0" fontId="4" fillId="18" borderId="82" xfId="9" applyBorder="1"/>
    <xf numFmtId="0" fontId="4" fillId="0" borderId="40" xfId="2" applyBorder="1"/>
    <xf numFmtId="0" fontId="4" fillId="22" borderId="40" xfId="9" applyFill="1" applyBorder="1" applyAlignment="1">
      <alignment horizontal="center" vertical="center" wrapText="1"/>
    </xf>
    <xf numFmtId="0" fontId="4" fillId="0" borderId="83" xfId="2" applyBorder="1"/>
    <xf numFmtId="0" fontId="4" fillId="6" borderId="64" xfId="5" applyFill="1" applyBorder="1" applyAlignment="1" applyProtection="1">
      <alignment horizontal="left" vertical="center"/>
    </xf>
    <xf numFmtId="0" fontId="7" fillId="22" borderId="84" xfId="2" applyFont="1" applyFill="1" applyBorder="1" applyProtection="1"/>
    <xf numFmtId="0" fontId="4" fillId="0" borderId="61" xfId="2" applyBorder="1" applyAlignment="1">
      <alignment vertical="center"/>
    </xf>
    <xf numFmtId="0" fontId="4" fillId="0" borderId="0" xfId="2" applyBorder="1"/>
    <xf numFmtId="0" fontId="4" fillId="0" borderId="85" xfId="2" applyBorder="1"/>
    <xf numFmtId="0" fontId="7" fillId="22" borderId="15" xfId="2" applyFont="1" applyFill="1" applyBorder="1" applyAlignment="1" applyProtection="1">
      <alignment horizontal="left" vertical="top" wrapText="1"/>
    </xf>
    <xf numFmtId="0" fontId="4" fillId="6" borderId="72" xfId="5" applyFill="1" applyBorder="1" applyAlignment="1" applyProtection="1">
      <alignment horizontal="left" vertical="center"/>
    </xf>
    <xf numFmtId="0" fontId="5" fillId="22" borderId="4" xfId="2" applyFont="1" applyFill="1" applyBorder="1" applyProtection="1"/>
    <xf numFmtId="0" fontId="4" fillId="6" borderId="6" xfId="5" applyFill="1" applyBorder="1" applyAlignment="1" applyProtection="1">
      <alignment horizontal="left" vertical="center"/>
    </xf>
    <xf numFmtId="0" fontId="7" fillId="22" borderId="24" xfId="2" applyFont="1" applyFill="1" applyBorder="1" applyProtection="1"/>
    <xf numFmtId="0" fontId="7" fillId="22" borderId="92" xfId="2" applyFont="1" applyFill="1" applyBorder="1" applyProtection="1"/>
    <xf numFmtId="0" fontId="4" fillId="20" borderId="84" xfId="2" applyFont="1" applyFill="1" applyBorder="1" applyAlignment="1"/>
    <xf numFmtId="0" fontId="4" fillId="22" borderId="93" xfId="9" applyFill="1" applyBorder="1" applyAlignment="1">
      <alignment horizontal="center"/>
    </xf>
    <xf numFmtId="0" fontId="4" fillId="0" borderId="18" xfId="2" applyBorder="1"/>
    <xf numFmtId="0" fontId="4" fillId="22" borderId="18" xfId="9" applyFill="1" applyBorder="1" applyAlignment="1">
      <alignment horizontal="center" vertical="center" wrapText="1"/>
    </xf>
    <xf numFmtId="0" fontId="4" fillId="22" borderId="22" xfId="9" applyFill="1" applyBorder="1" applyAlignment="1">
      <alignment horizontal="center" vertical="center" wrapText="1"/>
    </xf>
    <xf numFmtId="0" fontId="4" fillId="6" borderId="56" xfId="5" applyFill="1" applyBorder="1" applyAlignment="1" applyProtection="1">
      <alignment vertical="top"/>
    </xf>
    <xf numFmtId="0" fontId="7" fillId="22" borderId="32" xfId="2" applyFont="1" applyFill="1" applyBorder="1" applyProtection="1"/>
    <xf numFmtId="0" fontId="7" fillId="22" borderId="94" xfId="2" applyFont="1" applyFill="1" applyBorder="1" applyProtection="1"/>
    <xf numFmtId="0" fontId="4" fillId="22" borderId="71" xfId="9" applyFill="1" applyBorder="1" applyAlignment="1">
      <alignment horizontal="center"/>
    </xf>
    <xf numFmtId="0" fontId="4" fillId="22" borderId="28" xfId="9" applyFill="1" applyBorder="1" applyAlignment="1">
      <alignment horizontal="center" vertical="center" wrapText="1"/>
    </xf>
    <xf numFmtId="0" fontId="4" fillId="6" borderId="7" xfId="5" applyFill="1" applyBorder="1" applyAlignment="1" applyProtection="1">
      <alignment vertical="top"/>
    </xf>
    <xf numFmtId="0" fontId="7" fillId="22" borderId="95" xfId="2" applyFont="1" applyFill="1" applyBorder="1" applyProtection="1"/>
    <xf numFmtId="0" fontId="4" fillId="6" borderId="96" xfId="5" applyFill="1" applyBorder="1" applyAlignment="1" applyProtection="1">
      <alignment vertical="center"/>
    </xf>
    <xf numFmtId="0" fontId="4" fillId="6" borderId="77" xfId="5" applyFill="1" applyBorder="1" applyAlignment="1" applyProtection="1">
      <alignment vertical="center"/>
    </xf>
    <xf numFmtId="0" fontId="4" fillId="6" borderId="78" xfId="5" applyFill="1" applyBorder="1" applyAlignment="1" applyProtection="1">
      <alignment vertical="center"/>
    </xf>
    <xf numFmtId="0" fontId="4" fillId="6" borderId="84" xfId="5" applyFill="1" applyBorder="1" applyAlignment="1" applyProtection="1">
      <alignment vertical="center"/>
    </xf>
    <xf numFmtId="0" fontId="7" fillId="22" borderId="6" xfId="2" applyFont="1" applyFill="1" applyBorder="1" applyProtection="1"/>
    <xf numFmtId="0" fontId="7" fillId="22" borderId="42" xfId="2" applyFont="1" applyFill="1" applyBorder="1" applyProtection="1"/>
    <xf numFmtId="0" fontId="4" fillId="22" borderId="97" xfId="9" applyFill="1" applyBorder="1" applyAlignment="1">
      <alignment horizontal="center"/>
    </xf>
    <xf numFmtId="0" fontId="4" fillId="0" borderId="98" xfId="2" applyBorder="1"/>
    <xf numFmtId="0" fontId="4" fillId="0" borderId="99" xfId="2" applyBorder="1"/>
    <xf numFmtId="0" fontId="4" fillId="0" borderId="100" xfId="2" applyBorder="1"/>
    <xf numFmtId="0" fontId="4" fillId="0" borderId="101" xfId="3" applyBorder="1"/>
    <xf numFmtId="0" fontId="4" fillId="0" borderId="102" xfId="2" applyBorder="1"/>
    <xf numFmtId="0" fontId="7" fillId="6" borderId="102" xfId="2" applyFont="1" applyFill="1" applyBorder="1" applyProtection="1"/>
    <xf numFmtId="0" fontId="7" fillId="6" borderId="102" xfId="2" applyFont="1" applyFill="1" applyBorder="1" applyAlignment="1" applyProtection="1">
      <alignment horizontal="center"/>
    </xf>
    <xf numFmtId="1" fontId="7" fillId="6" borderId="102" xfId="2" applyNumberFormat="1" applyFont="1" applyFill="1" applyBorder="1" applyProtection="1"/>
    <xf numFmtId="0" fontId="4" fillId="0" borderId="103" xfId="2" applyBorder="1"/>
    <xf numFmtId="0" fontId="24" fillId="17" borderId="104" xfId="2" applyFont="1" applyFill="1" applyBorder="1" applyAlignment="1">
      <alignment vertical="center"/>
    </xf>
    <xf numFmtId="0" fontId="4" fillId="17" borderId="105" xfId="2" applyFill="1" applyBorder="1"/>
    <xf numFmtId="0" fontId="7" fillId="17" borderId="105" xfId="2" applyFont="1" applyFill="1" applyBorder="1" applyProtection="1"/>
    <xf numFmtId="0" fontId="7" fillId="17" borderId="106" xfId="2" applyFont="1" applyFill="1" applyBorder="1" applyAlignment="1" applyProtection="1">
      <alignment horizontal="center"/>
    </xf>
    <xf numFmtId="0" fontId="25" fillId="25" borderId="107" xfId="5" applyFont="1" applyFill="1" applyBorder="1" applyAlignment="1" applyProtection="1">
      <alignment vertical="center" wrapText="1"/>
    </xf>
    <xf numFmtId="0" fontId="25" fillId="25" borderId="108" xfId="5" applyFont="1" applyFill="1" applyBorder="1" applyAlignment="1" applyProtection="1">
      <alignment vertical="center" wrapText="1"/>
    </xf>
    <xf numFmtId="0" fontId="25" fillId="25" borderId="109" xfId="5" applyFont="1" applyFill="1" applyBorder="1" applyAlignment="1" applyProtection="1">
      <alignment vertical="center" wrapText="1"/>
    </xf>
    <xf numFmtId="0" fontId="26" fillId="26" borderId="50" xfId="2" applyFont="1" applyFill="1" applyBorder="1" applyAlignment="1" applyProtection="1">
      <alignment horizontal="center" wrapText="1"/>
    </xf>
    <xf numFmtId="0" fontId="4" fillId="26" borderId="51" xfId="3" applyFont="1" applyFill="1" applyBorder="1"/>
    <xf numFmtId="0" fontId="26" fillId="26" borderId="51" xfId="2" applyFont="1" applyFill="1" applyBorder="1" applyAlignment="1" applyProtection="1">
      <alignment wrapText="1"/>
    </xf>
    <xf numFmtId="0" fontId="26" fillId="26" borderId="110" xfId="2" applyFont="1" applyFill="1" applyBorder="1" applyAlignment="1" applyProtection="1">
      <alignment wrapText="1"/>
    </xf>
    <xf numFmtId="0" fontId="10" fillId="9" borderId="111" xfId="2" applyFont="1" applyFill="1" applyBorder="1"/>
    <xf numFmtId="0" fontId="10" fillId="9" borderId="112" xfId="2" applyFont="1" applyFill="1" applyBorder="1" applyAlignment="1">
      <alignment horizontal="center" vertical="center"/>
    </xf>
    <xf numFmtId="0" fontId="10" fillId="9" borderId="87" xfId="2" applyFont="1" applyFill="1" applyBorder="1" applyAlignment="1">
      <alignment horizontal="center" vertical="center"/>
    </xf>
    <xf numFmtId="0" fontId="10" fillId="10" borderId="44" xfId="2" applyFont="1" applyFill="1" applyBorder="1" applyAlignment="1">
      <alignment horizontal="center" vertical="center"/>
    </xf>
    <xf numFmtId="0" fontId="5" fillId="10" borderId="113" xfId="2" applyFont="1" applyFill="1" applyBorder="1" applyAlignment="1" applyProtection="1">
      <alignment horizontal="center" vertical="center"/>
    </xf>
    <xf numFmtId="0" fontId="27" fillId="25" borderId="114" xfId="5" applyFont="1" applyFill="1" applyBorder="1" applyAlignment="1" applyProtection="1">
      <alignment horizontal="center" vertical="center"/>
    </xf>
    <xf numFmtId="49" fontId="27" fillId="25" borderId="115" xfId="5" applyNumberFormat="1" applyFont="1" applyFill="1" applyBorder="1" applyProtection="1"/>
    <xf numFmtId="0" fontId="27" fillId="25" borderId="116" xfId="5" applyFont="1" applyFill="1" applyBorder="1" applyAlignment="1" applyProtection="1">
      <alignment horizontal="center" vertical="center"/>
    </xf>
    <xf numFmtId="0" fontId="17" fillId="27" borderId="58" xfId="2" applyFont="1" applyFill="1" applyBorder="1" applyAlignment="1" applyProtection="1">
      <alignment horizontal="center"/>
    </xf>
    <xf numFmtId="0" fontId="28" fillId="28" borderId="59" xfId="2" quotePrefix="1" applyFont="1" applyFill="1" applyBorder="1"/>
    <xf numFmtId="0" fontId="27" fillId="29" borderId="59" xfId="2" applyFont="1" applyFill="1" applyBorder="1" applyAlignment="1" applyProtection="1">
      <alignment horizontal="center"/>
    </xf>
    <xf numFmtId="0" fontId="29" fillId="28" borderId="59" xfId="2" quotePrefix="1" applyFont="1" applyFill="1" applyBorder="1" applyAlignment="1" applyProtection="1">
      <alignment horizontal="left"/>
    </xf>
    <xf numFmtId="0" fontId="27" fillId="29" borderId="117" xfId="2" applyFont="1" applyFill="1" applyBorder="1" applyAlignment="1" applyProtection="1">
      <alignment horizontal="center"/>
    </xf>
    <xf numFmtId="0" fontId="8" fillId="0" borderId="118" xfId="2" applyFont="1" applyBorder="1"/>
    <xf numFmtId="0" fontId="4" fillId="9" borderId="20" xfId="2" applyFill="1" applyBorder="1" applyAlignment="1">
      <alignment horizontal="center" vertical="center"/>
    </xf>
    <xf numFmtId="0" fontId="4" fillId="9" borderId="119" xfId="2" applyFill="1" applyBorder="1" applyAlignment="1">
      <alignment horizontal="center" vertical="center"/>
    </xf>
    <xf numFmtId="0" fontId="4" fillId="10" borderId="0" xfId="2" applyFill="1" applyBorder="1" applyAlignment="1">
      <alignment horizontal="center" vertical="center"/>
    </xf>
    <xf numFmtId="0" fontId="4" fillId="10" borderId="120" xfId="2" applyFill="1" applyBorder="1" applyAlignment="1">
      <alignment horizontal="center" vertical="center"/>
    </xf>
    <xf numFmtId="0" fontId="27" fillId="25" borderId="121" xfId="5" applyFont="1" applyFill="1" applyBorder="1" applyAlignment="1" applyProtection="1">
      <alignment horizontal="center" vertical="center"/>
    </xf>
    <xf numFmtId="49" fontId="27" fillId="25" borderId="122" xfId="5" applyNumberFormat="1" applyFont="1" applyFill="1" applyBorder="1" applyProtection="1"/>
    <xf numFmtId="0" fontId="27" fillId="25" borderId="123" xfId="5" applyFont="1" applyFill="1" applyBorder="1" applyAlignment="1" applyProtection="1">
      <alignment horizontal="center" vertical="center"/>
    </xf>
    <xf numFmtId="0" fontId="27" fillId="27" borderId="65" xfId="2" applyFont="1" applyFill="1" applyBorder="1" applyAlignment="1" applyProtection="1">
      <alignment horizontal="center"/>
    </xf>
    <xf numFmtId="0" fontId="28" fillId="28" borderId="66" xfId="2" quotePrefix="1" applyFont="1" applyFill="1" applyBorder="1"/>
    <xf numFmtId="0" fontId="27" fillId="29" borderId="66" xfId="2" applyFont="1" applyFill="1" applyBorder="1" applyAlignment="1" applyProtection="1">
      <alignment horizontal="center"/>
    </xf>
    <xf numFmtId="0" fontId="29" fillId="28" borderId="66" xfId="2" quotePrefix="1" applyFont="1" applyFill="1" applyBorder="1" applyAlignment="1" applyProtection="1">
      <alignment horizontal="left"/>
    </xf>
    <xf numFmtId="0" fontId="27" fillId="29" borderId="124" xfId="2" applyFont="1" applyFill="1" applyBorder="1" applyAlignment="1" applyProtection="1">
      <alignment horizontal="center"/>
    </xf>
    <xf numFmtId="0" fontId="4" fillId="9" borderId="25" xfId="2" applyFill="1" applyBorder="1" applyAlignment="1">
      <alignment horizontal="center" vertical="center"/>
    </xf>
    <xf numFmtId="0" fontId="4" fillId="9" borderId="28" xfId="2" applyFill="1" applyBorder="1" applyAlignment="1">
      <alignment horizontal="center" vertical="center"/>
    </xf>
    <xf numFmtId="0" fontId="4" fillId="0" borderId="118" xfId="2" applyBorder="1"/>
    <xf numFmtId="0" fontId="27" fillId="25" borderId="125" xfId="5" applyFont="1" applyFill="1" applyBorder="1" applyAlignment="1" applyProtection="1">
      <alignment horizontal="center" vertical="center"/>
    </xf>
    <xf numFmtId="49" fontId="27" fillId="25" borderId="126" xfId="5" applyNumberFormat="1" applyFont="1" applyFill="1" applyBorder="1" applyProtection="1"/>
    <xf numFmtId="0" fontId="27" fillId="25" borderId="127" xfId="5" applyFont="1" applyFill="1" applyBorder="1" applyAlignment="1" applyProtection="1">
      <alignment horizontal="center" vertical="center"/>
    </xf>
    <xf numFmtId="0" fontId="4" fillId="0" borderId="0" xfId="2" applyFont="1" applyFill="1" applyBorder="1"/>
    <xf numFmtId="0" fontId="4" fillId="0" borderId="128" xfId="3" applyFont="1" applyFill="1" applyBorder="1"/>
    <xf numFmtId="0" fontId="27" fillId="30" borderId="0" xfId="2" applyFont="1" applyFill="1" applyBorder="1" applyProtection="1"/>
    <xf numFmtId="0" fontId="27" fillId="30" borderId="0" xfId="2" applyFont="1" applyFill="1" applyBorder="1" applyAlignment="1" applyProtection="1">
      <alignment horizontal="center"/>
    </xf>
    <xf numFmtId="1" fontId="27" fillId="30" borderId="0" xfId="2" applyNumberFormat="1" applyFont="1" applyFill="1" applyBorder="1" applyProtection="1"/>
    <xf numFmtId="0" fontId="4" fillId="0" borderId="129" xfId="2" applyFont="1" applyFill="1" applyBorder="1"/>
    <xf numFmtId="0" fontId="26" fillId="31" borderId="130" xfId="2" applyFont="1" applyFill="1" applyBorder="1" applyAlignment="1" applyProtection="1">
      <alignment horizontal="center" vertical="top" wrapText="1"/>
    </xf>
    <xf numFmtId="0" fontId="26" fillId="31" borderId="18" xfId="2" applyFont="1" applyFill="1" applyBorder="1" applyAlignment="1" applyProtection="1">
      <alignment vertical="top" wrapText="1"/>
    </xf>
    <xf numFmtId="0" fontId="26" fillId="31" borderId="22" xfId="2" applyFont="1" applyFill="1" applyBorder="1" applyAlignment="1" applyProtection="1">
      <alignment vertical="top" wrapText="1"/>
    </xf>
    <xf numFmtId="0" fontId="26" fillId="32" borderId="45" xfId="2" applyFont="1" applyFill="1" applyBorder="1" applyAlignment="1" applyProtection="1">
      <alignment horizontal="center" vertical="top" wrapText="1"/>
    </xf>
    <xf numFmtId="0" fontId="26" fillId="32" borderId="4" xfId="2" applyFont="1" applyFill="1" applyBorder="1" applyAlignment="1" applyProtection="1">
      <alignment vertical="top" wrapText="1"/>
    </xf>
    <xf numFmtId="0" fontId="26" fillId="32" borderId="15" xfId="2" applyFont="1" applyFill="1" applyBorder="1" applyAlignment="1" applyProtection="1">
      <alignment vertical="top" wrapText="1"/>
    </xf>
    <xf numFmtId="49" fontId="4" fillId="33" borderId="131" xfId="2" applyNumberFormat="1" applyFont="1" applyFill="1" applyBorder="1" applyAlignment="1">
      <alignment horizontal="right" indent="1"/>
    </xf>
    <xf numFmtId="49" fontId="4" fillId="31" borderId="26" xfId="2" applyNumberFormat="1" applyFont="1" applyFill="1" applyBorder="1"/>
    <xf numFmtId="49" fontId="4" fillId="31" borderId="26" xfId="2" applyNumberFormat="1" applyFont="1" applyFill="1" applyBorder="1" applyAlignment="1" applyProtection="1">
      <alignment horizontal="right" indent="1"/>
    </xf>
    <xf numFmtId="49" fontId="4" fillId="33" borderId="28" xfId="2" applyNumberFormat="1" applyFont="1" applyFill="1" applyBorder="1"/>
    <xf numFmtId="49" fontId="4" fillId="34" borderId="132" xfId="2" applyNumberFormat="1" applyFont="1" applyFill="1" applyBorder="1" applyAlignment="1">
      <alignment horizontal="right" indent="1"/>
    </xf>
    <xf numFmtId="49" fontId="4" fillId="32" borderId="133" xfId="2" applyNumberFormat="1" applyFont="1" applyFill="1" applyBorder="1"/>
    <xf numFmtId="49" fontId="4" fillId="35" borderId="134" xfId="2" applyNumberFormat="1" applyFont="1" applyFill="1" applyBorder="1" applyAlignment="1" applyProtection="1">
      <alignment horizontal="right" indent="1"/>
    </xf>
    <xf numFmtId="49" fontId="4" fillId="36" borderId="135" xfId="2" applyNumberFormat="1" applyFont="1" applyFill="1" applyBorder="1"/>
    <xf numFmtId="49" fontId="4" fillId="34" borderId="136" xfId="2" applyNumberFormat="1" applyFont="1" applyFill="1" applyBorder="1" applyAlignment="1">
      <alignment horizontal="right" indent="1"/>
    </xf>
    <xf numFmtId="49" fontId="4" fillId="32" borderId="137" xfId="2" applyNumberFormat="1" applyFont="1" applyFill="1" applyBorder="1"/>
    <xf numFmtId="49" fontId="4" fillId="36" borderId="138" xfId="2" applyNumberFormat="1" applyFont="1" applyFill="1" applyBorder="1"/>
    <xf numFmtId="0" fontId="4" fillId="0" borderId="139" xfId="2" applyBorder="1"/>
    <xf numFmtId="0" fontId="4" fillId="9" borderId="140" xfId="2" applyFill="1" applyBorder="1" applyAlignment="1">
      <alignment horizontal="center" vertical="center"/>
    </xf>
    <xf numFmtId="0" fontId="4" fillId="9" borderId="141" xfId="2" applyFill="1" applyBorder="1" applyAlignment="1">
      <alignment horizontal="center" vertical="center"/>
    </xf>
    <xf numFmtId="0" fontId="4" fillId="10" borderId="142" xfId="2" applyFill="1" applyBorder="1" applyAlignment="1">
      <alignment horizontal="center" vertical="center"/>
    </xf>
    <xf numFmtId="0" fontId="4" fillId="10" borderId="143" xfId="2" applyFill="1" applyBorder="1" applyAlignment="1">
      <alignment horizontal="center" vertical="center"/>
    </xf>
    <xf numFmtId="49" fontId="4" fillId="34" borderId="144" xfId="2" applyNumberFormat="1" applyFont="1" applyFill="1" applyBorder="1" applyAlignment="1">
      <alignment horizontal="right" indent="1"/>
    </xf>
    <xf numFmtId="49" fontId="4" fillId="37" borderId="17" xfId="2" applyNumberFormat="1" applyFont="1" applyFill="1" applyBorder="1" applyAlignment="1">
      <alignment horizontal="center"/>
    </xf>
    <xf numFmtId="49" fontId="4" fillId="19" borderId="145" xfId="2" applyNumberFormat="1" applyFill="1" applyBorder="1" applyAlignment="1">
      <alignment horizontal="center"/>
    </xf>
    <xf numFmtId="49" fontId="4" fillId="37" borderId="25" xfId="2" applyNumberFormat="1" applyFont="1" applyFill="1" applyBorder="1" applyAlignment="1">
      <alignment horizontal="center"/>
    </xf>
    <xf numFmtId="49" fontId="4" fillId="19" borderId="146" xfId="2" applyNumberFormat="1" applyFill="1" applyBorder="1" applyAlignment="1">
      <alignment horizontal="center"/>
    </xf>
    <xf numFmtId="49" fontId="4" fillId="34" borderId="5" xfId="2" applyNumberFormat="1" applyFont="1" applyFill="1" applyBorder="1" applyAlignment="1">
      <alignment horizontal="right" indent="1"/>
    </xf>
    <xf numFmtId="49" fontId="4" fillId="32" borderId="147" xfId="2" applyNumberFormat="1" applyFont="1" applyFill="1" applyBorder="1"/>
    <xf numFmtId="49" fontId="4" fillId="35" borderId="148" xfId="2" applyNumberFormat="1" applyFont="1" applyFill="1" applyBorder="1" applyAlignment="1" applyProtection="1">
      <alignment horizontal="right" indent="1"/>
    </xf>
    <xf numFmtId="49" fontId="4" fillId="36" borderId="149" xfId="2" applyNumberFormat="1" applyFont="1" applyFill="1" applyBorder="1"/>
    <xf numFmtId="0" fontId="0" fillId="0" borderId="0" xfId="0" applyBorder="1"/>
    <xf numFmtId="49" fontId="4" fillId="33" borderId="150" xfId="2" applyNumberFormat="1" applyFont="1" applyFill="1" applyBorder="1" applyAlignment="1">
      <alignment horizontal="right" indent="1"/>
    </xf>
    <xf numFmtId="49" fontId="4" fillId="31" borderId="151" xfId="2" applyNumberFormat="1" applyFont="1" applyFill="1" applyBorder="1"/>
    <xf numFmtId="49" fontId="4" fillId="31" borderId="151" xfId="2" applyNumberFormat="1" applyFont="1" applyFill="1" applyBorder="1" applyAlignment="1" applyProtection="1">
      <alignment horizontal="right" indent="1"/>
    </xf>
    <xf numFmtId="49" fontId="4" fillId="33" borderId="152" xfId="2" applyNumberFormat="1" applyFont="1" applyFill="1" applyBorder="1"/>
    <xf numFmtId="0" fontId="4" fillId="0" borderId="154" xfId="2" applyFont="1" applyFill="1" applyBorder="1"/>
    <xf numFmtId="49" fontId="4" fillId="37" borderId="39" xfId="2" applyNumberFormat="1" applyFont="1" applyFill="1" applyBorder="1" applyAlignment="1">
      <alignment horizontal="center"/>
    </xf>
    <xf numFmtId="49" fontId="4" fillId="19" borderId="155" xfId="2" applyNumberFormat="1" applyFill="1" applyBorder="1" applyAlignment="1">
      <alignment horizontal="center"/>
    </xf>
    <xf numFmtId="0" fontId="75" fillId="74" borderId="2" xfId="5" applyFont="1" applyFill="1" applyBorder="1" applyAlignment="1" applyProtection="1">
      <alignment vertical="center"/>
      <protection locked="0"/>
    </xf>
    <xf numFmtId="0" fontId="7" fillId="23" borderId="0" xfId="5" applyFont="1" applyFill="1" applyBorder="1" applyProtection="1"/>
    <xf numFmtId="0" fontId="4" fillId="0" borderId="0" xfId="5"/>
    <xf numFmtId="0" fontId="7" fillId="6" borderId="0" xfId="5" applyFont="1" applyFill="1" applyProtection="1"/>
    <xf numFmtId="0" fontId="75" fillId="74" borderId="0" xfId="5" applyFont="1" applyFill="1" applyBorder="1" applyAlignment="1" applyProtection="1">
      <alignment horizontal="left" vertical="center"/>
    </xf>
    <xf numFmtId="0" fontId="87" fillId="74" borderId="0" xfId="5" applyFont="1" applyFill="1" applyBorder="1" applyAlignment="1" applyProtection="1">
      <alignment vertical="center"/>
    </xf>
    <xf numFmtId="0" fontId="75" fillId="74" borderId="0" xfId="5" applyFont="1" applyFill="1" applyBorder="1" applyAlignment="1" applyProtection="1">
      <alignment vertical="center"/>
    </xf>
    <xf numFmtId="0" fontId="88" fillId="76" borderId="0" xfId="5" applyFont="1" applyFill="1" applyAlignment="1">
      <alignment vertical="center"/>
    </xf>
    <xf numFmtId="0" fontId="7" fillId="6" borderId="0" xfId="5" applyFont="1" applyFill="1" applyProtection="1">
      <protection locked="0"/>
    </xf>
    <xf numFmtId="0" fontId="10" fillId="58" borderId="0" xfId="5" applyFont="1" applyFill="1" applyBorder="1" applyAlignment="1" applyProtection="1">
      <alignment vertical="center"/>
    </xf>
    <xf numFmtId="0" fontId="4" fillId="58" borderId="0" xfId="5" applyFont="1" applyFill="1" applyBorder="1" applyAlignment="1" applyProtection="1">
      <alignment vertical="center"/>
    </xf>
    <xf numFmtId="0" fontId="89" fillId="6" borderId="0" xfId="5" applyFont="1" applyFill="1" applyAlignment="1" applyProtection="1">
      <alignment horizontal="left" vertical="top" wrapText="1"/>
    </xf>
    <xf numFmtId="0" fontId="4" fillId="6" borderId="0" xfId="5" applyFont="1" applyFill="1" applyAlignment="1" applyProtection="1">
      <alignment horizontal="left" vertical="top" wrapText="1"/>
    </xf>
    <xf numFmtId="0" fontId="45" fillId="23" borderId="0" xfId="5" applyFont="1" applyFill="1"/>
    <xf numFmtId="0" fontId="4" fillId="6" borderId="0" xfId="5" applyFont="1" applyFill="1" applyProtection="1"/>
    <xf numFmtId="0" fontId="4" fillId="5" borderId="176" xfId="5" applyFont="1" applyFill="1" applyBorder="1" applyAlignment="1" applyProtection="1">
      <alignment horizontal="left"/>
      <protection locked="0"/>
    </xf>
    <xf numFmtId="0" fontId="4" fillId="61" borderId="176" xfId="5" applyFont="1" applyFill="1" applyBorder="1" applyAlignment="1" applyProtection="1">
      <alignment horizontal="left"/>
      <protection locked="0"/>
    </xf>
    <xf numFmtId="0" fontId="4" fillId="61" borderId="49" xfId="5" applyFont="1" applyFill="1" applyBorder="1" applyAlignment="1" applyProtection="1">
      <alignment horizontal="left" vertical="center"/>
      <protection locked="0"/>
    </xf>
    <xf numFmtId="0" fontId="4" fillId="61" borderId="175" xfId="5" applyFont="1" applyFill="1" applyBorder="1" applyAlignment="1" applyProtection="1">
      <alignment horizontal="left" vertical="center" wrapText="1"/>
      <protection locked="0"/>
    </xf>
    <xf numFmtId="185" fontId="4" fillId="61" borderId="175" xfId="5" applyNumberFormat="1" applyFont="1" applyFill="1" applyBorder="1" applyAlignment="1" applyProtection="1">
      <alignment horizontal="left" vertical="center"/>
      <protection locked="0"/>
    </xf>
    <xf numFmtId="185" fontId="4" fillId="61" borderId="49" xfId="5" applyNumberFormat="1" applyFont="1" applyFill="1" applyBorder="1" applyAlignment="1" applyProtection="1">
      <alignment horizontal="left" vertical="center"/>
      <protection locked="0"/>
    </xf>
    <xf numFmtId="0" fontId="4" fillId="61" borderId="49" xfId="5" applyFill="1" applyBorder="1" applyAlignment="1" applyProtection="1">
      <alignment horizontal="left" vertical="center"/>
      <protection locked="0"/>
    </xf>
    <xf numFmtId="0" fontId="100" fillId="0" borderId="0" xfId="5" applyFont="1"/>
    <xf numFmtId="0" fontId="10" fillId="77" borderId="15" xfId="517" applyFont="1" applyFill="1" applyBorder="1" applyAlignment="1" applyProtection="1">
      <alignment horizontal="center" vertical="center"/>
      <protection locked="0"/>
    </xf>
    <xf numFmtId="0" fontId="4" fillId="0" borderId="0" xfId="5" applyAlignment="1">
      <alignment horizontal="left"/>
    </xf>
    <xf numFmtId="0" fontId="4" fillId="0" borderId="0" xfId="5" quotePrefix="1"/>
    <xf numFmtId="0" fontId="102" fillId="0" borderId="0" xfId="366" applyFont="1" applyFill="1" applyBorder="1" applyAlignment="1" applyProtection="1">
      <alignment horizontal="left"/>
    </xf>
    <xf numFmtId="0" fontId="4" fillId="0" borderId="0" xfId="5" applyFill="1"/>
    <xf numFmtId="0" fontId="4" fillId="7" borderId="178" xfId="5" applyFont="1" applyFill="1" applyBorder="1" applyAlignment="1" applyProtection="1"/>
    <xf numFmtId="0" fontId="105" fillId="7" borderId="13" xfId="5" applyFont="1" applyFill="1" applyBorder="1" applyAlignment="1" applyProtection="1">
      <alignment vertical="top"/>
    </xf>
    <xf numFmtId="0" fontId="7" fillId="7" borderId="2" xfId="5" applyFont="1" applyFill="1" applyBorder="1" applyProtection="1"/>
    <xf numFmtId="0" fontId="7" fillId="7" borderId="3" xfId="5" applyFont="1" applyFill="1" applyBorder="1" applyProtection="1"/>
    <xf numFmtId="0" fontId="4" fillId="7" borderId="33" xfId="5" applyFont="1" applyFill="1" applyBorder="1" applyProtection="1"/>
    <xf numFmtId="0" fontId="10" fillId="61" borderId="15" xfId="5" applyFont="1" applyFill="1" applyBorder="1" applyProtection="1">
      <protection locked="0"/>
    </xf>
    <xf numFmtId="0" fontId="7" fillId="7" borderId="0" xfId="5" applyFont="1" applyFill="1" applyBorder="1" applyProtection="1"/>
    <xf numFmtId="0" fontId="7" fillId="7" borderId="8" xfId="5" applyFont="1" applyFill="1" applyBorder="1" applyProtection="1"/>
    <xf numFmtId="0" fontId="4" fillId="7" borderId="179" xfId="5" applyFont="1" applyFill="1" applyBorder="1" applyAlignment="1" applyProtection="1">
      <alignment vertical="center"/>
    </xf>
    <xf numFmtId="0" fontId="107" fillId="7" borderId="8" xfId="5" applyFont="1" applyFill="1" applyBorder="1" applyAlignment="1" applyProtection="1">
      <alignment vertical="top"/>
    </xf>
    <xf numFmtId="0" fontId="4" fillId="7" borderId="169" xfId="5" applyFont="1" applyFill="1" applyBorder="1" applyProtection="1"/>
    <xf numFmtId="0" fontId="4" fillId="61" borderId="149" xfId="5" applyFont="1" applyFill="1" applyBorder="1" applyAlignment="1" applyProtection="1">
      <alignment horizontal="center"/>
      <protection locked="0"/>
    </xf>
    <xf numFmtId="0" fontId="7" fillId="7" borderId="5" xfId="5" applyFont="1" applyFill="1" applyBorder="1" applyProtection="1"/>
    <xf numFmtId="0" fontId="7" fillId="7" borderId="174" xfId="5" applyFont="1" applyFill="1" applyBorder="1" applyProtection="1"/>
    <xf numFmtId="0" fontId="4" fillId="7" borderId="17" xfId="5" applyFont="1" applyFill="1" applyBorder="1" applyAlignment="1" applyProtection="1">
      <alignment vertical="top"/>
    </xf>
    <xf numFmtId="0" fontId="4" fillId="7" borderId="18" xfId="5" applyFont="1" applyFill="1" applyBorder="1" applyAlignment="1" applyProtection="1">
      <alignment horizontal="center" vertical="top"/>
    </xf>
    <xf numFmtId="0" fontId="107" fillId="7" borderId="19" xfId="5" quotePrefix="1" applyFont="1" applyFill="1" applyBorder="1" applyAlignment="1" applyProtection="1">
      <alignment vertical="top"/>
    </xf>
    <xf numFmtId="0" fontId="107" fillId="7" borderId="180" xfId="5" applyFont="1" applyFill="1" applyBorder="1" applyAlignment="1" applyProtection="1">
      <alignment vertical="top"/>
    </xf>
    <xf numFmtId="0" fontId="7" fillId="6" borderId="0" xfId="5" applyFont="1" applyFill="1" applyAlignment="1" applyProtection="1">
      <alignment vertical="center"/>
    </xf>
    <xf numFmtId="0" fontId="4" fillId="7" borderId="25" xfId="5" applyFont="1" applyFill="1" applyBorder="1" applyAlignment="1" applyProtection="1">
      <alignment vertical="top"/>
    </xf>
    <xf numFmtId="0" fontId="4" fillId="7" borderId="26" xfId="5" applyFont="1" applyFill="1" applyBorder="1" applyAlignment="1" applyProtection="1">
      <alignment horizontal="center" vertical="top"/>
    </xf>
    <xf numFmtId="0" fontId="107" fillId="7" borderId="27" xfId="5" quotePrefix="1" applyFont="1" applyFill="1" applyBorder="1" applyAlignment="1" applyProtection="1">
      <alignment vertical="top"/>
    </xf>
    <xf numFmtId="0" fontId="107" fillId="7" borderId="181" xfId="5" applyFont="1" applyFill="1" applyBorder="1" applyAlignment="1" applyProtection="1">
      <alignment vertical="top"/>
    </xf>
    <xf numFmtId="0" fontId="107" fillId="7" borderId="29" xfId="5" applyFont="1" applyFill="1" applyBorder="1" applyAlignment="1" applyProtection="1">
      <alignment vertical="top"/>
    </xf>
    <xf numFmtId="0" fontId="10" fillId="7" borderId="26" xfId="5" applyFont="1" applyFill="1" applyBorder="1" applyAlignment="1" applyProtection="1">
      <alignment horizontal="center" vertical="top"/>
    </xf>
    <xf numFmtId="0" fontId="10" fillId="61" borderId="26" xfId="5" applyFont="1" applyFill="1" applyBorder="1" applyAlignment="1" applyProtection="1">
      <alignment horizontal="center" vertical="top"/>
    </xf>
    <xf numFmtId="0" fontId="4" fillId="7" borderId="26" xfId="5" quotePrefix="1" applyFont="1" applyFill="1" applyBorder="1" applyAlignment="1" applyProtection="1">
      <alignment horizontal="center" vertical="top"/>
    </xf>
    <xf numFmtId="0" fontId="4" fillId="7" borderId="39" xfId="5" applyFont="1" applyFill="1" applyBorder="1" applyAlignment="1" applyProtection="1">
      <alignment vertical="top"/>
    </xf>
    <xf numFmtId="0" fontId="4" fillId="7" borderId="40" xfId="5" applyFont="1" applyFill="1" applyBorder="1" applyAlignment="1" applyProtection="1">
      <alignment horizontal="center" vertical="top"/>
    </xf>
    <xf numFmtId="0" fontId="107" fillId="7" borderId="171" xfId="5" quotePrefix="1" applyFont="1" applyFill="1" applyBorder="1" applyAlignment="1" applyProtection="1">
      <alignment vertical="top"/>
    </xf>
    <xf numFmtId="0" fontId="107" fillId="7" borderId="182" xfId="5" applyFont="1" applyFill="1" applyBorder="1" applyAlignment="1" applyProtection="1">
      <alignment vertical="top"/>
    </xf>
    <xf numFmtId="0" fontId="107" fillId="7" borderId="41" xfId="5" applyFont="1" applyFill="1" applyBorder="1" applyAlignment="1" applyProtection="1">
      <alignment vertical="top"/>
    </xf>
    <xf numFmtId="0" fontId="4" fillId="7" borderId="183" xfId="5" applyFont="1" applyFill="1" applyBorder="1" applyAlignment="1" applyProtection="1">
      <alignment horizontal="left" vertical="top" indent="2"/>
    </xf>
    <xf numFmtId="0" fontId="107" fillId="7" borderId="165" xfId="5" applyFont="1" applyFill="1" applyBorder="1" applyAlignment="1" applyProtection="1">
      <alignment vertical="top"/>
    </xf>
    <xf numFmtId="0" fontId="107" fillId="7" borderId="177" xfId="5" applyFont="1" applyFill="1" applyBorder="1" applyAlignment="1" applyProtection="1">
      <alignment vertical="top"/>
    </xf>
    <xf numFmtId="0" fontId="4" fillId="7" borderId="186" xfId="5" applyFont="1" applyFill="1" applyBorder="1" applyAlignment="1" applyProtection="1">
      <alignment horizontal="left" vertical="top" indent="2"/>
    </xf>
    <xf numFmtId="0" fontId="4" fillId="22" borderId="0" xfId="5" applyFont="1" applyFill="1" applyBorder="1" applyAlignment="1">
      <alignment horizontal="center"/>
    </xf>
    <xf numFmtId="0" fontId="107" fillId="7" borderId="21" xfId="5" quotePrefix="1" applyFont="1" applyFill="1" applyBorder="1" applyAlignment="1" applyProtection="1">
      <alignment vertical="top"/>
    </xf>
    <xf numFmtId="0" fontId="107" fillId="7" borderId="187" xfId="5" applyFont="1" applyFill="1" applyBorder="1" applyAlignment="1" applyProtection="1">
      <alignment vertical="top"/>
    </xf>
    <xf numFmtId="0" fontId="107" fillId="7" borderId="188" xfId="5" applyFont="1" applyFill="1" applyBorder="1" applyAlignment="1" applyProtection="1">
      <alignment vertical="top"/>
    </xf>
    <xf numFmtId="0" fontId="4" fillId="7" borderId="20" xfId="5" applyFont="1" applyFill="1" applyBorder="1" applyAlignment="1" applyProtection="1">
      <alignment horizontal="left" vertical="top" indent="2"/>
    </xf>
    <xf numFmtId="0" fontId="7" fillId="7" borderId="7" xfId="5" applyFont="1" applyFill="1" applyBorder="1" applyAlignment="1" applyProtection="1">
      <alignment horizontal="left" indent="2"/>
    </xf>
    <xf numFmtId="0" fontId="12" fillId="7" borderId="0" xfId="5" applyFont="1" applyFill="1" applyBorder="1" applyAlignment="1" applyProtection="1">
      <alignment horizontal="center"/>
    </xf>
    <xf numFmtId="0" fontId="4" fillId="7" borderId="25" xfId="5" applyFont="1" applyFill="1" applyBorder="1" applyAlignment="1" applyProtection="1">
      <alignment horizontal="left" vertical="top" indent="2"/>
    </xf>
    <xf numFmtId="0" fontId="107" fillId="7" borderId="27" xfId="5" quotePrefix="1" applyFont="1" applyFill="1" applyBorder="1" applyAlignment="1" applyProtection="1">
      <alignment horizontal="left" vertical="top"/>
    </xf>
    <xf numFmtId="0" fontId="4" fillId="7" borderId="36" xfId="5" applyFont="1" applyFill="1" applyBorder="1" applyAlignment="1" applyProtection="1">
      <alignment horizontal="left" vertical="top" indent="2"/>
    </xf>
    <xf numFmtId="0" fontId="107" fillId="7" borderId="189" xfId="5" applyFont="1" applyFill="1" applyBorder="1" applyAlignment="1" applyProtection="1">
      <alignment vertical="top"/>
    </xf>
    <xf numFmtId="0" fontId="10" fillId="7" borderId="39" xfId="5" applyFont="1" applyFill="1" applyBorder="1" applyAlignment="1" applyProtection="1">
      <alignment vertical="top"/>
    </xf>
    <xf numFmtId="0" fontId="98" fillId="7" borderId="5" xfId="5" applyFont="1" applyFill="1" applyBorder="1" applyAlignment="1" applyProtection="1">
      <alignment horizontal="center"/>
    </xf>
    <xf numFmtId="0" fontId="107" fillId="7" borderId="171" xfId="5" quotePrefix="1" applyFont="1" applyFill="1" applyBorder="1" applyAlignment="1" applyProtection="1">
      <alignment horizontal="left" vertical="top"/>
    </xf>
    <xf numFmtId="0" fontId="4" fillId="7" borderId="62" xfId="5" applyFont="1" applyFill="1" applyBorder="1" applyAlignment="1" applyProtection="1">
      <alignment horizontal="center" vertical="top"/>
    </xf>
    <xf numFmtId="0" fontId="12" fillId="7" borderId="26" xfId="5" quotePrefix="1" applyFont="1" applyFill="1" applyBorder="1" applyAlignment="1" applyProtection="1">
      <alignment horizontal="center" vertical="center"/>
    </xf>
    <xf numFmtId="0" fontId="109" fillId="7" borderId="27" xfId="5" quotePrefix="1" applyFont="1" applyFill="1" applyBorder="1" applyAlignment="1" applyProtection="1">
      <alignment vertical="top"/>
    </xf>
    <xf numFmtId="0" fontId="109" fillId="7" borderId="181" xfId="5" applyFont="1" applyFill="1" applyBorder="1" applyAlignment="1" applyProtection="1">
      <alignment vertical="top"/>
    </xf>
    <xf numFmtId="0" fontId="109" fillId="7" borderId="29" xfId="5" applyFont="1" applyFill="1" applyBorder="1" applyAlignment="1" applyProtection="1">
      <alignment vertical="top"/>
    </xf>
    <xf numFmtId="0" fontId="110" fillId="4" borderId="0" xfId="2" quotePrefix="1" applyFont="1" applyFill="1"/>
    <xf numFmtId="0" fontId="7" fillId="4" borderId="0" xfId="5" applyFont="1" applyFill="1" applyProtection="1"/>
    <xf numFmtId="0" fontId="75" fillId="74" borderId="0" xfId="0" applyFont="1" applyFill="1" applyBorder="1" applyAlignment="1" applyProtection="1">
      <alignment vertical="center"/>
    </xf>
    <xf numFmtId="0" fontId="75" fillId="74" borderId="0" xfId="0" applyFont="1" applyFill="1" applyAlignment="1" applyProtection="1">
      <alignment vertical="center" wrapText="1"/>
    </xf>
    <xf numFmtId="0" fontId="0" fillId="0" borderId="0" xfId="0" applyProtection="1"/>
    <xf numFmtId="0" fontId="0" fillId="6" borderId="0" xfId="0" applyFill="1" applyProtection="1"/>
    <xf numFmtId="0" fontId="75" fillId="74" borderId="0" xfId="0" applyFont="1" applyFill="1" applyBorder="1" applyAlignment="1" applyProtection="1">
      <alignment horizontal="left" vertical="center"/>
    </xf>
    <xf numFmtId="0" fontId="75" fillId="75" borderId="0" xfId="654" applyProtection="1">
      <alignment horizontal="left" vertical="center"/>
    </xf>
    <xf numFmtId="0" fontId="10" fillId="0" borderId="0" xfId="0" applyFont="1" applyAlignment="1" applyProtection="1">
      <alignment horizontal="left" wrapText="1"/>
    </xf>
    <xf numFmtId="0" fontId="0" fillId="6" borderId="0" xfId="0" applyFill="1" applyAlignment="1" applyProtection="1">
      <alignment horizontal="left" vertical="top" wrapText="1"/>
    </xf>
    <xf numFmtId="0" fontId="67" fillId="5" borderId="15" xfId="0" applyFont="1" applyFill="1" applyBorder="1" applyAlignment="1" applyProtection="1">
      <alignment horizontal="left" vertical="center"/>
    </xf>
    <xf numFmtId="0" fontId="67" fillId="5" borderId="43" xfId="0" applyFont="1" applyFill="1" applyBorder="1" applyAlignment="1" applyProtection="1">
      <alignment horizontal="left" vertical="center"/>
    </xf>
    <xf numFmtId="0" fontId="67" fillId="5" borderId="44" xfId="0" applyFont="1" applyFill="1" applyBorder="1" applyAlignment="1" applyProtection="1">
      <alignment horizontal="left" vertical="center"/>
    </xf>
    <xf numFmtId="0" fontId="67" fillId="5" borderId="9" xfId="0" applyFont="1" applyFill="1" applyBorder="1" applyAlignment="1" applyProtection="1">
      <alignment horizontal="left" vertical="center"/>
    </xf>
    <xf numFmtId="0" fontId="0" fillId="6" borderId="0" xfId="0" applyFill="1" applyAlignment="1" applyProtection="1">
      <alignment vertical="center"/>
    </xf>
    <xf numFmtId="0" fontId="5" fillId="16" borderId="198" xfId="0" quotePrefix="1" applyFont="1" applyFill="1" applyBorder="1" applyAlignment="1" applyProtection="1">
      <alignment horizontal="right" vertical="center"/>
    </xf>
    <xf numFmtId="0" fontId="5" fillId="16" borderId="198" xfId="0" applyFont="1" applyFill="1" applyBorder="1" applyAlignment="1" applyProtection="1">
      <alignment horizontal="right" vertical="center"/>
    </xf>
    <xf numFmtId="0" fontId="5" fillId="16" borderId="199" xfId="0" applyFont="1" applyFill="1" applyBorder="1" applyAlignment="1" applyProtection="1">
      <alignment horizontal="right" vertical="center"/>
    </xf>
    <xf numFmtId="0" fontId="4" fillId="0" borderId="178" xfId="0" applyFont="1" applyFill="1" applyBorder="1" applyAlignment="1" applyProtection="1">
      <alignment horizontal="left" vertical="center" wrapText="1" indent="1"/>
    </xf>
    <xf numFmtId="186" fontId="10" fillId="5" borderId="200" xfId="0" applyNumberFormat="1" applyFont="1" applyFill="1" applyBorder="1" applyAlignment="1" applyProtection="1">
      <alignment vertical="center"/>
    </xf>
    <xf numFmtId="186" fontId="4" fillId="0" borderId="201" xfId="0" applyNumberFormat="1" applyFont="1" applyBorder="1" applyAlignment="1">
      <alignment horizontal="right" vertical="top" wrapText="1"/>
    </xf>
    <xf numFmtId="186" fontId="4" fillId="6" borderId="201" xfId="0" applyNumberFormat="1" applyFont="1" applyFill="1" applyBorder="1" applyAlignment="1" applyProtection="1">
      <alignment vertical="center" wrapText="1"/>
    </xf>
    <xf numFmtId="186" fontId="4" fillId="5" borderId="2" xfId="0" applyNumberFormat="1" applyFont="1" applyFill="1" applyBorder="1" applyAlignment="1" applyProtection="1"/>
    <xf numFmtId="0" fontId="4" fillId="0" borderId="33" xfId="0" applyFont="1" applyFill="1" applyBorder="1" applyAlignment="1" applyProtection="1">
      <alignment horizontal="left" vertical="center" wrapText="1" indent="1"/>
    </xf>
    <xf numFmtId="0" fontId="0" fillId="0" borderId="0" xfId="0" applyFill="1" applyProtection="1"/>
    <xf numFmtId="0" fontId="12" fillId="6" borderId="33" xfId="0" applyFont="1" applyFill="1" applyBorder="1" applyAlignment="1" applyProtection="1">
      <alignment horizontal="left" vertical="center" wrapText="1" indent="1"/>
    </xf>
    <xf numFmtId="0" fontId="12" fillId="6" borderId="16" xfId="0" applyFont="1" applyFill="1" applyBorder="1" applyAlignment="1" applyProtection="1">
      <alignment horizontal="left" vertical="center" wrapText="1" indent="1"/>
    </xf>
    <xf numFmtId="0" fontId="12" fillId="6" borderId="205" xfId="0" applyFont="1" applyFill="1" applyBorder="1" applyAlignment="1" applyProtection="1">
      <alignment horizontal="left" vertical="center" wrapText="1" indent="1"/>
    </xf>
    <xf numFmtId="186" fontId="10" fillId="5" borderId="206" xfId="0" applyNumberFormat="1" applyFont="1" applyFill="1" applyBorder="1" applyAlignment="1" applyProtection="1">
      <alignment vertical="center"/>
    </xf>
    <xf numFmtId="0" fontId="12" fillId="6" borderId="0" xfId="0" applyFont="1" applyFill="1" applyBorder="1" applyAlignment="1" applyProtection="1">
      <alignment horizontal="left" vertical="center" wrapText="1" indent="1"/>
    </xf>
    <xf numFmtId="0" fontId="7" fillId="0" borderId="0" xfId="0" applyFont="1" applyBorder="1" applyProtection="1"/>
    <xf numFmtId="2" fontId="10" fillId="0" borderId="0" xfId="0" applyNumberFormat="1" applyFont="1" applyFill="1" applyBorder="1" applyAlignment="1" applyProtection="1">
      <alignment horizontal="center"/>
    </xf>
    <xf numFmtId="0" fontId="7" fillId="6" borderId="0" xfId="0" applyFont="1" applyFill="1" applyBorder="1" applyProtection="1"/>
    <xf numFmtId="0" fontId="45" fillId="23" borderId="0" xfId="655" applyFont="1">
      <alignment vertical="center"/>
      <protection locked="0"/>
    </xf>
    <xf numFmtId="0" fontId="111" fillId="23" borderId="0" xfId="655" applyFont="1">
      <alignment vertical="center"/>
      <protection locked="0"/>
    </xf>
    <xf numFmtId="0" fontId="112" fillId="6" borderId="0" xfId="0" applyFont="1" applyFill="1" applyProtection="1"/>
    <xf numFmtId="0" fontId="113" fillId="5" borderId="43" xfId="0" applyFont="1" applyFill="1" applyBorder="1" applyAlignment="1" applyProtection="1">
      <alignment horizontal="left" vertical="center"/>
      <protection locked="0"/>
    </xf>
    <xf numFmtId="0" fontId="113" fillId="5" borderId="44" xfId="0" applyFont="1" applyFill="1" applyBorder="1" applyAlignment="1" applyProtection="1">
      <alignment horizontal="left" vertical="center"/>
      <protection locked="0"/>
    </xf>
    <xf numFmtId="0" fontId="113" fillId="5" borderId="45" xfId="0" applyFont="1" applyFill="1" applyBorder="1" applyAlignment="1" applyProtection="1">
      <alignment horizontal="left" vertical="center"/>
      <protection locked="0"/>
    </xf>
    <xf numFmtId="0" fontId="114" fillId="6" borderId="0" xfId="0" applyFont="1" applyFill="1" applyBorder="1" applyProtection="1"/>
    <xf numFmtId="0" fontId="7" fillId="6" borderId="0" xfId="0" applyFont="1" applyFill="1" applyProtection="1"/>
    <xf numFmtId="43" fontId="10" fillId="5" borderId="212" xfId="0" applyNumberFormat="1" applyFont="1" applyFill="1" applyBorder="1" applyAlignment="1" applyProtection="1">
      <alignment horizontal="left"/>
    </xf>
    <xf numFmtId="0" fontId="0" fillId="0" borderId="0" xfId="0" applyFill="1" applyAlignment="1" applyProtection="1">
      <alignment horizontal="right"/>
    </xf>
    <xf numFmtId="0" fontId="7" fillId="0" borderId="0" xfId="0" applyFont="1" applyProtection="1"/>
    <xf numFmtId="43" fontId="10" fillId="5" borderId="30" xfId="0" applyNumberFormat="1" applyFont="1" applyFill="1" applyBorder="1" applyAlignment="1" applyProtection="1">
      <alignment horizontal="left"/>
    </xf>
    <xf numFmtId="43" fontId="10" fillId="5" borderId="214" xfId="0" applyNumberFormat="1" applyFont="1" applyFill="1" applyBorder="1" applyAlignment="1" applyProtection="1">
      <alignment horizontal="left"/>
    </xf>
    <xf numFmtId="43" fontId="10" fillId="5" borderId="215" xfId="0" applyNumberFormat="1" applyFont="1" applyFill="1" applyBorder="1" applyAlignment="1" applyProtection="1">
      <alignment horizontal="left"/>
    </xf>
    <xf numFmtId="186" fontId="4" fillId="6" borderId="30" xfId="1" applyNumberFormat="1" applyFont="1" applyFill="1" applyBorder="1" applyAlignment="1" applyProtection="1">
      <alignment horizontal="right" wrapText="1"/>
    </xf>
    <xf numFmtId="187" fontId="7" fillId="0" borderId="0" xfId="0" applyNumberFormat="1" applyFont="1" applyFill="1" applyProtection="1"/>
    <xf numFmtId="0" fontId="0" fillId="0" borderId="0" xfId="0" applyFill="1" applyBorder="1" applyProtection="1"/>
    <xf numFmtId="187" fontId="10" fillId="0" borderId="0" xfId="0" applyNumberFormat="1" applyFont="1" applyFill="1" applyProtection="1"/>
    <xf numFmtId="0" fontId="7" fillId="0" borderId="0" xfId="0" applyFont="1" applyFill="1" applyProtection="1"/>
    <xf numFmtId="186" fontId="10" fillId="76" borderId="217" xfId="1" applyNumberFormat="1" applyFont="1" applyFill="1" applyBorder="1" applyAlignment="1" applyProtection="1">
      <alignment horizontal="right" wrapText="1"/>
    </xf>
    <xf numFmtId="186" fontId="10" fillId="76" borderId="218" xfId="1" applyNumberFormat="1" applyFont="1" applyFill="1" applyBorder="1" applyAlignment="1" applyProtection="1">
      <alignment horizontal="right" wrapText="1"/>
    </xf>
    <xf numFmtId="0" fontId="115" fillId="0" borderId="5" xfId="0" applyFont="1" applyFill="1" applyBorder="1" applyAlignment="1" applyProtection="1">
      <alignment vertical="center"/>
    </xf>
    <xf numFmtId="0" fontId="115" fillId="0" borderId="0" xfId="0" applyFont="1" applyFill="1" applyBorder="1" applyAlignment="1" applyProtection="1">
      <alignment vertical="center"/>
    </xf>
    <xf numFmtId="186" fontId="116" fillId="0" borderId="0" xfId="0" applyNumberFormat="1" applyFont="1" applyBorder="1" applyProtection="1"/>
    <xf numFmtId="0" fontId="7" fillId="0" borderId="5" xfId="0" applyFont="1" applyFill="1" applyBorder="1" applyProtection="1"/>
    <xf numFmtId="0" fontId="0" fillId="0" borderId="0" xfId="0" applyFill="1" applyBorder="1" applyAlignment="1" applyProtection="1">
      <alignment horizontal="right"/>
    </xf>
    <xf numFmtId="0" fontId="24" fillId="6" borderId="8" xfId="0" applyFont="1" applyFill="1" applyBorder="1" applyAlignment="1" applyProtection="1">
      <alignment vertical="center" wrapText="1"/>
    </xf>
    <xf numFmtId="0" fontId="7" fillId="0" borderId="0" xfId="0" applyFont="1" applyFill="1" applyAlignment="1" applyProtection="1">
      <alignment horizontal="right"/>
    </xf>
    <xf numFmtId="0" fontId="4" fillId="0" borderId="174" xfId="0" applyFont="1" applyBorder="1" applyAlignment="1" applyProtection="1">
      <alignment horizontal="left" vertical="center" wrapText="1" indent="1"/>
    </xf>
    <xf numFmtId="189" fontId="10" fillId="5" borderId="8" xfId="0" applyNumberFormat="1" applyFont="1" applyFill="1" applyBorder="1" applyAlignment="1" applyProtection="1">
      <alignment horizontal="right"/>
    </xf>
    <xf numFmtId="190" fontId="4" fillId="6" borderId="30" xfId="0" applyNumberFormat="1" applyFont="1" applyFill="1" applyBorder="1" applyAlignment="1" applyProtection="1">
      <alignment horizontal="right" vertical="center"/>
    </xf>
    <xf numFmtId="190" fontId="4" fillId="6" borderId="214" xfId="0" applyNumberFormat="1" applyFont="1" applyFill="1" applyBorder="1" applyAlignment="1" applyProtection="1">
      <alignment horizontal="right" vertical="center"/>
    </xf>
    <xf numFmtId="4" fontId="10" fillId="5" borderId="8" xfId="0" applyNumberFormat="1" applyFont="1" applyFill="1" applyBorder="1" applyAlignment="1" applyProtection="1">
      <alignment horizontal="right"/>
    </xf>
    <xf numFmtId="0" fontId="7" fillId="5" borderId="8" xfId="0" applyFont="1" applyFill="1" applyBorder="1" applyProtection="1"/>
    <xf numFmtId="0" fontId="7" fillId="0" borderId="0" xfId="0" applyFont="1" applyFill="1" applyAlignment="1" applyProtection="1"/>
    <xf numFmtId="0" fontId="0" fillId="0" borderId="0" xfId="0" applyFill="1" applyAlignment="1" applyProtection="1"/>
    <xf numFmtId="0" fontId="0" fillId="6" borderId="0" xfId="0" applyFill="1" applyAlignment="1" applyProtection="1"/>
    <xf numFmtId="0" fontId="10" fillId="5" borderId="196" xfId="0" applyFont="1" applyFill="1" applyBorder="1" applyAlignment="1" applyProtection="1">
      <alignment horizontal="left" vertical="center"/>
    </xf>
    <xf numFmtId="0" fontId="10" fillId="5" borderId="2"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0" fillId="5" borderId="169" xfId="0" applyFill="1" applyBorder="1"/>
    <xf numFmtId="190" fontId="4" fillId="19" borderId="216" xfId="0" applyNumberFormat="1" applyFont="1" applyFill="1" applyBorder="1" applyAlignment="1" applyProtection="1">
      <alignment horizontal="right" vertical="center"/>
    </xf>
    <xf numFmtId="190" fontId="4" fillId="19" borderId="217" xfId="0" applyNumberFormat="1" applyFont="1" applyFill="1" applyBorder="1" applyAlignment="1" applyProtection="1">
      <alignment horizontal="right" vertical="center"/>
    </xf>
    <xf numFmtId="190" fontId="4" fillId="19" borderId="218" xfId="0" applyNumberFormat="1" applyFont="1" applyFill="1" applyBorder="1" applyAlignment="1" applyProtection="1">
      <alignment horizontal="right" vertical="center"/>
    </xf>
    <xf numFmtId="10" fontId="7" fillId="6" borderId="0" xfId="0" applyNumberFormat="1" applyFont="1" applyFill="1" applyProtection="1"/>
    <xf numFmtId="0" fontId="10" fillId="0" borderId="0" xfId="0" applyFont="1" applyFill="1" applyBorder="1" applyAlignment="1" applyProtection="1">
      <alignment horizontal="left"/>
    </xf>
    <xf numFmtId="0" fontId="76" fillId="5" borderId="43" xfId="0" applyFont="1" applyFill="1" applyBorder="1" applyAlignment="1" applyProtection="1">
      <alignment horizontal="left" vertical="center"/>
    </xf>
    <xf numFmtId="0" fontId="10" fillId="5" borderId="44" xfId="0" applyFont="1" applyFill="1" applyBorder="1" applyAlignment="1" applyProtection="1">
      <alignment horizontal="left" vertical="center"/>
    </xf>
    <xf numFmtId="0" fontId="76" fillId="5" borderId="2" xfId="0" applyFont="1" applyFill="1" applyBorder="1" applyAlignment="1" applyProtection="1">
      <alignment horizontal="left" vertical="center"/>
    </xf>
    <xf numFmtId="0" fontId="76" fillId="5" borderId="3" xfId="0" applyFont="1" applyFill="1" applyBorder="1" applyAlignment="1" applyProtection="1">
      <alignment horizontal="left" vertical="center"/>
    </xf>
    <xf numFmtId="0" fontId="10" fillId="6" borderId="1" xfId="0" applyFont="1" applyFill="1" applyBorder="1" applyAlignment="1" applyProtection="1">
      <alignment horizontal="left"/>
    </xf>
    <xf numFmtId="0" fontId="10" fillId="6" borderId="2" xfId="0" applyFont="1" applyFill="1" applyBorder="1" applyAlignment="1" applyProtection="1">
      <alignment horizontal="left"/>
    </xf>
    <xf numFmtId="0" fontId="10" fillId="6" borderId="7" xfId="0" applyFont="1" applyFill="1" applyBorder="1" applyAlignment="1" applyProtection="1">
      <alignment horizontal="left"/>
    </xf>
    <xf numFmtId="0" fontId="10" fillId="6" borderId="0" xfId="0" applyFont="1" applyFill="1" applyBorder="1" applyAlignment="1" applyProtection="1">
      <alignment horizontal="left"/>
    </xf>
    <xf numFmtId="0" fontId="10" fillId="60" borderId="36" xfId="0" applyFont="1" applyFill="1" applyBorder="1" applyAlignment="1" applyProtection="1">
      <alignment horizontal="centerContinuous" vertical="center"/>
    </xf>
    <xf numFmtId="0" fontId="10" fillId="60" borderId="37" xfId="0" applyFont="1" applyFill="1" applyBorder="1" applyAlignment="1" applyProtection="1">
      <alignment horizontal="centerContinuous" vertical="center"/>
    </xf>
    <xf numFmtId="0" fontId="10" fillId="60" borderId="38" xfId="0" applyFont="1" applyFill="1" applyBorder="1" applyAlignment="1" applyProtection="1">
      <alignment horizontal="centerContinuous" vertical="center"/>
    </xf>
    <xf numFmtId="0" fontId="10" fillId="60" borderId="189" xfId="0" applyFont="1" applyFill="1" applyBorder="1" applyAlignment="1" applyProtection="1">
      <alignment horizontal="centerContinuous" vertical="center"/>
    </xf>
    <xf numFmtId="0" fontId="10" fillId="60" borderId="220" xfId="0" applyFont="1" applyFill="1" applyBorder="1" applyAlignment="1" applyProtection="1">
      <alignment horizontal="centerContinuous" vertical="center"/>
    </xf>
    <xf numFmtId="0" fontId="10" fillId="7" borderId="221" xfId="0" applyFont="1" applyFill="1" applyBorder="1" applyAlignment="1" applyProtection="1">
      <alignment horizontal="right" vertical="center"/>
    </xf>
    <xf numFmtId="0" fontId="10" fillId="7" borderId="222" xfId="0" applyFont="1" applyFill="1" applyBorder="1" applyAlignment="1" applyProtection="1">
      <alignment horizontal="right" vertical="center"/>
    </xf>
    <xf numFmtId="0" fontId="10" fillId="78" borderId="222" xfId="0" applyFont="1" applyFill="1" applyBorder="1" applyAlignment="1" applyProtection="1">
      <alignment horizontal="right" vertical="center"/>
    </xf>
    <xf numFmtId="0" fontId="3" fillId="19" borderId="223" xfId="0" applyFont="1" applyFill="1" applyBorder="1"/>
    <xf numFmtId="190" fontId="4" fillId="58" borderId="0" xfId="0" applyNumberFormat="1" applyFont="1" applyFill="1" applyBorder="1" applyAlignment="1" applyProtection="1">
      <alignment horizontal="left" vertical="center"/>
    </xf>
    <xf numFmtId="190" fontId="4" fillId="6" borderId="216" xfId="0" applyNumberFormat="1" applyFont="1" applyFill="1" applyBorder="1" applyAlignment="1" applyProtection="1">
      <alignment horizontal="right" vertical="center"/>
    </xf>
    <xf numFmtId="190" fontId="4" fillId="6" borderId="204" xfId="0" applyNumberFormat="1" applyFont="1" applyFill="1" applyBorder="1" applyAlignment="1" applyProtection="1">
      <alignment horizontal="right" vertical="center"/>
    </xf>
    <xf numFmtId="190" fontId="4" fillId="6" borderId="225" xfId="0" applyNumberFormat="1" applyFont="1" applyFill="1" applyBorder="1" applyAlignment="1" applyProtection="1">
      <alignment horizontal="right" vertical="center"/>
    </xf>
    <xf numFmtId="190" fontId="4" fillId="58" borderId="0" xfId="0" applyNumberFormat="1" applyFont="1" applyFill="1" applyBorder="1" applyAlignment="1" applyProtection="1">
      <alignment horizontal="right" vertical="center"/>
    </xf>
    <xf numFmtId="0" fontId="0" fillId="19" borderId="0" xfId="0" applyFill="1"/>
    <xf numFmtId="190" fontId="4" fillId="6" borderId="168" xfId="0" applyNumberFormat="1" applyFont="1" applyFill="1" applyBorder="1" applyAlignment="1" applyProtection="1">
      <alignment horizontal="right" vertical="center"/>
    </xf>
    <xf numFmtId="190" fontId="4" fillId="6" borderId="226" xfId="0" applyNumberFormat="1" applyFont="1" applyFill="1" applyBorder="1" applyAlignment="1" applyProtection="1">
      <alignment horizontal="right" vertical="center"/>
    </xf>
    <xf numFmtId="190" fontId="4" fillId="6" borderId="205" xfId="0" applyNumberFormat="1" applyFont="1" applyFill="1" applyBorder="1" applyAlignment="1" applyProtection="1">
      <alignment horizontal="right" vertical="center"/>
    </xf>
    <xf numFmtId="190" fontId="4" fillId="6" borderId="227" xfId="0" applyNumberFormat="1" applyFont="1" applyFill="1" applyBorder="1" applyAlignment="1" applyProtection="1">
      <alignment horizontal="right" vertical="center"/>
    </xf>
    <xf numFmtId="190" fontId="4" fillId="58" borderId="5" xfId="0" applyNumberFormat="1" applyFont="1" applyFill="1" applyBorder="1" applyAlignment="1" applyProtection="1">
      <alignment horizontal="right" vertical="center"/>
    </xf>
    <xf numFmtId="0" fontId="7" fillId="0" borderId="0" xfId="0" applyFont="1" applyAlignment="1" applyProtection="1">
      <alignment horizontal="left"/>
    </xf>
    <xf numFmtId="0" fontId="7" fillId="0" borderId="0" xfId="0" applyFont="1" applyAlignment="1" applyProtection="1">
      <alignment horizontal="left" wrapText="1"/>
    </xf>
    <xf numFmtId="190" fontId="4" fillId="6" borderId="202" xfId="0" applyNumberFormat="1" applyFont="1" applyFill="1" applyBorder="1" applyAlignment="1" applyProtection="1">
      <alignment horizontal="right" vertical="center"/>
    </xf>
    <xf numFmtId="190" fontId="4" fillId="6" borderId="228" xfId="0" applyNumberFormat="1" applyFont="1" applyFill="1" applyBorder="1" applyAlignment="1" applyProtection="1">
      <alignment horizontal="right" vertical="center"/>
    </xf>
    <xf numFmtId="190" fontId="4" fillId="6" borderId="170" xfId="0" applyNumberFormat="1" applyFont="1" applyFill="1" applyBorder="1" applyAlignment="1" applyProtection="1">
      <alignment horizontal="right" vertical="center"/>
    </xf>
    <xf numFmtId="190" fontId="4" fillId="6" borderId="218" xfId="0" applyNumberFormat="1" applyFont="1" applyFill="1" applyBorder="1" applyAlignment="1" applyProtection="1">
      <alignment horizontal="right" vertical="center"/>
    </xf>
    <xf numFmtId="0" fontId="118" fillId="79" borderId="43" xfId="0" applyFont="1" applyFill="1" applyBorder="1" applyAlignment="1" applyProtection="1"/>
    <xf numFmtId="0" fontId="118" fillId="79" borderId="44" xfId="0" applyFont="1" applyFill="1" applyBorder="1" applyAlignment="1" applyProtection="1">
      <alignment wrapText="1"/>
    </xf>
    <xf numFmtId="190" fontId="118" fillId="79" borderId="44" xfId="0" applyNumberFormat="1" applyFont="1" applyFill="1" applyBorder="1" applyAlignment="1" applyProtection="1">
      <alignment horizontal="right"/>
    </xf>
    <xf numFmtId="190" fontId="118" fillId="79" borderId="45" xfId="0" applyNumberFormat="1" applyFont="1" applyFill="1" applyBorder="1" applyAlignment="1" applyProtection="1">
      <alignment horizontal="right"/>
    </xf>
    <xf numFmtId="190" fontId="118" fillId="79" borderId="229" xfId="0" applyNumberFormat="1" applyFont="1" applyFill="1" applyBorder="1" applyAlignment="1" applyProtection="1">
      <alignment horizontal="right"/>
    </xf>
    <xf numFmtId="190" fontId="118" fillId="79" borderId="230" xfId="0" applyNumberFormat="1" applyFont="1" applyFill="1" applyBorder="1" applyAlignment="1" applyProtection="1">
      <alignment horizontal="right"/>
    </xf>
    <xf numFmtId="190" fontId="118" fillId="79" borderId="231" xfId="0" applyNumberFormat="1" applyFont="1" applyFill="1" applyBorder="1" applyAlignment="1" applyProtection="1">
      <alignment horizontal="right"/>
    </xf>
    <xf numFmtId="190" fontId="118" fillId="79" borderId="43" xfId="0" applyNumberFormat="1" applyFont="1" applyFill="1" applyBorder="1" applyAlignment="1" applyProtection="1">
      <alignment horizontal="right"/>
    </xf>
    <xf numFmtId="190" fontId="118" fillId="79" borderId="15" xfId="0" applyNumberFormat="1" applyFont="1" applyFill="1" applyBorder="1" applyAlignment="1" applyProtection="1">
      <alignment horizontal="right"/>
    </xf>
    <xf numFmtId="0" fontId="10" fillId="6" borderId="44" xfId="0" applyFont="1" applyFill="1" applyBorder="1" applyAlignment="1" applyProtection="1">
      <alignment horizontal="left" wrapText="1"/>
    </xf>
    <xf numFmtId="190" fontId="10" fillId="6" borderId="44" xfId="0" applyNumberFormat="1" applyFont="1" applyFill="1" applyBorder="1" applyAlignment="1" applyProtection="1">
      <alignment horizontal="right" vertical="center"/>
    </xf>
    <xf numFmtId="0" fontId="118" fillId="79" borderId="43" xfId="0" applyFont="1" applyFill="1" applyBorder="1" applyAlignment="1" applyProtection="1">
      <alignment vertical="center"/>
    </xf>
    <xf numFmtId="0" fontId="118" fillId="79" borderId="44" xfId="0" applyFont="1" applyFill="1" applyBorder="1" applyAlignment="1" applyProtection="1">
      <alignment vertical="center"/>
    </xf>
    <xf numFmtId="2" fontId="10" fillId="79" borderId="44" xfId="0" applyNumberFormat="1" applyFont="1" applyFill="1" applyBorder="1" applyAlignment="1" applyProtection="1">
      <alignment horizontal="right"/>
    </xf>
    <xf numFmtId="2" fontId="10" fillId="79" borderId="45" xfId="0" applyNumberFormat="1" applyFont="1" applyFill="1" applyBorder="1" applyAlignment="1" applyProtection="1">
      <alignment horizontal="right"/>
    </xf>
    <xf numFmtId="190" fontId="118" fillId="79" borderId="232" xfId="0" applyNumberFormat="1" applyFont="1" applyFill="1" applyBorder="1" applyAlignment="1" applyProtection="1">
      <alignment horizontal="right" vertical="center"/>
    </xf>
    <xf numFmtId="190" fontId="118" fillId="79" borderId="44" xfId="0" applyNumberFormat="1" applyFont="1" applyFill="1" applyBorder="1" applyAlignment="1" applyProtection="1">
      <alignment horizontal="right" vertical="center"/>
    </xf>
    <xf numFmtId="0" fontId="4" fillId="0" borderId="0" xfId="0" applyFont="1" applyAlignment="1" applyProtection="1">
      <alignment horizontal="left"/>
    </xf>
    <xf numFmtId="0" fontId="119" fillId="0" borderId="0" xfId="0" applyFont="1" applyFill="1" applyAlignment="1" applyProtection="1">
      <alignment horizontal="center" wrapText="1"/>
    </xf>
    <xf numFmtId="0" fontId="2" fillId="0" borderId="0" xfId="0" applyFont="1" applyProtection="1"/>
    <xf numFmtId="0" fontId="10" fillId="0" borderId="0" xfId="0" applyFont="1" applyFill="1" applyAlignment="1" applyProtection="1">
      <alignment vertical="center" wrapText="1"/>
    </xf>
    <xf numFmtId="0" fontId="120" fillId="0" borderId="0" xfId="0" applyFont="1" applyFill="1" applyBorder="1" applyAlignment="1" applyProtection="1">
      <alignment horizontal="left" vertical="center"/>
    </xf>
    <xf numFmtId="0" fontId="0" fillId="6" borderId="0" xfId="0" applyFill="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0" fontId="117" fillId="0" borderId="0" xfId="0" applyFont="1" applyProtection="1"/>
    <xf numFmtId="0" fontId="15" fillId="0" borderId="0" xfId="0" applyFont="1" applyAlignment="1" applyProtection="1">
      <alignment horizontal="left"/>
    </xf>
    <xf numFmtId="0" fontId="0" fillId="0" borderId="0" xfId="0" applyAlignment="1" applyProtection="1"/>
    <xf numFmtId="0" fontId="4" fillId="7" borderId="233" xfId="5" applyFont="1" applyFill="1" applyBorder="1" applyAlignment="1" applyProtection="1">
      <alignment vertical="top"/>
    </xf>
    <xf numFmtId="14" fontId="4" fillId="61" borderId="234" xfId="5" quotePrefix="1" applyNumberFormat="1" applyFont="1" applyFill="1" applyBorder="1" applyAlignment="1" applyProtection="1">
      <alignment horizontal="center" vertical="top"/>
      <protection locked="0"/>
    </xf>
    <xf numFmtId="0" fontId="106" fillId="7" borderId="0" xfId="495" applyFont="1" applyFill="1" applyBorder="1" applyProtection="1"/>
    <xf numFmtId="0" fontId="107" fillId="7" borderId="0" xfId="5" applyFont="1" applyFill="1" applyBorder="1" applyAlignment="1" applyProtection="1">
      <alignment vertical="top"/>
    </xf>
    <xf numFmtId="0" fontId="107" fillId="7" borderId="18" xfId="5" quotePrefix="1" applyFont="1" applyFill="1" applyBorder="1" applyAlignment="1" applyProtection="1">
      <alignment vertical="top"/>
    </xf>
    <xf numFmtId="0" fontId="107" fillId="7" borderId="26" xfId="5" quotePrefix="1" applyFont="1" applyFill="1" applyBorder="1" applyAlignment="1" applyProtection="1">
      <alignment vertical="top"/>
    </xf>
    <xf numFmtId="0" fontId="107" fillId="7" borderId="26" xfId="5" applyFont="1" applyFill="1" applyBorder="1" applyAlignment="1" applyProtection="1">
      <alignment vertical="top"/>
    </xf>
    <xf numFmtId="0" fontId="107" fillId="7" borderId="146" xfId="5" applyFont="1" applyFill="1" applyBorder="1" applyAlignment="1" applyProtection="1">
      <alignment vertical="top"/>
    </xf>
    <xf numFmtId="0" fontId="107" fillId="7" borderId="40" xfId="5" quotePrefix="1" applyFont="1" applyFill="1" applyBorder="1" applyAlignment="1" applyProtection="1">
      <alignment vertical="top"/>
    </xf>
    <xf numFmtId="0" fontId="4" fillId="0" borderId="237" xfId="2" applyBorder="1"/>
    <xf numFmtId="0" fontId="18" fillId="6" borderId="0" xfId="0" applyFont="1" applyFill="1" applyProtection="1">
      <protection locked="0"/>
    </xf>
    <xf numFmtId="0" fontId="121" fillId="5" borderId="191" xfId="0" applyFont="1" applyFill="1" applyBorder="1" applyAlignment="1" applyProtection="1">
      <alignment horizontal="left"/>
    </xf>
    <xf numFmtId="0" fontId="67" fillId="5" borderId="173" xfId="0" applyFont="1" applyFill="1" applyBorder="1" applyAlignment="1" applyProtection="1">
      <alignment horizontal="left" wrapText="1"/>
      <protection locked="0"/>
    </xf>
    <xf numFmtId="0" fontId="67" fillId="5" borderId="192" xfId="0" applyFont="1" applyFill="1" applyBorder="1" applyAlignment="1" applyProtection="1">
      <alignment horizontal="left" wrapText="1"/>
      <protection locked="0"/>
    </xf>
    <xf numFmtId="0" fontId="18" fillId="6" borderId="0" xfId="0" applyFont="1" applyFill="1" applyProtection="1"/>
    <xf numFmtId="0" fontId="0" fillId="0" borderId="0" xfId="0" applyAlignment="1">
      <alignment vertical="top" wrapText="1"/>
    </xf>
    <xf numFmtId="0" fontId="4" fillId="0" borderId="178" xfId="0" applyFont="1" applyBorder="1" applyAlignment="1" applyProtection="1">
      <alignment horizontal="left" vertical="center" wrapText="1" indent="1"/>
    </xf>
    <xf numFmtId="0" fontId="4" fillId="0" borderId="33" xfId="0" applyFont="1" applyBorder="1" applyAlignment="1" applyProtection="1">
      <alignment horizontal="left" vertical="center" indent="4"/>
    </xf>
    <xf numFmtId="0" fontId="113" fillId="5" borderId="2" xfId="0" applyFont="1" applyFill="1" applyBorder="1" applyAlignment="1" applyProtection="1">
      <alignment horizontal="left" vertical="center"/>
      <protection locked="0"/>
    </xf>
    <xf numFmtId="0" fontId="10" fillId="5" borderId="26" xfId="0" applyFont="1" applyFill="1" applyBorder="1" applyAlignment="1" applyProtection="1">
      <alignment vertical="center"/>
    </xf>
    <xf numFmtId="0" fontId="4" fillId="0" borderId="33" xfId="0" applyFont="1" applyBorder="1" applyAlignment="1" applyProtection="1">
      <alignment horizontal="left" vertical="center" indent="1"/>
    </xf>
    <xf numFmtId="0" fontId="4" fillId="0" borderId="33" xfId="455" applyFont="1" applyFill="1" applyBorder="1" applyAlignment="1" applyProtection="1">
      <alignment horizontal="left" vertical="center" indent="1"/>
    </xf>
    <xf numFmtId="0" fontId="115" fillId="19" borderId="33" xfId="0" applyFont="1" applyFill="1" applyBorder="1" applyAlignment="1" applyProtection="1">
      <alignment horizontal="left" vertical="center" wrapText="1" indent="1"/>
    </xf>
    <xf numFmtId="186" fontId="4" fillId="6" borderId="94" xfId="1" applyNumberFormat="1" applyFont="1" applyFill="1" applyBorder="1" applyAlignment="1" applyProtection="1">
      <alignment horizontal="right" wrapText="1"/>
    </xf>
    <xf numFmtId="186" fontId="4" fillId="6" borderId="207" xfId="1" applyNumberFormat="1" applyFont="1" applyFill="1" applyBorder="1" applyAlignment="1" applyProtection="1">
      <alignment horizontal="right" wrapText="1"/>
    </xf>
    <xf numFmtId="186" fontId="4" fillId="6" borderId="95" xfId="1" applyNumberFormat="1" applyFont="1" applyFill="1" applyBorder="1" applyAlignment="1" applyProtection="1">
      <alignment horizontal="right" wrapText="1"/>
    </xf>
    <xf numFmtId="190" fontId="4" fillId="6" borderId="207" xfId="0" applyNumberFormat="1" applyFont="1" applyFill="1" applyBorder="1" applyAlignment="1" applyProtection="1">
      <alignment horizontal="right" vertical="center"/>
    </xf>
    <xf numFmtId="0" fontId="7" fillId="5" borderId="174" xfId="0" applyFont="1" applyFill="1" applyBorder="1" applyProtection="1"/>
    <xf numFmtId="190" fontId="4" fillId="6" borderId="212" xfId="0" applyNumberFormat="1" applyFont="1" applyFill="1" applyBorder="1" applyAlignment="1" applyProtection="1">
      <alignment horizontal="right" vertical="center"/>
    </xf>
    <xf numFmtId="190" fontId="4" fillId="6" borderId="203" xfId="0" applyNumberFormat="1" applyFont="1" applyFill="1" applyBorder="1" applyAlignment="1" applyProtection="1">
      <alignment horizontal="right" vertical="center"/>
    </xf>
    <xf numFmtId="186" fontId="10" fillId="5" borderId="240" xfId="0" applyNumberFormat="1" applyFont="1" applyFill="1" applyBorder="1" applyAlignment="1" applyProtection="1">
      <alignment vertical="center"/>
    </xf>
    <xf numFmtId="186" fontId="10" fillId="5" borderId="238" xfId="0" applyNumberFormat="1" applyFont="1" applyFill="1" applyBorder="1" applyAlignment="1" applyProtection="1">
      <alignment vertical="center"/>
    </xf>
    <xf numFmtId="0" fontId="5" fillId="19" borderId="23" xfId="0" applyFont="1" applyFill="1" applyBorder="1" applyAlignment="1" applyProtection="1"/>
    <xf numFmtId="0" fontId="0" fillId="60" borderId="241" xfId="0" applyFill="1" applyBorder="1" applyAlignment="1">
      <alignment horizontal="centerContinuous"/>
    </xf>
    <xf numFmtId="186" fontId="10" fillId="5" borderId="243" xfId="0" applyNumberFormat="1" applyFont="1" applyFill="1" applyBorder="1" applyAlignment="1" applyProtection="1">
      <alignment vertical="center"/>
    </xf>
    <xf numFmtId="186" fontId="10" fillId="5" borderId="2" xfId="0" applyNumberFormat="1" applyFont="1" applyFill="1" applyBorder="1" applyAlignment="1" applyProtection="1"/>
    <xf numFmtId="186" fontId="10" fillId="5" borderId="3" xfId="0" applyNumberFormat="1" applyFont="1" applyFill="1" applyBorder="1" applyAlignment="1" applyProtection="1"/>
    <xf numFmtId="190" fontId="4" fillId="6" borderId="213" xfId="0" applyNumberFormat="1" applyFont="1" applyFill="1" applyBorder="1" applyAlignment="1" applyProtection="1">
      <alignment horizontal="right" vertical="center"/>
    </xf>
    <xf numFmtId="190" fontId="4" fillId="6" borderId="245" xfId="0" applyNumberFormat="1" applyFont="1" applyFill="1" applyBorder="1" applyAlignment="1" applyProtection="1">
      <alignment horizontal="right" vertical="center"/>
    </xf>
    <xf numFmtId="190" fontId="4" fillId="58" borderId="169" xfId="0" applyNumberFormat="1" applyFont="1" applyFill="1" applyBorder="1" applyAlignment="1" applyProtection="1">
      <alignment horizontal="right" vertical="center"/>
    </xf>
    <xf numFmtId="190" fontId="4" fillId="6" borderId="246" xfId="0" applyNumberFormat="1" applyFont="1" applyFill="1" applyBorder="1" applyAlignment="1" applyProtection="1">
      <alignment horizontal="right" vertical="center"/>
    </xf>
    <xf numFmtId="0" fontId="0" fillId="5" borderId="174" xfId="0" applyFill="1" applyBorder="1"/>
    <xf numFmtId="0" fontId="76" fillId="5" borderId="1" xfId="0" applyFont="1" applyFill="1" applyBorder="1" applyAlignment="1" applyProtection="1">
      <alignment horizontal="left" vertical="center"/>
    </xf>
    <xf numFmtId="0" fontId="3" fillId="0" borderId="0" xfId="0" applyFont="1" applyAlignment="1">
      <alignment vertical="center"/>
    </xf>
    <xf numFmtId="0" fontId="4" fillId="6" borderId="56" xfId="5" applyFill="1" applyBorder="1" applyAlignment="1" applyProtection="1">
      <alignment vertical="center"/>
    </xf>
    <xf numFmtId="0" fontId="4" fillId="6" borderId="7" xfId="5" applyFill="1" applyBorder="1" applyAlignment="1" applyProtection="1">
      <alignment vertical="center"/>
    </xf>
    <xf numFmtId="0" fontId="4" fillId="6" borderId="69" xfId="5" applyFill="1" applyBorder="1" applyAlignment="1" applyProtection="1">
      <alignment vertical="center"/>
    </xf>
    <xf numFmtId="0" fontId="10" fillId="13" borderId="5" xfId="2" applyFont="1" applyFill="1" applyBorder="1" applyAlignment="1">
      <alignment horizontal="center" vertical="center"/>
    </xf>
    <xf numFmtId="0" fontId="0" fillId="0" borderId="5" xfId="0" applyBorder="1"/>
    <xf numFmtId="0" fontId="1" fillId="0" borderId="0" xfId="706"/>
    <xf numFmtId="49" fontId="24" fillId="83" borderId="0" xfId="2" applyNumberFormat="1" applyFont="1" applyFill="1" applyAlignment="1" applyProtection="1">
      <alignment horizontal="right" vertical="top"/>
    </xf>
    <xf numFmtId="14" fontId="124" fillId="83" borderId="0" xfId="2" applyNumberFormat="1" applyFont="1" applyFill="1" applyAlignment="1">
      <alignment horizontal="left" vertical="top"/>
    </xf>
    <xf numFmtId="0" fontId="124" fillId="83" borderId="0" xfId="3" applyFont="1" applyFill="1" applyAlignment="1">
      <alignment vertical="top"/>
    </xf>
    <xf numFmtId="0" fontId="124" fillId="83" borderId="0" xfId="2" applyFont="1" applyFill="1" applyAlignment="1">
      <alignment vertical="top"/>
    </xf>
    <xf numFmtId="0" fontId="124" fillId="83" borderId="0" xfId="2" applyFont="1" applyFill="1" applyAlignment="1" applyProtection="1">
      <alignment vertical="top"/>
    </xf>
    <xf numFmtId="0" fontId="124" fillId="83" borderId="0" xfId="2" applyFont="1" applyFill="1" applyAlignment="1" applyProtection="1">
      <alignment horizontal="center" vertical="top"/>
    </xf>
    <xf numFmtId="1" fontId="124" fillId="83" borderId="0" xfId="2" applyNumberFormat="1" applyFont="1" applyFill="1" applyAlignment="1" applyProtection="1">
      <alignment vertical="top"/>
    </xf>
    <xf numFmtId="0" fontId="9" fillId="5" borderId="0" xfId="706" applyFont="1" applyFill="1" applyAlignment="1"/>
    <xf numFmtId="0" fontId="124" fillId="83" borderId="0" xfId="2" applyFont="1" applyFill="1" applyAlignment="1">
      <alignment horizontal="left" vertical="top"/>
    </xf>
    <xf numFmtId="0" fontId="3" fillId="7" borderId="3" xfId="706" applyFont="1" applyFill="1" applyBorder="1" applyAlignment="1">
      <alignment horizontal="center"/>
    </xf>
    <xf numFmtId="0" fontId="11" fillId="8" borderId="4" xfId="706" applyFont="1" applyFill="1" applyBorder="1" applyAlignment="1">
      <alignment horizontal="center"/>
    </xf>
    <xf numFmtId="0" fontId="10" fillId="84" borderId="0" xfId="2" applyFont="1" applyFill="1"/>
    <xf numFmtId="0" fontId="10" fillId="7" borderId="7" xfId="706" applyFont="1" applyFill="1" applyBorder="1" applyAlignment="1">
      <alignment horizontal="center"/>
    </xf>
    <xf numFmtId="0" fontId="10" fillId="7" borderId="0" xfId="706" applyFont="1" applyFill="1" applyBorder="1" applyAlignment="1">
      <alignment horizontal="center"/>
    </xf>
    <xf numFmtId="0" fontId="3" fillId="7" borderId="8" xfId="706" applyFont="1" applyFill="1" applyBorder="1" applyAlignment="1">
      <alignment horizontal="center"/>
    </xf>
    <xf numFmtId="0" fontId="11" fillId="8" borderId="6" xfId="706" applyFont="1" applyFill="1" applyBorder="1" applyAlignment="1">
      <alignment horizontal="center"/>
    </xf>
    <xf numFmtId="0" fontId="3" fillId="4" borderId="7" xfId="706" applyFont="1" applyFill="1" applyBorder="1" applyAlignment="1">
      <alignment horizontal="center"/>
    </xf>
    <xf numFmtId="0" fontId="3" fillId="4" borderId="0" xfId="706" applyFont="1" applyFill="1" applyBorder="1" applyAlignment="1">
      <alignment horizontal="center"/>
    </xf>
    <xf numFmtId="0" fontId="3" fillId="4" borderId="8" xfId="706" applyFont="1" applyFill="1" applyBorder="1" applyAlignment="1">
      <alignment horizontal="center"/>
    </xf>
    <xf numFmtId="0" fontId="3" fillId="7" borderId="169" xfId="707" applyFont="1" applyFill="1" applyBorder="1"/>
    <xf numFmtId="0" fontId="3" fillId="7" borderId="5" xfId="707" applyFont="1" applyFill="1" applyBorder="1"/>
    <xf numFmtId="0" fontId="3" fillId="7" borderId="174" xfId="707" applyFont="1" applyFill="1" applyBorder="1" applyAlignment="1">
      <alignment horizontal="center"/>
    </xf>
    <xf numFmtId="0" fontId="11" fillId="8" borderId="6" xfId="707" applyFont="1" applyFill="1" applyBorder="1" applyAlignment="1">
      <alignment horizontal="center"/>
    </xf>
    <xf numFmtId="0" fontId="1" fillId="4" borderId="7" xfId="706" applyFill="1" applyBorder="1"/>
    <xf numFmtId="0" fontId="1" fillId="4" borderId="0" xfId="706" applyFill="1" applyBorder="1"/>
    <xf numFmtId="0" fontId="1" fillId="4" borderId="8" xfId="706" applyFill="1" applyBorder="1"/>
    <xf numFmtId="0" fontId="5" fillId="9" borderId="1" xfId="2" applyNumberFormat="1" applyFont="1" applyFill="1" applyBorder="1" applyAlignment="1">
      <alignment wrapText="1"/>
    </xf>
    <xf numFmtId="0" fontId="5" fillId="9" borderId="247" xfId="5" applyNumberFormat="1" applyFont="1" applyFill="1" applyBorder="1" applyAlignment="1">
      <alignment wrapText="1"/>
    </xf>
    <xf numFmtId="49" fontId="5" fillId="9" borderId="247" xfId="2" applyNumberFormat="1" applyFont="1" applyFill="1" applyBorder="1" applyAlignment="1">
      <alignment wrapText="1"/>
    </xf>
    <xf numFmtId="0" fontId="10" fillId="10" borderId="1" xfId="3" applyNumberFormat="1" applyFont="1" applyFill="1" applyBorder="1" applyAlignment="1">
      <alignment horizontal="center" wrapText="1"/>
    </xf>
    <xf numFmtId="0" fontId="10" fillId="10" borderId="247" xfId="3" applyNumberFormat="1" applyFont="1" applyFill="1" applyBorder="1" applyAlignment="1">
      <alignment horizontal="center" wrapText="1"/>
    </xf>
    <xf numFmtId="1" fontId="10" fillId="10" borderId="247" xfId="3" applyNumberFormat="1" applyFont="1" applyFill="1" applyBorder="1" applyAlignment="1">
      <alignment horizontal="center" wrapText="1"/>
    </xf>
    <xf numFmtId="0" fontId="10" fillId="11" borderId="1" xfId="3" applyNumberFormat="1" applyFont="1" applyFill="1" applyBorder="1" applyAlignment="1">
      <alignment horizontal="center" wrapText="1"/>
    </xf>
    <xf numFmtId="0" fontId="10" fillId="11" borderId="248" xfId="3" applyNumberFormat="1" applyFont="1" applyFill="1" applyBorder="1" applyAlignment="1">
      <alignment horizontal="center" wrapText="1"/>
    </xf>
    <xf numFmtId="0" fontId="10" fillId="12" borderId="247" xfId="5" applyNumberFormat="1" applyFont="1" applyFill="1" applyBorder="1" applyAlignment="1">
      <alignment vertical="center" wrapText="1"/>
    </xf>
    <xf numFmtId="0" fontId="10" fillId="12" borderId="248" xfId="5" applyNumberFormat="1" applyFont="1" applyFill="1" applyBorder="1" applyAlignment="1">
      <alignment vertical="center" wrapText="1"/>
    </xf>
    <xf numFmtId="0" fontId="10" fillId="13" borderId="248" xfId="5" applyNumberFormat="1" applyFont="1" applyFill="1" applyBorder="1" applyAlignment="1">
      <alignment vertical="center" wrapText="1"/>
    </xf>
    <xf numFmtId="0" fontId="10" fillId="14" borderId="1" xfId="5" applyNumberFormat="1" applyFont="1" applyFill="1" applyBorder="1" applyAlignment="1">
      <alignment vertical="center" wrapText="1"/>
    </xf>
    <xf numFmtId="0" fontId="10" fillId="14" borderId="248" xfId="5" applyNumberFormat="1" applyFont="1" applyFill="1" applyBorder="1" applyAlignment="1">
      <alignment vertical="center" wrapText="1"/>
    </xf>
    <xf numFmtId="0" fontId="10" fillId="14" borderId="2" xfId="5" applyNumberFormat="1" applyFont="1" applyFill="1" applyBorder="1" applyAlignment="1">
      <alignment vertical="center" wrapText="1"/>
    </xf>
    <xf numFmtId="0" fontId="10" fillId="14" borderId="112" xfId="5" applyNumberFormat="1" applyFont="1" applyFill="1" applyBorder="1" applyAlignment="1">
      <alignment vertical="center" wrapText="1"/>
    </xf>
    <xf numFmtId="0" fontId="10" fillId="84" borderId="249" xfId="2" applyFont="1" applyFill="1" applyBorder="1" applyAlignment="1">
      <alignment wrapText="1"/>
    </xf>
    <xf numFmtId="0" fontId="10" fillId="0" borderId="250" xfId="2" applyNumberFormat="1" applyFont="1" applyBorder="1" applyAlignment="1"/>
    <xf numFmtId="0" fontId="7" fillId="6" borderId="1" xfId="2" applyNumberFormat="1" applyFont="1" applyFill="1" applyBorder="1" applyAlignment="1">
      <alignment vertical="top"/>
    </xf>
    <xf numFmtId="0" fontId="7" fillId="6" borderId="1" xfId="5" applyNumberFormat="1" applyFont="1" applyFill="1" applyBorder="1" applyAlignment="1">
      <alignment vertical="top"/>
    </xf>
    <xf numFmtId="164" fontId="4" fillId="6" borderId="251" xfId="2" applyNumberFormat="1" applyFont="1" applyFill="1" applyBorder="1" applyAlignment="1">
      <alignment horizontal="right" vertical="top" indent="1"/>
    </xf>
    <xf numFmtId="0" fontId="4" fillId="82" borderId="1" xfId="3" applyNumberFormat="1" applyFont="1" applyFill="1" applyBorder="1" applyAlignment="1">
      <alignment vertical="top"/>
    </xf>
    <xf numFmtId="0" fontId="4" fillId="82" borderId="248" xfId="2" applyNumberFormat="1" applyFont="1" applyFill="1" applyBorder="1" applyAlignment="1">
      <alignment vertical="top"/>
    </xf>
    <xf numFmtId="0" fontId="12" fillId="6" borderId="248" xfId="2" applyNumberFormat="1" applyFont="1" applyFill="1" applyBorder="1" applyAlignment="1">
      <alignment vertical="top"/>
    </xf>
    <xf numFmtId="0" fontId="12" fillId="6" borderId="248" xfId="2" applyNumberFormat="1" applyFont="1" applyFill="1" applyBorder="1" applyAlignment="1">
      <alignment horizontal="center" vertical="top"/>
    </xf>
    <xf numFmtId="0" fontId="4" fillId="82" borderId="248" xfId="2" applyNumberFormat="1" applyFont="1" applyFill="1" applyBorder="1" applyAlignment="1">
      <alignment horizontal="center" vertical="top"/>
    </xf>
    <xf numFmtId="1" fontId="4" fillId="82" borderId="248" xfId="2" applyNumberFormat="1" applyFont="1" applyFill="1" applyBorder="1" applyAlignment="1">
      <alignment horizontal="center" vertical="top"/>
    </xf>
    <xf numFmtId="0" fontId="4" fillId="82" borderId="1" xfId="3" applyNumberFormat="1" applyFont="1" applyFill="1" applyBorder="1" applyAlignment="1">
      <alignment horizontal="center" vertical="top"/>
    </xf>
    <xf numFmtId="0" fontId="13" fillId="82" borderId="248" xfId="2" applyNumberFormat="1" applyFont="1" applyFill="1" applyBorder="1" applyAlignment="1">
      <alignment vertical="top"/>
    </xf>
    <xf numFmtId="0" fontId="125" fillId="82" borderId="1" xfId="706" applyFont="1" applyFill="1" applyBorder="1" applyAlignment="1">
      <alignment horizontal="left" vertical="center"/>
    </xf>
    <xf numFmtId="0" fontId="4" fillId="82" borderId="248" xfId="2" applyNumberFormat="1" applyFont="1" applyFill="1" applyBorder="1" applyAlignment="1">
      <alignment vertical="center"/>
    </xf>
    <xf numFmtId="0" fontId="125" fillId="82" borderId="248" xfId="706" applyFont="1" applyFill="1" applyBorder="1" applyAlignment="1">
      <alignment vertical="center"/>
    </xf>
    <xf numFmtId="0" fontId="125" fillId="82" borderId="248" xfId="706" applyFont="1" applyFill="1" applyBorder="1" applyAlignment="1">
      <alignment horizontal="left" vertical="center"/>
    </xf>
    <xf numFmtId="192" fontId="4" fillId="82" borderId="248" xfId="2" applyNumberFormat="1" applyFont="1" applyFill="1" applyBorder="1" applyAlignment="1">
      <alignment horizontal="center" vertical="center"/>
    </xf>
    <xf numFmtId="0" fontId="4" fillId="82" borderId="1" xfId="2" applyNumberFormat="1" applyFont="1" applyFill="1" applyBorder="1" applyAlignment="1">
      <alignment vertical="center"/>
    </xf>
    <xf numFmtId="192" fontId="4" fillId="82" borderId="248" xfId="2" applyNumberFormat="1" applyFont="1" applyFill="1" applyBorder="1" applyAlignment="1">
      <alignment horizontal="center"/>
    </xf>
    <xf numFmtId="0" fontId="125" fillId="0" borderId="1" xfId="707" applyNumberFormat="1" applyFont="1" applyFill="1" applyBorder="1" applyAlignment="1"/>
    <xf numFmtId="0" fontId="125" fillId="0" borderId="248" xfId="707" applyNumberFormat="1" applyFont="1" applyFill="1" applyBorder="1" applyAlignment="1"/>
    <xf numFmtId="0" fontId="125" fillId="6" borderId="247" xfId="707" applyNumberFormat="1" applyFont="1" applyFill="1" applyBorder="1" applyAlignment="1"/>
    <xf numFmtId="0" fontId="125" fillId="82" borderId="1" xfId="706" applyFont="1" applyFill="1" applyBorder="1"/>
    <xf numFmtId="0" fontId="125" fillId="82" borderId="248" xfId="706" applyFont="1" applyFill="1" applyBorder="1"/>
    <xf numFmtId="0" fontId="4" fillId="82" borderId="248" xfId="706" applyFont="1" applyFill="1" applyBorder="1"/>
    <xf numFmtId="0" fontId="125" fillId="82" borderId="20" xfId="706" applyFont="1" applyFill="1" applyBorder="1"/>
    <xf numFmtId="0" fontId="4" fillId="0" borderId="252" xfId="2" applyBorder="1" applyAlignment="1">
      <alignment horizontal="center"/>
    </xf>
    <xf numFmtId="0" fontId="7" fillId="6" borderId="253" xfId="2" applyNumberFormat="1" applyFont="1" applyFill="1" applyBorder="1" applyAlignment="1">
      <alignment vertical="top"/>
    </xf>
    <xf numFmtId="0" fontId="7" fillId="6" borderId="179" xfId="2" applyNumberFormat="1" applyFont="1" applyFill="1" applyBorder="1" applyAlignment="1">
      <alignment vertical="top"/>
    </xf>
    <xf numFmtId="0" fontId="7" fillId="6" borderId="179" xfId="5" applyNumberFormat="1" applyFont="1" applyFill="1" applyBorder="1" applyAlignment="1">
      <alignment vertical="top"/>
    </xf>
    <xf numFmtId="164" fontId="4" fillId="6" borderId="35" xfId="2" applyNumberFormat="1" applyFont="1" applyFill="1" applyBorder="1" applyAlignment="1">
      <alignment horizontal="right" vertical="top" indent="1"/>
    </xf>
    <xf numFmtId="0" fontId="4" fillId="0" borderId="233" xfId="3" applyNumberFormat="1" applyFont="1" applyBorder="1" applyAlignment="1">
      <alignment vertical="top"/>
    </xf>
    <xf numFmtId="0" fontId="4" fillId="0" borderId="38" xfId="2" applyNumberFormat="1" applyFont="1" applyBorder="1" applyAlignment="1">
      <alignment vertical="top"/>
    </xf>
    <xf numFmtId="0" fontId="12" fillId="6" borderId="38" xfId="2" applyNumberFormat="1" applyFont="1" applyFill="1" applyBorder="1" applyAlignment="1">
      <alignment vertical="top"/>
    </xf>
    <xf numFmtId="0" fontId="12" fillId="6" borderId="38" xfId="2" applyNumberFormat="1" applyFont="1" applyFill="1" applyBorder="1" applyAlignment="1">
      <alignment horizontal="center" vertical="top"/>
    </xf>
    <xf numFmtId="0" fontId="4" fillId="0" borderId="38" xfId="2" applyNumberFormat="1" applyFont="1" applyBorder="1" applyAlignment="1">
      <alignment horizontal="center" vertical="top"/>
    </xf>
    <xf numFmtId="1" fontId="7" fillId="6" borderId="38" xfId="2" applyNumberFormat="1" applyFont="1" applyFill="1" applyBorder="1" applyAlignment="1">
      <alignment horizontal="center" vertical="top"/>
    </xf>
    <xf numFmtId="0" fontId="4" fillId="0" borderId="233" xfId="3" applyNumberFormat="1" applyFont="1" applyBorder="1" applyAlignment="1">
      <alignment horizontal="center" vertical="top"/>
    </xf>
    <xf numFmtId="0" fontId="125" fillId="0" borderId="233" xfId="706" applyFont="1" applyBorder="1" applyAlignment="1">
      <alignment horizontal="left" vertical="center"/>
    </xf>
    <xf numFmtId="0" fontId="4" fillId="0" borderId="38" xfId="2" applyNumberFormat="1" applyFont="1" applyBorder="1" applyAlignment="1">
      <alignment vertical="center"/>
    </xf>
    <xf numFmtId="0" fontId="125" fillId="0" borderId="38" xfId="706" applyFont="1" applyBorder="1" applyAlignment="1">
      <alignment vertical="center"/>
    </xf>
    <xf numFmtId="0" fontId="125" fillId="0" borderId="38" xfId="706" applyFont="1" applyBorder="1" applyAlignment="1">
      <alignment horizontal="left" vertical="center"/>
    </xf>
    <xf numFmtId="192" fontId="4" fillId="0" borderId="38" xfId="2" applyNumberFormat="1" applyFont="1" applyBorder="1" applyAlignment="1">
      <alignment horizontal="center" vertical="center"/>
    </xf>
    <xf numFmtId="0" fontId="4" fillId="0" borderId="233" xfId="2" applyNumberFormat="1" applyFont="1" applyBorder="1" applyAlignment="1">
      <alignment vertical="center"/>
    </xf>
    <xf numFmtId="192" fontId="4" fillId="0" borderId="38" xfId="2" applyNumberFormat="1" applyFont="1" applyBorder="1" applyAlignment="1">
      <alignment horizontal="center"/>
    </xf>
    <xf numFmtId="0" fontId="125" fillId="0" borderId="233" xfId="706" applyFont="1" applyFill="1" applyBorder="1"/>
    <xf numFmtId="0" fontId="125" fillId="0" borderId="38" xfId="706" applyFont="1" applyFill="1" applyBorder="1"/>
    <xf numFmtId="0" fontId="125" fillId="6" borderId="254" xfId="706" applyFont="1" applyFill="1" applyBorder="1"/>
    <xf numFmtId="0" fontId="125" fillId="0" borderId="233" xfId="706" applyFont="1" applyBorder="1"/>
    <xf numFmtId="0" fontId="125" fillId="0" borderId="38" xfId="706" applyFont="1" applyBorder="1"/>
    <xf numFmtId="0" fontId="4" fillId="0" borderId="38" xfId="706" applyFont="1" applyBorder="1"/>
    <xf numFmtId="0" fontId="125" fillId="0" borderId="25" xfId="706" applyFont="1" applyBorder="1"/>
    <xf numFmtId="0" fontId="4" fillId="0" borderId="146" xfId="2" applyBorder="1" applyAlignment="1">
      <alignment horizontal="center"/>
    </xf>
    <xf numFmtId="0" fontId="7" fillId="6" borderId="34" xfId="2" applyNumberFormat="1" applyFont="1" applyFill="1" applyBorder="1" applyAlignment="1">
      <alignment vertical="top"/>
    </xf>
    <xf numFmtId="0" fontId="14" fillId="6" borderId="179" xfId="2" applyNumberFormat="1" applyFont="1" applyFill="1" applyBorder="1" applyAlignment="1">
      <alignment vertical="top"/>
    </xf>
    <xf numFmtId="0" fontId="4" fillId="82" borderId="233" xfId="3" applyNumberFormat="1" applyFont="1" applyFill="1" applyBorder="1" applyAlignment="1">
      <alignment vertical="top"/>
    </xf>
    <xf numFmtId="0" fontId="4" fillId="82" borderId="38" xfId="2" applyNumberFormat="1" applyFont="1" applyFill="1" applyBorder="1" applyAlignment="1">
      <alignment vertical="top"/>
    </xf>
    <xf numFmtId="0" fontId="4" fillId="82" borderId="38" xfId="2" applyNumberFormat="1" applyFont="1" applyFill="1" applyBorder="1" applyAlignment="1">
      <alignment horizontal="center" vertical="top"/>
    </xf>
    <xf numFmtId="0" fontId="4" fillId="82" borderId="233" xfId="3" applyNumberFormat="1" applyFont="1" applyFill="1" applyBorder="1" applyAlignment="1">
      <alignment horizontal="center" vertical="top"/>
    </xf>
    <xf numFmtId="0" fontId="125" fillId="82" borderId="233" xfId="706" applyFont="1" applyFill="1" applyBorder="1" applyAlignment="1">
      <alignment horizontal="left" vertical="center"/>
    </xf>
    <xf numFmtId="0" fontId="4" fillId="82" borderId="38" xfId="2" applyNumberFormat="1" applyFont="1" applyFill="1" applyBorder="1" applyAlignment="1">
      <alignment vertical="center"/>
    </xf>
    <xf numFmtId="0" fontId="125" fillId="82" borderId="38" xfId="706" applyFont="1" applyFill="1" applyBorder="1" applyAlignment="1">
      <alignment vertical="center"/>
    </xf>
    <xf numFmtId="0" fontId="125" fillId="82" borderId="38" xfId="706" applyFont="1" applyFill="1" applyBorder="1" applyAlignment="1">
      <alignment horizontal="left" vertical="center"/>
    </xf>
    <xf numFmtId="192" fontId="4" fillId="82" borderId="38" xfId="2" applyNumberFormat="1" applyFont="1" applyFill="1" applyBorder="1" applyAlignment="1">
      <alignment horizontal="center" vertical="center"/>
    </xf>
    <xf numFmtId="0" fontId="4" fillId="82" borderId="233" xfId="2" applyNumberFormat="1" applyFont="1" applyFill="1" applyBorder="1" applyAlignment="1">
      <alignment vertical="center"/>
    </xf>
    <xf numFmtId="192" fontId="4" fillId="82" borderId="38" xfId="2" applyNumberFormat="1" applyFont="1" applyFill="1" applyBorder="1" applyAlignment="1">
      <alignment horizontal="center"/>
    </xf>
    <xf numFmtId="0" fontId="125" fillId="82" borderId="25" xfId="706" applyFont="1" applyFill="1" applyBorder="1"/>
    <xf numFmtId="0" fontId="14" fillId="6" borderId="34" xfId="2" applyNumberFormat="1" applyFont="1" applyFill="1" applyBorder="1" applyAlignment="1">
      <alignment vertical="top"/>
    </xf>
    <xf numFmtId="1" fontId="4" fillId="0" borderId="38" xfId="2" applyNumberFormat="1" applyFont="1" applyBorder="1" applyAlignment="1">
      <alignment horizontal="center" vertical="top"/>
    </xf>
    <xf numFmtId="0" fontId="4" fillId="0" borderId="38" xfId="3" applyNumberFormat="1" applyFont="1" applyBorder="1" applyAlignment="1">
      <alignment vertical="center"/>
    </xf>
    <xf numFmtId="0" fontId="12" fillId="82" borderId="38" xfId="2" applyNumberFormat="1" applyFont="1" applyFill="1" applyBorder="1" applyAlignment="1">
      <alignment vertical="top"/>
    </xf>
    <xf numFmtId="0" fontId="13" fillId="82" borderId="38" xfId="2" applyNumberFormat="1" applyFont="1" applyFill="1" applyBorder="1" applyAlignment="1">
      <alignment vertical="top"/>
    </xf>
    <xf numFmtId="0" fontId="4" fillId="82" borderId="38" xfId="3" applyNumberFormat="1" applyFont="1" applyFill="1" applyBorder="1" applyAlignment="1">
      <alignment vertical="center"/>
    </xf>
    <xf numFmtId="0" fontId="12" fillId="0" borderId="38" xfId="2" applyNumberFormat="1" applyFont="1" applyBorder="1" applyAlignment="1">
      <alignment vertical="top"/>
    </xf>
    <xf numFmtId="0" fontId="13" fillId="0" borderId="38" xfId="2" applyNumberFormat="1" applyFont="1" applyBorder="1" applyAlignment="1">
      <alignment vertical="top"/>
    </xf>
    <xf numFmtId="0" fontId="125" fillId="6" borderId="254" xfId="707" applyNumberFormat="1" applyFont="1" applyFill="1" applyBorder="1" applyAlignment="1"/>
    <xf numFmtId="1" fontId="7" fillId="0" borderId="38" xfId="2" applyNumberFormat="1" applyFont="1" applyBorder="1" applyAlignment="1">
      <alignment horizontal="center" vertical="top"/>
    </xf>
    <xf numFmtId="0" fontId="125" fillId="0" borderId="233" xfId="707" applyNumberFormat="1" applyFont="1" applyFill="1" applyBorder="1" applyAlignment="1"/>
    <xf numFmtId="0" fontId="125" fillId="0" borderId="38" xfId="707" applyNumberFormat="1" applyFont="1" applyFill="1" applyBorder="1" applyAlignment="1"/>
    <xf numFmtId="0" fontId="4" fillId="82" borderId="233" xfId="2" applyNumberFormat="1" applyFont="1" applyFill="1" applyBorder="1" applyAlignment="1"/>
    <xf numFmtId="0" fontId="4" fillId="82" borderId="38" xfId="2" applyNumberFormat="1" applyFont="1" applyFill="1" applyBorder="1" applyAlignment="1"/>
    <xf numFmtId="0" fontId="4" fillId="0" borderId="233" xfId="2" applyNumberFormat="1" applyFont="1" applyBorder="1" applyAlignment="1"/>
    <xf numFmtId="0" fontId="4" fillId="0" borderId="38" xfId="2" applyNumberFormat="1" applyFont="1" applyBorder="1" applyAlignment="1"/>
    <xf numFmtId="0" fontId="7" fillId="6" borderId="179" xfId="708" applyNumberFormat="1" applyFont="1" applyFill="1" applyBorder="1" applyAlignment="1">
      <alignment vertical="top"/>
    </xf>
    <xf numFmtId="164" fontId="4" fillId="6" borderId="35" xfId="708" applyNumberFormat="1" applyFont="1" applyFill="1" applyBorder="1" applyAlignment="1">
      <alignment horizontal="right" vertical="top" indent="1"/>
    </xf>
    <xf numFmtId="1" fontId="4" fillId="82" borderId="38" xfId="2" applyNumberFormat="1" applyFont="1" applyFill="1" applyBorder="1" applyAlignment="1">
      <alignment horizontal="center" vertical="top"/>
    </xf>
    <xf numFmtId="0" fontId="7" fillId="5" borderId="179" xfId="2" applyNumberFormat="1" applyFont="1" applyFill="1" applyBorder="1" applyAlignment="1">
      <alignment vertical="top"/>
    </xf>
    <xf numFmtId="0" fontId="7" fillId="5" borderId="179" xfId="5" applyNumberFormat="1" applyFont="1" applyFill="1" applyBorder="1" applyAlignment="1">
      <alignment vertical="top"/>
    </xf>
    <xf numFmtId="164" fontId="4" fillId="5" borderId="35" xfId="2" applyNumberFormat="1" applyFont="1" applyFill="1" applyBorder="1" applyAlignment="1">
      <alignment horizontal="right" vertical="top" indent="1"/>
    </xf>
    <xf numFmtId="0" fontId="0" fillId="5" borderId="233" xfId="3" applyNumberFormat="1" applyFont="1" applyFill="1" applyBorder="1" applyAlignment="1">
      <alignment vertical="top"/>
    </xf>
    <xf numFmtId="0" fontId="4" fillId="5" borderId="38" xfId="2" applyNumberFormat="1" applyFont="1" applyFill="1" applyBorder="1" applyAlignment="1">
      <alignment vertical="top"/>
    </xf>
    <xf numFmtId="0" fontId="4" fillId="5" borderId="38" xfId="2" applyNumberFormat="1" applyFont="1" applyFill="1" applyBorder="1" applyAlignment="1">
      <alignment horizontal="center" vertical="top"/>
    </xf>
    <xf numFmtId="0" fontId="15" fillId="5" borderId="38" xfId="2" applyNumberFormat="1" applyFont="1" applyFill="1" applyBorder="1" applyAlignment="1">
      <alignment horizontal="center" vertical="top"/>
    </xf>
    <xf numFmtId="1" fontId="7" fillId="5" borderId="38" xfId="2" applyNumberFormat="1" applyFont="1" applyFill="1" applyBorder="1" applyAlignment="1">
      <alignment horizontal="center" vertical="top"/>
    </xf>
    <xf numFmtId="0" fontId="4" fillId="5" borderId="233" xfId="3" applyNumberFormat="1" applyFont="1" applyFill="1" applyBorder="1" applyAlignment="1">
      <alignment horizontal="center" vertical="top"/>
    </xf>
    <xf numFmtId="0" fontId="4" fillId="5" borderId="233" xfId="2" applyNumberFormat="1" applyFont="1" applyFill="1" applyBorder="1" applyAlignment="1">
      <alignment vertical="center"/>
    </xf>
    <xf numFmtId="0" fontId="4" fillId="5" borderId="38" xfId="2" applyNumberFormat="1" applyFont="1" applyFill="1" applyBorder="1" applyAlignment="1">
      <alignment vertical="center"/>
    </xf>
    <xf numFmtId="0" fontId="4" fillId="5" borderId="38" xfId="3" applyNumberFormat="1" applyFont="1" applyFill="1" applyBorder="1" applyAlignment="1">
      <alignment vertical="center"/>
    </xf>
    <xf numFmtId="192" fontId="4" fillId="5" borderId="38" xfId="2" applyNumberFormat="1" applyFont="1" applyFill="1" applyBorder="1" applyAlignment="1">
      <alignment horizontal="center" vertical="center"/>
    </xf>
    <xf numFmtId="0" fontId="7" fillId="5" borderId="34" xfId="2" applyNumberFormat="1" applyFont="1" applyFill="1" applyBorder="1" applyAlignment="1">
      <alignment vertical="top"/>
    </xf>
    <xf numFmtId="0" fontId="12" fillId="5" borderId="38" xfId="2" applyNumberFormat="1" applyFont="1" applyFill="1" applyBorder="1" applyAlignment="1">
      <alignment vertical="top"/>
    </xf>
    <xf numFmtId="0" fontId="12" fillId="5" borderId="38" xfId="2" applyNumberFormat="1" applyFont="1" applyFill="1" applyBorder="1" applyAlignment="1">
      <alignment horizontal="center" vertical="top"/>
    </xf>
    <xf numFmtId="1" fontId="4" fillId="5" borderId="38" xfId="2" applyNumberFormat="1" applyFont="1" applyFill="1" applyBorder="1" applyAlignment="1">
      <alignment horizontal="center" vertical="top"/>
    </xf>
    <xf numFmtId="0" fontId="0" fillId="0" borderId="38" xfId="3" applyNumberFormat="1" applyFont="1" applyBorder="1" applyAlignment="1">
      <alignment vertical="center"/>
    </xf>
    <xf numFmtId="0" fontId="0" fillId="82" borderId="38" xfId="3" applyNumberFormat="1" applyFont="1" applyFill="1" applyBorder="1" applyAlignment="1">
      <alignment vertical="center"/>
    </xf>
    <xf numFmtId="0" fontId="7" fillId="6" borderId="179" xfId="5" applyNumberFormat="1" applyFont="1" applyFill="1" applyBorder="1" applyAlignment="1">
      <alignment vertical="top" wrapText="1"/>
    </xf>
    <xf numFmtId="192" fontId="4" fillId="82" borderId="38" xfId="3" applyNumberFormat="1" applyFont="1" applyFill="1" applyBorder="1" applyAlignment="1">
      <alignment horizontal="center" vertical="center"/>
    </xf>
    <xf numFmtId="192" fontId="4" fillId="0" borderId="38" xfId="3" applyNumberFormat="1" applyFont="1" applyBorder="1" applyAlignment="1">
      <alignment horizontal="center" vertical="center"/>
    </xf>
    <xf numFmtId="0" fontId="16" fillId="82" borderId="233" xfId="706" applyFont="1" applyFill="1" applyBorder="1" applyAlignment="1">
      <alignment vertical="center" wrapText="1"/>
    </xf>
    <xf numFmtId="0" fontId="16" fillId="82" borderId="38" xfId="706" applyFont="1" applyFill="1" applyBorder="1" applyAlignment="1">
      <alignment vertical="center" wrapText="1"/>
    </xf>
    <xf numFmtId="0" fontId="16" fillId="82" borderId="25" xfId="706" applyFont="1" applyFill="1" applyBorder="1" applyAlignment="1">
      <alignment vertical="center" wrapText="1"/>
    </xf>
    <xf numFmtId="0" fontId="125" fillId="82" borderId="233" xfId="706" applyFont="1" applyFill="1" applyBorder="1"/>
    <xf numFmtId="0" fontId="125" fillId="82" borderId="38" xfId="706" applyFont="1" applyFill="1" applyBorder="1"/>
    <xf numFmtId="0" fontId="4" fillId="82" borderId="38" xfId="706" applyFont="1" applyFill="1" applyBorder="1"/>
    <xf numFmtId="0" fontId="7" fillId="6" borderId="205" xfId="2" applyNumberFormat="1" applyFont="1" applyFill="1" applyBorder="1" applyAlignment="1">
      <alignment vertical="top"/>
    </xf>
    <xf numFmtId="0" fontId="7" fillId="6" borderId="205" xfId="5" applyNumberFormat="1" applyFont="1" applyFill="1" applyBorder="1" applyAlignment="1">
      <alignment vertical="top"/>
    </xf>
    <xf numFmtId="164" fontId="4" fillId="6" borderId="170" xfId="2" applyNumberFormat="1" applyFont="1" applyFill="1" applyBorder="1" applyAlignment="1">
      <alignment horizontal="right" vertical="top" indent="1"/>
    </xf>
    <xf numFmtId="0" fontId="4" fillId="0" borderId="255" xfId="3" applyNumberFormat="1" applyFont="1" applyBorder="1" applyAlignment="1">
      <alignment vertical="top"/>
    </xf>
    <xf numFmtId="0" fontId="4" fillId="0" borderId="171" xfId="2" applyNumberFormat="1" applyFont="1" applyBorder="1" applyAlignment="1">
      <alignment vertical="top"/>
    </xf>
    <xf numFmtId="0" fontId="12" fillId="6" borderId="171" xfId="2" applyNumberFormat="1" applyFont="1" applyFill="1" applyBorder="1" applyAlignment="1">
      <alignment vertical="top"/>
    </xf>
    <xf numFmtId="0" fontId="12" fillId="6" borderId="171" xfId="2" applyNumberFormat="1" applyFont="1" applyFill="1" applyBorder="1" applyAlignment="1">
      <alignment horizontal="center" vertical="top"/>
    </xf>
    <xf numFmtId="0" fontId="4" fillId="0" borderId="171" xfId="2" applyNumberFormat="1" applyFont="1" applyBorder="1" applyAlignment="1">
      <alignment horizontal="center" vertical="top"/>
    </xf>
    <xf numFmtId="1" fontId="7" fillId="6" borderId="171" xfId="2" applyNumberFormat="1" applyFont="1" applyFill="1" applyBorder="1" applyAlignment="1">
      <alignment horizontal="center" vertical="top"/>
    </xf>
    <xf numFmtId="0" fontId="4" fillId="0" borderId="255" xfId="3" applyNumberFormat="1" applyFont="1" applyBorder="1" applyAlignment="1">
      <alignment horizontal="center" vertical="top"/>
    </xf>
    <xf numFmtId="0" fontId="13" fillId="0" borderId="171" xfId="2" applyNumberFormat="1" applyFont="1" applyBorder="1" applyAlignment="1">
      <alignment vertical="top"/>
    </xf>
    <xf numFmtId="0" fontId="4" fillId="0" borderId="255" xfId="2" applyNumberFormat="1" applyFont="1" applyBorder="1" applyAlignment="1">
      <alignment vertical="center"/>
    </xf>
    <xf numFmtId="0" fontId="4" fillId="0" borderId="171" xfId="2" applyNumberFormat="1" applyFont="1" applyBorder="1" applyAlignment="1">
      <alignment vertical="center"/>
    </xf>
    <xf numFmtId="192" fontId="4" fillId="0" borderId="171" xfId="2" applyNumberFormat="1" applyFont="1" applyBorder="1" applyAlignment="1">
      <alignment horizontal="center" vertical="center"/>
    </xf>
    <xf numFmtId="0" fontId="125" fillId="0" borderId="255" xfId="707" applyNumberFormat="1" applyFont="1" applyFill="1" applyBorder="1" applyAlignment="1"/>
    <xf numFmtId="0" fontId="125" fillId="0" borderId="171" xfId="707" applyNumberFormat="1" applyFont="1" applyFill="1" applyBorder="1" applyAlignment="1"/>
    <xf numFmtId="0" fontId="125" fillId="6" borderId="256" xfId="707" applyNumberFormat="1" applyFont="1" applyFill="1" applyBorder="1" applyAlignment="1"/>
    <xf numFmtId="0" fontId="125" fillId="0" borderId="255" xfId="706" applyFont="1" applyBorder="1"/>
    <xf numFmtId="0" fontId="125" fillId="0" borderId="171" xfId="706" applyFont="1" applyBorder="1"/>
    <xf numFmtId="0" fontId="4" fillId="0" borderId="171" xfId="706" applyFont="1" applyBorder="1"/>
    <xf numFmtId="0" fontId="125" fillId="0" borderId="39" xfId="706" applyFont="1" applyBorder="1"/>
    <xf numFmtId="0" fontId="4" fillId="0" borderId="155" xfId="2" applyBorder="1" applyAlignment="1">
      <alignment horizontal="center"/>
    </xf>
    <xf numFmtId="0" fontId="7" fillId="6" borderId="207" xfId="2" applyNumberFormat="1" applyFont="1" applyFill="1" applyBorder="1" applyAlignment="1">
      <alignment vertical="top"/>
    </xf>
    <xf numFmtId="0" fontId="5" fillId="22" borderId="169" xfId="2" applyFont="1" applyFill="1" applyBorder="1" applyAlignment="1" applyProtection="1">
      <alignment vertical="center"/>
    </xf>
    <xf numFmtId="49" fontId="24" fillId="22" borderId="44" xfId="2" applyNumberFormat="1" applyFont="1" applyFill="1" applyBorder="1" applyAlignment="1" applyProtection="1">
      <alignment horizontal="center" vertical="center"/>
    </xf>
    <xf numFmtId="49" fontId="17" fillId="22" borderId="44" xfId="2" applyNumberFormat="1" applyFont="1" applyFill="1" applyBorder="1" applyAlignment="1" applyProtection="1">
      <alignment horizontal="center" vertical="center"/>
    </xf>
    <xf numFmtId="0" fontId="10" fillId="22" borderId="0" xfId="2" applyFont="1" applyFill="1" applyBorder="1" applyAlignment="1">
      <alignment vertical="center" wrapText="1"/>
    </xf>
    <xf numFmtId="0" fontId="4" fillId="22" borderId="0" xfId="2" applyFill="1" applyBorder="1" applyAlignment="1">
      <alignment vertical="center"/>
    </xf>
    <xf numFmtId="0" fontId="7" fillId="22" borderId="8" xfId="2" applyFont="1" applyFill="1" applyBorder="1" applyAlignment="1" applyProtection="1">
      <alignment vertical="center"/>
    </xf>
    <xf numFmtId="0" fontId="3" fillId="20" borderId="15" xfId="709" applyFont="1" applyFill="1" applyBorder="1" applyAlignment="1">
      <alignment vertical="center"/>
    </xf>
    <xf numFmtId="0" fontId="10" fillId="17" borderId="53" xfId="2" applyFont="1" applyFill="1" applyBorder="1" applyAlignment="1">
      <alignment horizontal="center" vertical="center" wrapText="1"/>
    </xf>
    <xf numFmtId="0" fontId="10" fillId="17" borderId="54" xfId="2" applyFont="1" applyFill="1" applyBorder="1" applyAlignment="1">
      <alignment horizontal="center" vertical="center" wrapText="1"/>
    </xf>
    <xf numFmtId="0" fontId="10" fillId="17" borderId="55" xfId="2" applyFont="1" applyFill="1" applyBorder="1" applyAlignment="1">
      <alignment horizontal="center" vertical="center" wrapText="1"/>
    </xf>
    <xf numFmtId="49" fontId="7" fillId="22" borderId="1" xfId="2" applyNumberFormat="1" applyFont="1" applyFill="1" applyBorder="1" applyProtection="1"/>
    <xf numFmtId="49" fontId="12" fillId="22" borderId="1" xfId="2" applyNumberFormat="1" applyFont="1" applyFill="1" applyBorder="1" applyProtection="1"/>
    <xf numFmtId="0" fontId="4" fillId="22" borderId="2" xfId="2" applyFill="1" applyBorder="1"/>
    <xf numFmtId="0" fontId="7" fillId="22" borderId="17" xfId="2" quotePrefix="1" applyFont="1" applyFill="1" applyBorder="1" applyAlignment="1" applyProtection="1">
      <alignment vertical="center"/>
    </xf>
    <xf numFmtId="0" fontId="19" fillId="22" borderId="18" xfId="2" quotePrefix="1" applyFont="1" applyFill="1" applyBorder="1" applyAlignment="1" applyProtection="1">
      <alignment vertical="center"/>
    </xf>
    <xf numFmtId="0" fontId="4" fillId="22" borderId="18" xfId="2" applyFill="1" applyBorder="1"/>
    <xf numFmtId="0" fontId="15" fillId="22" borderId="145" xfId="2" applyFont="1" applyFill="1" applyBorder="1"/>
    <xf numFmtId="0" fontId="20" fillId="21" borderId="58" xfId="710" applyFont="1" applyFill="1" applyBorder="1" applyAlignment="1" applyProtection="1">
      <alignment horizontal="center" wrapText="1"/>
    </xf>
    <xf numFmtId="0" fontId="21" fillId="21" borderId="59" xfId="2" applyFont="1" applyFill="1" applyBorder="1" applyAlignment="1" applyProtection="1">
      <alignment horizontal="left" vertical="center"/>
    </xf>
    <xf numFmtId="0" fontId="22" fillId="21" borderId="59" xfId="706" applyFont="1" applyFill="1" applyBorder="1" applyAlignment="1" applyProtection="1">
      <alignment horizontal="center" vertical="center" wrapText="1"/>
    </xf>
    <xf numFmtId="0" fontId="22" fillId="21" borderId="60" xfId="706" applyFont="1" applyFill="1" applyBorder="1" applyAlignment="1" applyProtection="1">
      <alignment horizontal="center" vertical="center" wrapText="1"/>
    </xf>
    <xf numFmtId="0" fontId="4" fillId="22" borderId="262" xfId="9" applyFill="1" applyBorder="1" applyAlignment="1">
      <alignment horizontal="center" vertical="center" wrapText="1"/>
    </xf>
    <xf numFmtId="49" fontId="7" fillId="22" borderId="7" xfId="2" applyNumberFormat="1" applyFont="1" applyFill="1" applyBorder="1" applyProtection="1"/>
    <xf numFmtId="49" fontId="12" fillId="22" borderId="7" xfId="2" applyNumberFormat="1" applyFont="1" applyFill="1" applyBorder="1" applyProtection="1"/>
    <xf numFmtId="0" fontId="4" fillId="22" borderId="0" xfId="2" applyFill="1" applyBorder="1"/>
    <xf numFmtId="0" fontId="4" fillId="22" borderId="25" xfId="2" applyFill="1" applyBorder="1"/>
    <xf numFmtId="0" fontId="23" fillId="22" borderId="26" xfId="2" applyFont="1" applyFill="1" applyBorder="1"/>
    <xf numFmtId="0" fontId="4" fillId="22" borderId="26" xfId="2" applyFill="1" applyBorder="1"/>
    <xf numFmtId="0" fontId="15" fillId="22" borderId="146" xfId="2" applyFont="1" applyFill="1" applyBorder="1"/>
    <xf numFmtId="0" fontId="20" fillId="21" borderId="65" xfId="710" applyFont="1" applyFill="1" applyBorder="1" applyAlignment="1" applyProtection="1">
      <alignment horizontal="center" wrapText="1"/>
    </xf>
    <xf numFmtId="0" fontId="21" fillId="21" borderId="66" xfId="706" applyFont="1" applyFill="1" applyBorder="1" applyAlignment="1" applyProtection="1">
      <alignment horizontal="center" vertical="center"/>
    </xf>
    <xf numFmtId="0" fontId="21" fillId="21" borderId="66" xfId="706" applyFont="1" applyFill="1" applyBorder="1" applyAlignment="1" applyProtection="1">
      <alignment horizontal="left" vertical="center"/>
    </xf>
    <xf numFmtId="0" fontId="22" fillId="21" borderId="66" xfId="706" applyFont="1" applyFill="1" applyBorder="1" applyAlignment="1" applyProtection="1">
      <alignment horizontal="center" vertical="center" wrapText="1"/>
    </xf>
    <xf numFmtId="0" fontId="22" fillId="21" borderId="67" xfId="706" applyFont="1" applyFill="1" applyBorder="1" applyAlignment="1" applyProtection="1">
      <alignment horizontal="center" vertical="center" wrapText="1"/>
    </xf>
    <xf numFmtId="0" fontId="4" fillId="22" borderId="71" xfId="9" applyFill="1" applyBorder="1" applyAlignment="1">
      <alignment horizontal="center" vertical="center" wrapText="1"/>
    </xf>
    <xf numFmtId="0" fontId="4" fillId="22" borderId="146" xfId="2" applyFill="1" applyBorder="1"/>
    <xf numFmtId="0" fontId="7" fillId="22" borderId="25" xfId="2" quotePrefix="1" applyFont="1" applyFill="1" applyBorder="1" applyAlignment="1" applyProtection="1">
      <alignment vertical="center"/>
    </xf>
    <xf numFmtId="0" fontId="19" fillId="22" borderId="26" xfId="2" quotePrefix="1" applyFont="1" applyFill="1" applyBorder="1" applyAlignment="1" applyProtection="1">
      <alignment vertical="center"/>
    </xf>
    <xf numFmtId="49" fontId="12" fillId="22" borderId="7" xfId="2" quotePrefix="1" applyNumberFormat="1" applyFont="1" applyFill="1" applyBorder="1" applyProtection="1"/>
    <xf numFmtId="0" fontId="20" fillId="21" borderId="65" xfId="710" applyNumberFormat="1" applyFont="1" applyFill="1" applyBorder="1" applyAlignment="1" applyProtection="1">
      <alignment horizontal="center" wrapText="1"/>
    </xf>
    <xf numFmtId="49" fontId="7" fillId="22" borderId="169" xfId="2" applyNumberFormat="1" applyFont="1" applyFill="1" applyBorder="1" applyProtection="1"/>
    <xf numFmtId="49" fontId="12" fillId="22" borderId="169" xfId="2" applyNumberFormat="1" applyFont="1" applyFill="1" applyBorder="1" applyProtection="1"/>
    <xf numFmtId="0" fontId="4" fillId="22" borderId="5" xfId="2" applyFill="1" applyBorder="1"/>
    <xf numFmtId="0" fontId="7" fillId="22" borderId="39" xfId="2" quotePrefix="1" applyFont="1" applyFill="1" applyBorder="1" applyAlignment="1" applyProtection="1">
      <alignment vertical="center"/>
    </xf>
    <xf numFmtId="0" fontId="19" fillId="22" borderId="40" xfId="2" quotePrefix="1" applyFont="1" applyFill="1" applyBorder="1" applyAlignment="1" applyProtection="1">
      <alignment vertical="center"/>
    </xf>
    <xf numFmtId="0" fontId="4" fillId="22" borderId="40" xfId="2" applyFill="1" applyBorder="1"/>
    <xf numFmtId="0" fontId="4" fillId="22" borderId="155" xfId="2" applyFill="1" applyBorder="1"/>
    <xf numFmtId="0" fontId="1" fillId="0" borderId="0" xfId="706" applyFont="1" applyAlignment="1">
      <alignment horizontal="left" indent="2"/>
    </xf>
    <xf numFmtId="0" fontId="4" fillId="22" borderId="82" xfId="9" applyFill="1" applyBorder="1" applyAlignment="1">
      <alignment horizontal="center" vertical="center" wrapText="1"/>
    </xf>
    <xf numFmtId="0" fontId="1" fillId="0" borderId="0" xfId="706" applyFont="1" applyAlignment="1">
      <alignment horizontal="left" indent="3"/>
    </xf>
    <xf numFmtId="0" fontId="1" fillId="0" borderId="61" xfId="706" applyBorder="1"/>
    <xf numFmtId="0" fontId="1" fillId="0" borderId="0" xfId="706" applyFont="1" applyAlignment="1">
      <alignment horizontal="left" indent="4"/>
    </xf>
    <xf numFmtId="0" fontId="3" fillId="24" borderId="89" xfId="709" applyFont="1" applyFill="1" applyBorder="1" applyAlignment="1">
      <alignment vertical="center"/>
    </xf>
    <xf numFmtId="0" fontId="10" fillId="17" borderId="90" xfId="2" applyFont="1" applyFill="1" applyBorder="1" applyAlignment="1">
      <alignment horizontal="center" vertical="center" wrapText="1"/>
    </xf>
    <xf numFmtId="0" fontId="10" fillId="17" borderId="86" xfId="2" applyFont="1" applyFill="1" applyBorder="1" applyAlignment="1">
      <alignment horizontal="center" vertical="center" wrapText="1"/>
    </xf>
    <xf numFmtId="0" fontId="10" fillId="17" borderId="91" xfId="2" applyFont="1" applyFill="1" applyBorder="1" applyAlignment="1">
      <alignment horizontal="center" vertical="center" wrapText="1"/>
    </xf>
    <xf numFmtId="0" fontId="1" fillId="0" borderId="236" xfId="706" applyBorder="1"/>
    <xf numFmtId="0" fontId="126" fillId="6" borderId="0" xfId="2" applyFont="1" applyFill="1" applyProtection="1"/>
    <xf numFmtId="0" fontId="127" fillId="0" borderId="0" xfId="706" applyFont="1"/>
    <xf numFmtId="0" fontId="128" fillId="0" borderId="0" xfId="2" applyFont="1"/>
    <xf numFmtId="0" fontId="128" fillId="0" borderId="0" xfId="3" applyFont="1"/>
    <xf numFmtId="0" fontId="5" fillId="19" borderId="4" xfId="2" applyFont="1" applyFill="1" applyBorder="1" applyAlignment="1" applyProtection="1">
      <alignment horizontal="center" vertical="center" wrapText="1"/>
    </xf>
    <xf numFmtId="0" fontId="18" fillId="0" borderId="263" xfId="706" applyFont="1" applyBorder="1"/>
    <xf numFmtId="0" fontId="4" fillId="30" borderId="57" xfId="711" applyFont="1" applyFill="1" applyBorder="1" applyAlignment="1"/>
    <xf numFmtId="0" fontId="0" fillId="0" borderId="23" xfId="0" applyBorder="1" applyProtection="1">
      <protection locked="0"/>
    </xf>
    <xf numFmtId="0" fontId="4" fillId="0" borderId="57" xfId="2" applyBorder="1" applyAlignment="1">
      <alignment vertical="center"/>
    </xf>
    <xf numFmtId="0" fontId="18" fillId="0" borderId="264" xfId="706" applyFont="1" applyBorder="1"/>
    <xf numFmtId="0" fontId="4" fillId="30" borderId="64" xfId="711" applyFont="1" applyFill="1" applyBorder="1" applyAlignment="1"/>
    <xf numFmtId="0" fontId="0" fillId="0" borderId="29" xfId="0" applyBorder="1" applyProtection="1">
      <protection locked="0"/>
    </xf>
    <xf numFmtId="0" fontId="4" fillId="0" borderId="64" xfId="2" applyBorder="1"/>
    <xf numFmtId="0" fontId="0" fillId="0" borderId="41" xfId="0" applyBorder="1" applyProtection="1">
      <protection locked="0"/>
    </xf>
    <xf numFmtId="0" fontId="4" fillId="30" borderId="72" xfId="711" applyFont="1" applyFill="1" applyBorder="1" applyAlignment="1"/>
    <xf numFmtId="0" fontId="18" fillId="0" borderId="64" xfId="706" applyFont="1" applyBorder="1"/>
    <xf numFmtId="0" fontId="4" fillId="0" borderId="0" xfId="2" quotePrefix="1"/>
    <xf numFmtId="0" fontId="4" fillId="0" borderId="72" xfId="2" applyBorder="1"/>
    <xf numFmtId="0" fontId="18" fillId="0" borderId="72" xfId="706" applyFont="1" applyBorder="1"/>
    <xf numFmtId="0" fontId="18" fillId="0" borderId="0" xfId="706" applyFont="1"/>
    <xf numFmtId="0" fontId="115" fillId="0" borderId="102" xfId="2" applyFont="1" applyBorder="1" applyAlignment="1">
      <alignment horizontal="left" vertical="top" indent="2"/>
    </xf>
    <xf numFmtId="1" fontId="5" fillId="6" borderId="0" xfId="2" applyNumberFormat="1" applyFont="1" applyFill="1" applyProtection="1"/>
    <xf numFmtId="0" fontId="10" fillId="0" borderId="0" xfId="2" applyFont="1"/>
    <xf numFmtId="49" fontId="1" fillId="0" borderId="118" xfId="706" applyNumberFormat="1" applyBorder="1"/>
    <xf numFmtId="0" fontId="1" fillId="0" borderId="0" xfId="706" applyBorder="1"/>
    <xf numFmtId="0" fontId="1" fillId="0" borderId="153" xfId="706" applyBorder="1"/>
    <xf numFmtId="0" fontId="10" fillId="84" borderId="1" xfId="2" applyFont="1" applyFill="1" applyBorder="1" applyAlignment="1">
      <alignment vertical="center"/>
    </xf>
    <xf numFmtId="0" fontId="10" fillId="84" borderId="2" xfId="2" applyFont="1" applyFill="1" applyBorder="1" applyAlignment="1">
      <alignment vertical="center"/>
    </xf>
    <xf numFmtId="0" fontId="10" fillId="84" borderId="44" xfId="2" applyFont="1" applyFill="1" applyBorder="1" applyAlignment="1">
      <alignment vertical="center"/>
    </xf>
    <xf numFmtId="0" fontId="10" fillId="84" borderId="45" xfId="2" applyFont="1" applyFill="1" applyBorder="1" applyAlignment="1">
      <alignment vertical="center"/>
    </xf>
    <xf numFmtId="0" fontId="4" fillId="0" borderId="7" xfId="2" applyBorder="1" applyAlignment="1">
      <alignment vertical="center"/>
    </xf>
    <xf numFmtId="0" fontId="10" fillId="0" borderId="1" xfId="2" applyFont="1" applyBorder="1" applyAlignment="1"/>
    <xf numFmtId="0" fontId="10" fillId="0" borderId="2" xfId="2" applyFont="1" applyBorder="1" applyAlignment="1">
      <alignment vertical="center"/>
    </xf>
    <xf numFmtId="0" fontId="4" fillId="18" borderId="2" xfId="9" applyFont="1" applyBorder="1" applyAlignment="1">
      <alignment horizontal="left" indent="3"/>
    </xf>
    <xf numFmtId="0" fontId="4" fillId="0" borderId="2" xfId="2" applyBorder="1" applyAlignment="1">
      <alignment vertical="center"/>
    </xf>
    <xf numFmtId="0" fontId="4" fillId="0" borderId="8" xfId="2" applyBorder="1" applyAlignment="1">
      <alignment vertical="center"/>
    </xf>
    <xf numFmtId="0" fontId="129" fillId="18" borderId="0" xfId="9" applyFont="1"/>
    <xf numFmtId="0" fontId="130" fillId="0" borderId="0" xfId="2" applyFont="1" applyBorder="1" applyAlignment="1">
      <alignment vertical="center"/>
    </xf>
    <xf numFmtId="0" fontId="4" fillId="0" borderId="8" xfId="2" applyFont="1" applyBorder="1" applyAlignment="1">
      <alignment vertical="center"/>
    </xf>
    <xf numFmtId="3" fontId="10" fillId="19" borderId="167" xfId="116" applyNumberFormat="1" applyFont="1" applyFill="1" applyBorder="1" applyAlignment="1" applyProtection="1">
      <alignment horizontal="center" vertical="center" wrapText="1"/>
    </xf>
    <xf numFmtId="3" fontId="10" fillId="19" borderId="265" xfId="116" applyNumberFormat="1" applyFont="1" applyFill="1" applyBorder="1" applyAlignment="1" applyProtection="1">
      <alignment horizontal="center" vertical="center" wrapText="1"/>
      <protection locked="0"/>
    </xf>
    <xf numFmtId="193" fontId="10" fillId="19" borderId="265" xfId="116" applyNumberFormat="1" applyFont="1" applyFill="1" applyBorder="1" applyAlignment="1" applyProtection="1">
      <alignment horizontal="center" vertical="center" wrapText="1"/>
      <protection locked="0"/>
    </xf>
    <xf numFmtId="0" fontId="4" fillId="0" borderId="0" xfId="2" applyBorder="1" applyAlignment="1">
      <alignment vertical="center"/>
    </xf>
    <xf numFmtId="0" fontId="10" fillId="0" borderId="1" xfId="2" applyFont="1" applyBorder="1" applyAlignment="1">
      <alignment vertical="center"/>
    </xf>
    <xf numFmtId="0" fontId="4" fillId="0" borderId="3" xfId="2" applyBorder="1" applyAlignment="1">
      <alignment vertical="center"/>
    </xf>
    <xf numFmtId="0" fontId="11" fillId="13" borderId="167" xfId="9" applyFont="1" applyFill="1" applyBorder="1" applyAlignment="1" applyProtection="1">
      <alignment horizontal="center" vertical="center" wrapText="1"/>
    </xf>
    <xf numFmtId="0" fontId="10" fillId="13" borderId="266" xfId="9" applyFont="1" applyFill="1" applyBorder="1" applyAlignment="1" applyProtection="1">
      <alignment horizontal="center" vertical="center" wrapText="1"/>
    </xf>
    <xf numFmtId="14" fontId="4" fillId="13" borderId="15" xfId="2" applyNumberFormat="1" applyFill="1" applyBorder="1" applyAlignment="1">
      <alignment horizontal="center" vertical="center"/>
    </xf>
    <xf numFmtId="0" fontId="4" fillId="0" borderId="174" xfId="2" applyBorder="1" applyAlignment="1">
      <alignment vertical="center"/>
    </xf>
    <xf numFmtId="0" fontId="129" fillId="0" borderId="0" xfId="0" applyFont="1"/>
    <xf numFmtId="194" fontId="107" fillId="6" borderId="112" xfId="2" applyNumberFormat="1" applyFont="1" applyFill="1" applyBorder="1"/>
    <xf numFmtId="194" fontId="107" fillId="6" borderId="267" xfId="2" applyNumberFormat="1" applyFont="1" applyFill="1" applyBorder="1"/>
    <xf numFmtId="0" fontId="4" fillId="0" borderId="249" xfId="2" applyBorder="1"/>
    <xf numFmtId="0" fontId="115" fillId="0" borderId="0" xfId="2" applyFont="1"/>
    <xf numFmtId="0" fontId="4" fillId="18" borderId="0" xfId="9" applyBorder="1"/>
    <xf numFmtId="0" fontId="4" fillId="18" borderId="0" xfId="9"/>
    <xf numFmtId="0" fontId="131" fillId="18" borderId="268" xfId="9" applyFont="1" applyBorder="1" applyAlignment="1">
      <alignment horizontal="right"/>
    </xf>
    <xf numFmtId="194" fontId="10" fillId="13" borderId="269" xfId="382" applyNumberFormat="1" applyFont="1" applyFill="1" applyBorder="1" applyAlignment="1">
      <alignment horizontal="center" vertical="center" wrapText="1"/>
    </xf>
    <xf numFmtId="194" fontId="10" fillId="12" borderId="269" xfId="382" applyNumberFormat="1" applyFont="1" applyFill="1" applyBorder="1" applyAlignment="1">
      <alignment horizontal="center" vertical="center" wrapText="1"/>
    </xf>
    <xf numFmtId="0" fontId="4" fillId="0" borderId="7" xfId="2" applyFont="1" applyBorder="1" applyAlignment="1">
      <alignment horizontal="right" vertical="center"/>
    </xf>
    <xf numFmtId="0" fontId="4" fillId="30" borderId="0" xfId="9" applyFont="1" applyFill="1" applyBorder="1" applyAlignment="1">
      <alignment vertical="top"/>
    </xf>
    <xf numFmtId="0" fontId="132" fillId="0" borderId="7" xfId="2" applyFont="1" applyBorder="1" applyAlignment="1">
      <alignment horizontal="right" vertical="center"/>
    </xf>
    <xf numFmtId="194" fontId="10" fillId="12" borderId="112" xfId="382" applyNumberFormat="1" applyFont="1" applyFill="1" applyBorder="1" applyAlignment="1">
      <alignment horizontal="center" vertical="center" wrapText="1"/>
    </xf>
    <xf numFmtId="194" fontId="10" fillId="12" borderId="267" xfId="382" applyNumberFormat="1" applyFont="1" applyFill="1" applyBorder="1" applyAlignment="1">
      <alignment horizontal="center" vertical="center" wrapText="1"/>
    </xf>
    <xf numFmtId="194" fontId="10" fillId="12" borderId="249" xfId="382" applyNumberFormat="1" applyFont="1" applyFill="1" applyBorder="1" applyAlignment="1">
      <alignment horizontal="center" vertical="center" wrapText="1"/>
    </xf>
    <xf numFmtId="0" fontId="4" fillId="30" borderId="0" xfId="9" applyFont="1" applyFill="1" applyBorder="1"/>
    <xf numFmtId="0" fontId="4" fillId="0" borderId="8" xfId="2" applyBorder="1"/>
    <xf numFmtId="0" fontId="133" fillId="30" borderId="0" xfId="9" applyFont="1" applyFill="1" applyBorder="1"/>
    <xf numFmtId="0" fontId="4" fillId="18" borderId="0" xfId="9" quotePrefix="1" applyFont="1"/>
    <xf numFmtId="0" fontId="4" fillId="18" borderId="0" xfId="9" applyAlignment="1">
      <alignment horizontal="right" indent="1"/>
    </xf>
    <xf numFmtId="0" fontId="130" fillId="0" borderId="7" xfId="2" applyFont="1" applyBorder="1" applyAlignment="1">
      <alignment vertical="center"/>
    </xf>
    <xf numFmtId="14" fontId="10" fillId="13" borderId="15" xfId="2" applyNumberFormat="1" applyFont="1" applyFill="1" applyBorder="1" applyAlignment="1">
      <alignment vertical="center"/>
    </xf>
    <xf numFmtId="0" fontId="130" fillId="0" borderId="0" xfId="2" applyFont="1" applyBorder="1" applyAlignment="1">
      <alignment horizontal="right" vertical="center" indent="1"/>
    </xf>
    <xf numFmtId="0" fontId="10" fillId="12" borderId="167" xfId="9" applyFont="1" applyFill="1" applyBorder="1" applyAlignment="1">
      <alignment horizontal="center" vertical="center" wrapText="1"/>
    </xf>
    <xf numFmtId="0" fontId="10" fillId="13" borderId="270" xfId="9" applyFont="1" applyFill="1" applyBorder="1" applyAlignment="1">
      <alignment horizontal="center" vertical="center" wrapText="1"/>
    </xf>
    <xf numFmtId="0" fontId="134" fillId="0" borderId="0" xfId="2" applyFont="1"/>
    <xf numFmtId="0" fontId="4" fillId="18" borderId="0" xfId="382"/>
    <xf numFmtId="0" fontId="135" fillId="0" borderId="0" xfId="0" applyFont="1" applyFill="1" applyAlignment="1">
      <alignment vertical="top"/>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4" fillId="0" borderId="5" xfId="2" applyBorder="1" applyAlignment="1">
      <alignment vertical="center"/>
    </xf>
    <xf numFmtId="0" fontId="4" fillId="0" borderId="5" xfId="2" applyBorder="1"/>
    <xf numFmtId="0" fontId="1" fillId="0" borderId="0" xfId="710"/>
    <xf numFmtId="0" fontId="92" fillId="73" borderId="7" xfId="5" applyFont="1" applyFill="1" applyBorder="1" applyAlignment="1" applyProtection="1">
      <alignment horizontal="center"/>
    </xf>
    <xf numFmtId="0" fontId="93" fillId="73" borderId="0" xfId="5" applyFont="1" applyFill="1" applyBorder="1" applyProtection="1"/>
    <xf numFmtId="0" fontId="4" fillId="73" borderId="0" xfId="5" applyFont="1" applyFill="1" applyBorder="1" applyProtection="1"/>
    <xf numFmtId="0" fontId="4" fillId="73" borderId="8" xfId="5" applyFont="1" applyFill="1" applyBorder="1" applyProtection="1"/>
    <xf numFmtId="0" fontId="94" fillId="73" borderId="7" xfId="5" applyFont="1" applyFill="1" applyBorder="1" applyAlignment="1" applyProtection="1">
      <alignment horizontal="left" indent="1"/>
    </xf>
    <xf numFmtId="0" fontId="95" fillId="73" borderId="0" xfId="5" applyFont="1" applyFill="1" applyBorder="1" applyProtection="1"/>
    <xf numFmtId="0" fontId="94" fillId="73" borderId="7" xfId="5" quotePrefix="1" applyFont="1" applyFill="1" applyBorder="1" applyAlignment="1" applyProtection="1">
      <alignment horizontal="left" indent="1"/>
    </xf>
    <xf numFmtId="0" fontId="4" fillId="73" borderId="0" xfId="5" applyFont="1" applyFill="1" applyBorder="1" applyAlignment="1" applyProtection="1">
      <alignment horizontal="left"/>
    </xf>
    <xf numFmtId="0" fontId="93" fillId="73" borderId="169" xfId="5" applyFont="1" applyFill="1" applyBorder="1" applyAlignment="1" applyProtection="1">
      <alignment horizontal="left" indent="1"/>
    </xf>
    <xf numFmtId="0" fontId="4" fillId="73" borderId="5" xfId="5" applyFont="1" applyFill="1" applyBorder="1" applyAlignment="1" applyProtection="1"/>
    <xf numFmtId="0" fontId="4" fillId="73" borderId="5" xfId="5" applyFont="1" applyFill="1" applyBorder="1" applyProtection="1"/>
    <xf numFmtId="0" fontId="4" fillId="73" borderId="174" xfId="5" applyFont="1" applyFill="1" applyBorder="1" applyProtection="1"/>
    <xf numFmtId="0" fontId="93" fillId="73" borderId="1" xfId="5" applyFont="1" applyFill="1" applyBorder="1" applyAlignment="1" applyProtection="1">
      <alignment horizontal="left" indent="1"/>
    </xf>
    <xf numFmtId="0" fontId="4" fillId="73" borderId="2" xfId="5" applyFont="1" applyFill="1" applyBorder="1" applyAlignment="1" applyProtection="1"/>
    <xf numFmtId="0" fontId="4" fillId="73" borderId="2" xfId="5" applyFont="1" applyFill="1" applyBorder="1" applyProtection="1"/>
    <xf numFmtId="0" fontId="4" fillId="73" borderId="3" xfId="5" applyFont="1" applyFill="1" applyBorder="1" applyProtection="1"/>
    <xf numFmtId="0" fontId="96" fillId="73" borderId="8" xfId="5" applyFont="1" applyFill="1" applyBorder="1" applyAlignment="1" applyProtection="1"/>
    <xf numFmtId="0" fontId="97" fillId="73" borderId="7" xfId="5" applyFont="1" applyFill="1" applyBorder="1" applyAlignment="1" applyProtection="1">
      <alignment horizontal="left" indent="1"/>
    </xf>
    <xf numFmtId="0" fontId="96" fillId="73" borderId="0" xfId="5" applyFont="1" applyFill="1" applyBorder="1" applyAlignment="1" applyProtection="1">
      <alignment horizontal="right" indent="1"/>
    </xf>
    <xf numFmtId="0" fontId="96" fillId="73" borderId="0" xfId="5" applyFont="1" applyFill="1" applyBorder="1" applyProtection="1"/>
    <xf numFmtId="0" fontId="4" fillId="73" borderId="8" xfId="5" applyFont="1" applyFill="1" applyBorder="1" applyAlignment="1" applyProtection="1"/>
    <xf numFmtId="0" fontId="93" fillId="73" borderId="7" xfId="5" applyFont="1" applyFill="1" applyBorder="1" applyAlignment="1" applyProtection="1">
      <alignment horizontal="left" indent="1"/>
    </xf>
    <xf numFmtId="0" fontId="93" fillId="73" borderId="69" xfId="5" applyFont="1" applyFill="1" applyBorder="1" applyAlignment="1" applyProtection="1">
      <alignment horizontal="left" indent="1"/>
    </xf>
    <xf numFmtId="0" fontId="4" fillId="73" borderId="165" xfId="5" applyFont="1" applyFill="1" applyBorder="1" applyAlignment="1" applyProtection="1"/>
    <xf numFmtId="0" fontId="4" fillId="73" borderId="165" xfId="5" applyFont="1" applyFill="1" applyBorder="1" applyProtection="1"/>
    <xf numFmtId="0" fontId="4" fillId="73" borderId="177" xfId="5" applyFont="1" applyFill="1" applyBorder="1" applyProtection="1"/>
    <xf numFmtId="0" fontId="4" fillId="73" borderId="0" xfId="5" applyFont="1" applyFill="1" applyBorder="1" applyAlignment="1" applyProtection="1"/>
    <xf numFmtId="0" fontId="94" fillId="73" borderId="7" xfId="5" applyFont="1" applyFill="1" applyBorder="1" applyAlignment="1" applyProtection="1">
      <alignment horizontal="left" vertical="top"/>
    </xf>
    <xf numFmtId="0" fontId="4" fillId="73" borderId="0" xfId="5" applyFont="1" applyFill="1" applyBorder="1" applyAlignment="1" applyProtection="1">
      <alignment horizontal="center" vertical="top"/>
    </xf>
    <xf numFmtId="0" fontId="4" fillId="73" borderId="0" xfId="5" applyFont="1" applyFill="1" applyBorder="1" applyAlignment="1" applyProtection="1">
      <alignment vertical="top"/>
    </xf>
    <xf numFmtId="0" fontId="4" fillId="73" borderId="8" xfId="5" applyFont="1" applyFill="1" applyBorder="1" applyAlignment="1" applyProtection="1">
      <alignment vertical="top"/>
    </xf>
    <xf numFmtId="0" fontId="4" fillId="73" borderId="0" xfId="5" applyFont="1" applyFill="1" applyBorder="1" applyAlignment="1" applyProtection="1">
      <alignment horizontal="center"/>
    </xf>
    <xf numFmtId="0" fontId="96" fillId="73" borderId="7" xfId="710" applyFont="1" applyFill="1" applyBorder="1" applyProtection="1">
      <protection locked="0"/>
    </xf>
    <xf numFmtId="0" fontId="96" fillId="73" borderId="0" xfId="710" applyFont="1" applyFill="1" applyBorder="1" applyProtection="1">
      <protection locked="0"/>
    </xf>
    <xf numFmtId="0" fontId="4" fillId="73" borderId="0" xfId="710" applyFont="1" applyFill="1" applyBorder="1" applyProtection="1">
      <protection locked="0"/>
    </xf>
    <xf numFmtId="0" fontId="4" fillId="73" borderId="8" xfId="710" applyFont="1" applyFill="1" applyBorder="1" applyProtection="1">
      <protection locked="0"/>
    </xf>
    <xf numFmtId="0" fontId="94" fillId="73" borderId="7" xfId="710" applyFont="1" applyFill="1" applyBorder="1" applyAlignment="1" applyProtection="1">
      <alignment horizontal="left" indent="1"/>
      <protection locked="0"/>
    </xf>
    <xf numFmtId="0" fontId="25" fillId="77" borderId="15" xfId="0" applyNumberFormat="1" applyFont="1" applyFill="1" applyBorder="1" applyAlignment="1" applyProtection="1">
      <alignment horizontal="center" vertical="center" wrapText="1"/>
      <protection locked="0"/>
    </xf>
    <xf numFmtId="0" fontId="4" fillId="85" borderId="7" xfId="0" applyFont="1" applyFill="1" applyBorder="1" applyAlignment="1" applyProtection="1">
      <alignment horizontal="center" vertical="center"/>
    </xf>
    <xf numFmtId="0" fontId="4" fillId="85" borderId="0" xfId="0" quotePrefix="1" applyFont="1" applyFill="1" applyBorder="1" applyAlignment="1" applyProtection="1">
      <alignment horizontal="center" vertical="center"/>
    </xf>
    <xf numFmtId="0" fontId="4" fillId="86" borderId="0" xfId="0" quotePrefix="1" applyFont="1" applyFill="1" applyBorder="1" applyAlignment="1" applyProtection="1">
      <alignment horizontal="center" vertical="center"/>
    </xf>
    <xf numFmtId="0" fontId="4" fillId="86" borderId="8" xfId="0" applyFont="1" applyFill="1" applyBorder="1" applyProtection="1">
      <protection locked="0"/>
    </xf>
    <xf numFmtId="0" fontId="93" fillId="73" borderId="169" xfId="710" applyFont="1" applyFill="1" applyBorder="1" applyAlignment="1" applyProtection="1">
      <alignment horizontal="left" indent="1"/>
      <protection locked="0"/>
    </xf>
    <xf numFmtId="0" fontId="4" fillId="86" borderId="5" xfId="0" applyFont="1" applyFill="1" applyBorder="1" applyAlignment="1" applyProtection="1">
      <protection locked="0"/>
    </xf>
    <xf numFmtId="0" fontId="4" fillId="86" borderId="5" xfId="0" applyFont="1" applyFill="1" applyBorder="1" applyProtection="1">
      <protection locked="0"/>
    </xf>
    <xf numFmtId="0" fontId="4" fillId="86" borderId="174" xfId="0" applyFont="1" applyFill="1" applyBorder="1" applyProtection="1">
      <protection locked="0"/>
    </xf>
    <xf numFmtId="0" fontId="93" fillId="73" borderId="1" xfId="710" applyFont="1" applyFill="1" applyBorder="1" applyAlignment="1" applyProtection="1">
      <alignment horizontal="left" indent="1"/>
      <protection locked="0"/>
    </xf>
    <xf numFmtId="0" fontId="4" fillId="86" borderId="2" xfId="0" applyFont="1" applyFill="1" applyBorder="1" applyAlignment="1" applyProtection="1">
      <protection locked="0"/>
    </xf>
    <xf numFmtId="0" fontId="4" fillId="86" borderId="2" xfId="0" applyFont="1" applyFill="1" applyBorder="1" applyProtection="1">
      <protection locked="0"/>
    </xf>
    <xf numFmtId="0" fontId="4" fillId="86" borderId="3" xfId="0" applyFont="1" applyFill="1" applyBorder="1" applyProtection="1">
      <protection locked="0"/>
    </xf>
    <xf numFmtId="0" fontId="4" fillId="85" borderId="0" xfId="0" applyFont="1" applyFill="1" applyBorder="1" applyAlignment="1" applyProtection="1">
      <alignment horizontal="center" vertical="center"/>
    </xf>
    <xf numFmtId="0" fontId="136" fillId="86" borderId="8" xfId="0" applyFont="1" applyFill="1" applyBorder="1" applyAlignment="1" applyProtection="1">
      <protection locked="0"/>
    </xf>
    <xf numFmtId="0" fontId="100" fillId="0" borderId="0" xfId="5" applyFont="1" applyProtection="1"/>
    <xf numFmtId="0" fontId="93" fillId="73" borderId="7" xfId="710" applyFont="1" applyFill="1" applyBorder="1" applyAlignment="1" applyProtection="1">
      <alignment horizontal="left" indent="1"/>
      <protection locked="0"/>
    </xf>
    <xf numFmtId="0" fontId="4" fillId="86" borderId="0" xfId="0" applyFont="1" applyFill="1" applyBorder="1" applyAlignment="1" applyProtection="1">
      <protection locked="0"/>
    </xf>
    <xf numFmtId="0" fontId="4" fillId="86" borderId="0" xfId="0" applyFont="1" applyFill="1" applyBorder="1" applyProtection="1">
      <protection locked="0"/>
    </xf>
    <xf numFmtId="0" fontId="104" fillId="86" borderId="8" xfId="0" applyFont="1" applyFill="1" applyBorder="1" applyAlignment="1" applyProtection="1">
      <protection locked="0"/>
    </xf>
    <xf numFmtId="0" fontId="96" fillId="73" borderId="169" xfId="710" applyFont="1" applyFill="1" applyBorder="1" applyAlignment="1" applyProtection="1">
      <alignment horizontal="left" indent="1"/>
      <protection locked="0"/>
    </xf>
    <xf numFmtId="0" fontId="96" fillId="73" borderId="5" xfId="710" applyFont="1" applyFill="1" applyBorder="1" applyProtection="1">
      <protection locked="0"/>
    </xf>
    <xf numFmtId="0" fontId="4" fillId="73" borderId="5" xfId="710" applyFont="1" applyFill="1" applyBorder="1" applyProtection="1">
      <protection locked="0"/>
    </xf>
    <xf numFmtId="0" fontId="96" fillId="73" borderId="5" xfId="710" applyFont="1" applyFill="1" applyBorder="1" applyAlignment="1" applyProtection="1">
      <protection locked="0"/>
    </xf>
    <xf numFmtId="0" fontId="96" fillId="73" borderId="174" xfId="710" applyFont="1" applyFill="1" applyBorder="1" applyAlignment="1" applyProtection="1">
      <protection locked="0"/>
    </xf>
    <xf numFmtId="0" fontId="101" fillId="86" borderId="1" xfId="366" applyFont="1" applyFill="1" applyBorder="1" applyAlignment="1" applyProtection="1">
      <alignment horizontal="left" indent="1"/>
    </xf>
    <xf numFmtId="0" fontId="4" fillId="86" borderId="2" xfId="366" applyFont="1" applyFill="1" applyBorder="1" applyAlignment="1" applyProtection="1"/>
    <xf numFmtId="0" fontId="4" fillId="86" borderId="2" xfId="366" applyFont="1" applyFill="1" applyBorder="1" applyProtection="1"/>
    <xf numFmtId="0" fontId="4" fillId="86" borderId="3" xfId="366" applyFont="1" applyFill="1" applyBorder="1" applyProtection="1"/>
    <xf numFmtId="0" fontId="94" fillId="86" borderId="7" xfId="366" applyFont="1" applyFill="1" applyBorder="1" applyAlignment="1" applyProtection="1">
      <alignment horizontal="left" indent="1"/>
    </xf>
    <xf numFmtId="0" fontId="137" fillId="86" borderId="0" xfId="366" applyFont="1" applyFill="1" applyBorder="1" applyAlignment="1" applyProtection="1">
      <alignment horizontal="left"/>
    </xf>
    <xf numFmtId="0" fontId="102" fillId="86" borderId="0" xfId="366" applyFont="1" applyFill="1" applyBorder="1" applyAlignment="1" applyProtection="1">
      <alignment horizontal="center"/>
    </xf>
    <xf numFmtId="0" fontId="4" fillId="86" borderId="0" xfId="366" applyFont="1" applyFill="1" applyBorder="1" applyProtection="1"/>
    <xf numFmtId="0" fontId="4" fillId="86" borderId="8" xfId="366" applyFont="1" applyFill="1" applyBorder="1" applyProtection="1"/>
    <xf numFmtId="0" fontId="103" fillId="86" borderId="7" xfId="366" applyFont="1" applyFill="1" applyBorder="1" applyAlignment="1" applyProtection="1">
      <alignment horizontal="left" indent="1"/>
    </xf>
    <xf numFmtId="0" fontId="104" fillId="86" borderId="0" xfId="366" applyFont="1" applyFill="1" applyBorder="1" applyProtection="1"/>
    <xf numFmtId="0" fontId="101" fillId="86" borderId="169" xfId="366" applyFont="1" applyFill="1" applyBorder="1" applyAlignment="1" applyProtection="1">
      <alignment horizontal="left" indent="1"/>
    </xf>
    <xf numFmtId="0" fontId="4" fillId="86" borderId="5" xfId="366" applyFont="1" applyFill="1" applyBorder="1" applyAlignment="1" applyProtection="1"/>
    <xf numFmtId="0" fontId="4" fillId="86" borderId="5" xfId="366" applyFont="1" applyFill="1" applyBorder="1" applyProtection="1"/>
    <xf numFmtId="0" fontId="4" fillId="86" borderId="174" xfId="366" applyFont="1" applyFill="1" applyBorder="1" applyProtection="1"/>
    <xf numFmtId="0" fontId="8" fillId="0" borderId="0" xfId="366" applyFont="1" applyFill="1" applyBorder="1" applyAlignment="1" applyProtection="1">
      <alignment horizontal="left"/>
    </xf>
    <xf numFmtId="0" fontId="8" fillId="6" borderId="0" xfId="5" applyFont="1" applyFill="1" applyBorder="1" applyProtection="1"/>
    <xf numFmtId="0" fontId="7" fillId="6" borderId="0" xfId="5" applyFont="1" applyFill="1" applyBorder="1" applyProtection="1"/>
    <xf numFmtId="0" fontId="8" fillId="0" borderId="0" xfId="5" applyFont="1" applyFill="1" applyBorder="1" applyProtection="1"/>
    <xf numFmtId="0" fontId="105" fillId="7" borderId="279" xfId="5" applyFont="1" applyFill="1" applyBorder="1" applyAlignment="1" applyProtection="1">
      <alignment vertical="top"/>
    </xf>
    <xf numFmtId="0" fontId="4" fillId="7" borderId="180" xfId="5" applyFill="1" applyBorder="1" applyAlignment="1">
      <alignment vertical="center"/>
    </xf>
    <xf numFmtId="0" fontId="7" fillId="7" borderId="23" xfId="5" applyFont="1" applyFill="1" applyBorder="1" applyAlignment="1" applyProtection="1">
      <alignment vertical="center"/>
    </xf>
    <xf numFmtId="0" fontId="4" fillId="7" borderId="181" xfId="5" applyFill="1" applyBorder="1"/>
    <xf numFmtId="0" fontId="4" fillId="7" borderId="29" xfId="5" applyFill="1" applyBorder="1"/>
    <xf numFmtId="0" fontId="137" fillId="7" borderId="27" xfId="5" applyFont="1" applyFill="1" applyBorder="1" applyAlignment="1" applyProtection="1">
      <alignment horizontal="left" vertical="top" indent="3"/>
    </xf>
    <xf numFmtId="0" fontId="4" fillId="7" borderId="26" xfId="5" quotePrefix="1" applyFont="1" applyFill="1" applyBorder="1" applyAlignment="1" applyProtection="1">
      <alignment horizontal="center" vertical="center"/>
    </xf>
    <xf numFmtId="0" fontId="140" fillId="7" borderId="27" xfId="5" quotePrefix="1" applyFont="1" applyFill="1" applyBorder="1" applyAlignment="1" applyProtection="1">
      <alignment horizontal="left" vertical="top" indent="4"/>
    </xf>
    <xf numFmtId="0" fontId="4" fillId="7" borderId="182" xfId="5" applyFill="1" applyBorder="1"/>
    <xf numFmtId="0" fontId="4" fillId="7" borderId="41" xfId="5" applyFill="1" applyBorder="1"/>
    <xf numFmtId="0" fontId="1" fillId="0" borderId="0" xfId="712"/>
    <xf numFmtId="0" fontId="26" fillId="87" borderId="280" xfId="5" applyFont="1" applyFill="1" applyBorder="1" applyProtection="1"/>
    <xf numFmtId="0" fontId="27" fillId="87" borderId="281" xfId="5" applyFont="1" applyFill="1" applyBorder="1" applyProtection="1"/>
    <xf numFmtId="0" fontId="20" fillId="87" borderId="281" xfId="712" applyFont="1" applyFill="1" applyBorder="1"/>
    <xf numFmtId="0" fontId="20" fillId="87" borderId="282" xfId="712" applyFont="1" applyFill="1" applyBorder="1"/>
    <xf numFmtId="0" fontId="1" fillId="7" borderId="29" xfId="710" applyFill="1" applyBorder="1"/>
    <xf numFmtId="0" fontId="20" fillId="87" borderId="281" xfId="0" applyFont="1" applyFill="1" applyBorder="1"/>
    <xf numFmtId="0" fontId="20" fillId="87" borderId="282" xfId="0" applyFont="1" applyFill="1" applyBorder="1"/>
    <xf numFmtId="0" fontId="107" fillId="7" borderId="62" xfId="5" quotePrefix="1" applyFont="1" applyFill="1" applyBorder="1" applyAlignment="1" applyProtection="1">
      <alignment vertical="top"/>
    </xf>
    <xf numFmtId="0" fontId="4" fillId="7" borderId="187" xfId="5" applyFill="1" applyBorder="1"/>
    <xf numFmtId="0" fontId="4" fillId="7" borderId="188" xfId="5" applyFill="1" applyBorder="1"/>
    <xf numFmtId="0" fontId="4" fillId="7" borderId="7" xfId="5" applyFont="1" applyFill="1" applyBorder="1" applyAlignment="1" applyProtection="1">
      <alignment horizontal="left" vertical="top" indent="3"/>
    </xf>
    <xf numFmtId="0" fontId="137" fillId="7" borderId="27" xfId="5" quotePrefix="1" applyFont="1" applyFill="1" applyBorder="1" applyAlignment="1" applyProtection="1">
      <alignment horizontal="left" vertical="top" indent="3"/>
    </xf>
    <xf numFmtId="0" fontId="141" fillId="7" borderId="0" xfId="5" applyFont="1" applyFill="1" applyBorder="1" applyProtection="1"/>
    <xf numFmtId="0" fontId="7" fillId="7" borderId="181" xfId="5" applyFont="1" applyFill="1" applyBorder="1" applyProtection="1"/>
    <xf numFmtId="0" fontId="98" fillId="7" borderId="69" xfId="5" applyFont="1" applyFill="1" applyBorder="1" applyAlignment="1" applyProtection="1">
      <alignment horizontal="left"/>
    </xf>
    <xf numFmtId="0" fontId="98" fillId="7" borderId="165" xfId="5" quotePrefix="1" applyNumberFormat="1" applyFont="1" applyFill="1" applyBorder="1" applyAlignment="1" applyProtection="1">
      <alignment horizontal="center"/>
    </xf>
    <xf numFmtId="0" fontId="107" fillId="7" borderId="283" xfId="5" quotePrefix="1" applyFont="1" applyFill="1" applyBorder="1" applyAlignment="1" applyProtection="1">
      <alignment vertical="top"/>
    </xf>
    <xf numFmtId="0" fontId="107" fillId="7" borderId="284" xfId="5" quotePrefix="1" applyFont="1" applyFill="1" applyBorder="1" applyAlignment="1" applyProtection="1">
      <alignment vertical="top"/>
    </xf>
    <xf numFmtId="0" fontId="7" fillId="7" borderId="165" xfId="5" applyFont="1" applyFill="1" applyBorder="1" applyProtection="1"/>
    <xf numFmtId="0" fontId="7" fillId="7" borderId="177" xfId="5" applyFont="1" applyFill="1" applyBorder="1" applyProtection="1"/>
    <xf numFmtId="0" fontId="98" fillId="7" borderId="165" xfId="5" applyFont="1" applyFill="1" applyBorder="1" applyAlignment="1" applyProtection="1">
      <alignment horizontal="center"/>
    </xf>
    <xf numFmtId="0" fontId="107" fillId="7" borderId="62" xfId="5" quotePrefix="1" applyFont="1" applyFill="1" applyBorder="1" applyAlignment="1" applyProtection="1">
      <alignment horizontal="left" vertical="top"/>
    </xf>
    <xf numFmtId="0" fontId="107" fillId="7" borderId="21" xfId="5" quotePrefix="1" applyFont="1" applyFill="1" applyBorder="1" applyAlignment="1" applyProtection="1">
      <alignment horizontal="left" vertical="top"/>
    </xf>
    <xf numFmtId="0" fontId="107" fillId="7" borderId="26" xfId="5" quotePrefix="1" applyFont="1" applyFill="1" applyBorder="1" applyAlignment="1" applyProtection="1">
      <alignment horizontal="left" vertical="top"/>
    </xf>
    <xf numFmtId="0" fontId="107" fillId="7" borderId="37" xfId="5" quotePrefix="1" applyFont="1" applyFill="1" applyBorder="1" applyAlignment="1" applyProtection="1">
      <alignment horizontal="left" vertical="top"/>
    </xf>
    <xf numFmtId="0" fontId="107" fillId="7" borderId="190" xfId="5" applyFont="1" applyFill="1" applyBorder="1" applyAlignment="1" applyProtection="1">
      <alignment vertical="top"/>
    </xf>
    <xf numFmtId="0" fontId="107" fillId="7" borderId="40" xfId="5" quotePrefix="1" applyFont="1" applyFill="1" applyBorder="1" applyAlignment="1" applyProtection="1">
      <alignment horizontal="left" vertical="top"/>
    </xf>
    <xf numFmtId="0" fontId="4" fillId="7" borderId="186" xfId="5" applyFont="1" applyFill="1" applyBorder="1" applyAlignment="1" applyProtection="1">
      <alignment vertical="top"/>
    </xf>
    <xf numFmtId="0" fontId="67" fillId="22" borderId="0" xfId="5" applyFont="1" applyFill="1" applyBorder="1" applyAlignment="1" applyProtection="1">
      <alignment horizontal="center" vertical="top"/>
    </xf>
    <xf numFmtId="0" fontId="107" fillId="7" borderId="14" xfId="5" quotePrefix="1" applyFont="1" applyFill="1" applyBorder="1" applyAlignment="1" applyProtection="1">
      <alignment vertical="top"/>
    </xf>
    <xf numFmtId="0" fontId="107" fillId="7" borderId="235" xfId="5" quotePrefix="1" applyFont="1" applyFill="1" applyBorder="1" applyAlignment="1" applyProtection="1">
      <alignment vertical="top"/>
    </xf>
    <xf numFmtId="0" fontId="4" fillId="22" borderId="0" xfId="5" applyFont="1" applyFill="1" applyBorder="1" applyAlignment="1">
      <alignment horizontal="center" vertical="top"/>
    </xf>
    <xf numFmtId="0" fontId="4" fillId="22" borderId="165" xfId="5" applyFont="1" applyFill="1" applyBorder="1" applyAlignment="1">
      <alignment horizontal="center" vertical="top" wrapText="1"/>
    </xf>
    <xf numFmtId="0" fontId="107" fillId="7" borderId="184" xfId="5" quotePrefix="1" applyFont="1" applyFill="1" applyBorder="1" applyAlignment="1" applyProtection="1">
      <alignment vertical="top"/>
    </xf>
    <xf numFmtId="0" fontId="137" fillId="7" borderId="284" xfId="5" applyFont="1" applyFill="1" applyBorder="1" applyAlignment="1" applyProtection="1">
      <alignment horizontal="left" vertical="top" indent="3"/>
    </xf>
    <xf numFmtId="0" fontId="4" fillId="7" borderId="7" xfId="5" applyFont="1" applyFill="1" applyBorder="1" applyAlignment="1" applyProtection="1">
      <alignment horizontal="left" vertical="top" indent="2"/>
    </xf>
    <xf numFmtId="0" fontId="107" fillId="7" borderId="0" xfId="5" quotePrefix="1" applyFont="1" applyFill="1" applyBorder="1" applyAlignment="1" applyProtection="1">
      <alignment vertical="top"/>
    </xf>
    <xf numFmtId="0" fontId="4" fillId="7" borderId="0" xfId="5" applyFill="1" applyBorder="1"/>
    <xf numFmtId="0" fontId="4" fillId="7" borderId="8" xfId="5" applyFill="1" applyBorder="1"/>
    <xf numFmtId="0" fontId="142" fillId="7" borderId="186" xfId="5" applyFont="1" applyFill="1" applyBorder="1" applyAlignment="1" applyProtection="1">
      <alignment horizontal="left" vertical="top" indent="1"/>
    </xf>
    <xf numFmtId="0" fontId="4" fillId="7" borderId="0" xfId="5" applyFont="1" applyFill="1" applyBorder="1" applyAlignment="1" applyProtection="1">
      <alignment horizontal="center" vertical="top" wrapText="1"/>
    </xf>
    <xf numFmtId="0" fontId="107" fillId="7" borderId="14" xfId="5" quotePrefix="1" applyFont="1" applyFill="1" applyBorder="1" applyAlignment="1" applyProtection="1">
      <alignment horizontal="left" vertical="top" indent="1"/>
    </xf>
    <xf numFmtId="0" fontId="107" fillId="7" borderId="14" xfId="5" quotePrefix="1" applyFont="1" applyFill="1" applyBorder="1" applyAlignment="1" applyProtection="1">
      <alignment horizontal="left" vertical="top"/>
    </xf>
    <xf numFmtId="0" fontId="142" fillId="7" borderId="186" xfId="5" applyFont="1" applyFill="1" applyBorder="1" applyAlignment="1" applyProtection="1">
      <alignment horizontal="left" vertical="top" indent="2"/>
    </xf>
    <xf numFmtId="0" fontId="107" fillId="7" borderId="235" xfId="5" quotePrefix="1" applyFont="1" applyFill="1" applyBorder="1" applyAlignment="1" applyProtection="1">
      <alignment horizontal="left" vertical="top"/>
    </xf>
    <xf numFmtId="0" fontId="10" fillId="7" borderId="62" xfId="5" quotePrefix="1" applyFont="1" applyFill="1" applyBorder="1" applyAlignment="1" applyProtection="1">
      <alignment horizontal="center" wrapText="1"/>
    </xf>
    <xf numFmtId="0" fontId="99" fillId="7" borderId="186" xfId="5" applyFont="1" applyFill="1" applyBorder="1" applyAlignment="1" applyProtection="1">
      <alignment horizontal="left" vertical="top" indent="2"/>
    </xf>
    <xf numFmtId="0" fontId="99" fillId="7" borderId="183" xfId="5" applyFont="1" applyFill="1" applyBorder="1" applyAlignment="1" applyProtection="1">
      <alignment horizontal="left" vertical="top" indent="2"/>
    </xf>
    <xf numFmtId="0" fontId="10" fillId="7" borderId="184" xfId="5" quotePrefix="1" applyFont="1" applyFill="1" applyBorder="1" applyAlignment="1" applyProtection="1">
      <alignment horizontal="center" wrapText="1"/>
    </xf>
    <xf numFmtId="0" fontId="107" fillId="7" borderId="184" xfId="5" quotePrefix="1" applyFont="1" applyFill="1" applyBorder="1" applyAlignment="1" applyProtection="1">
      <alignment horizontal="left" vertical="top" indent="1"/>
    </xf>
    <xf numFmtId="0" fontId="107" fillId="7" borderId="185" xfId="5" quotePrefix="1" applyFont="1" applyFill="1" applyBorder="1" applyAlignment="1" applyProtection="1">
      <alignment horizontal="left" vertical="top"/>
    </xf>
    <xf numFmtId="0" fontId="99" fillId="7" borderId="186" xfId="5" applyFont="1" applyFill="1" applyBorder="1" applyAlignment="1" applyProtection="1">
      <alignment horizontal="left" vertical="top" indent="1"/>
    </xf>
    <xf numFmtId="0" fontId="4" fillId="7" borderId="14" xfId="5" applyFont="1" applyFill="1" applyBorder="1" applyAlignment="1" applyProtection="1">
      <alignment horizontal="center" vertical="top"/>
    </xf>
    <xf numFmtId="0" fontId="7" fillId="7" borderId="0" xfId="5" applyFont="1" applyFill="1" applyBorder="1" applyAlignment="1" applyProtection="1">
      <alignment vertical="top"/>
    </xf>
    <xf numFmtId="0" fontId="7" fillId="7" borderId="8" xfId="5" applyFont="1" applyFill="1" applyBorder="1" applyAlignment="1" applyProtection="1">
      <alignment vertical="top"/>
    </xf>
    <xf numFmtId="0" fontId="143" fillId="7" borderId="14" xfId="5" applyFont="1" applyFill="1" applyBorder="1" applyAlignment="1" applyProtection="1">
      <alignment horizontal="center" vertical="top" wrapText="1"/>
    </xf>
    <xf numFmtId="0" fontId="143" fillId="7" borderId="14" xfId="5" quotePrefix="1" applyFont="1" applyFill="1" applyBorder="1" applyAlignment="1" applyProtection="1">
      <alignment horizontal="left" vertical="top" indent="1"/>
    </xf>
    <xf numFmtId="0" fontId="145" fillId="7" borderId="235" xfId="5" quotePrefix="1" applyFont="1" applyFill="1" applyBorder="1" applyAlignment="1" applyProtection="1">
      <alignment horizontal="left" vertical="top" indent="2"/>
    </xf>
    <xf numFmtId="0" fontId="116" fillId="7" borderId="0" xfId="5" applyFont="1" applyFill="1" applyBorder="1" applyAlignment="1" applyProtection="1">
      <alignment vertical="top"/>
    </xf>
    <xf numFmtId="0" fontId="4" fillId="0" borderId="0" xfId="5" quotePrefix="1" applyAlignment="1">
      <alignment horizontal="left" wrapText="1"/>
    </xf>
    <xf numFmtId="0" fontId="143" fillId="7" borderId="235" xfId="5" quotePrefix="1" applyFont="1" applyFill="1" applyBorder="1" applyAlignment="1" applyProtection="1">
      <alignment horizontal="left" vertical="top"/>
    </xf>
    <xf numFmtId="0" fontId="99" fillId="7" borderId="186" xfId="5" applyFont="1" applyFill="1" applyBorder="1" applyAlignment="1" applyProtection="1">
      <alignment horizontal="left" vertical="top" indent="4"/>
    </xf>
    <xf numFmtId="14" fontId="4" fillId="7" borderId="14" xfId="5" quotePrefix="1" applyNumberFormat="1" applyFont="1" applyFill="1" applyBorder="1" applyAlignment="1" applyProtection="1">
      <alignment horizontal="center" vertical="top" wrapText="1"/>
    </xf>
    <xf numFmtId="0" fontId="107" fillId="7" borderId="235" xfId="5" quotePrefix="1" applyFont="1" applyFill="1" applyBorder="1" applyAlignment="1" applyProtection="1">
      <alignment horizontal="center" vertical="center"/>
    </xf>
    <xf numFmtId="0" fontId="99" fillId="7" borderId="285" xfId="5" applyFont="1" applyFill="1" applyBorder="1" applyAlignment="1" applyProtection="1">
      <alignment horizontal="left" vertical="top" indent="2"/>
    </xf>
    <xf numFmtId="0" fontId="24" fillId="7" borderId="286" xfId="5" quotePrefix="1" applyFont="1" applyFill="1" applyBorder="1" applyAlignment="1" applyProtection="1">
      <alignment horizontal="center" vertical="top"/>
    </xf>
    <xf numFmtId="0" fontId="107" fillId="7" borderId="286" xfId="5" quotePrefix="1" applyFont="1" applyFill="1" applyBorder="1" applyAlignment="1" applyProtection="1">
      <alignment vertical="top"/>
    </xf>
    <xf numFmtId="0" fontId="107" fillId="7" borderId="287" xfId="5" quotePrefix="1" applyFont="1" applyFill="1" applyBorder="1" applyAlignment="1" applyProtection="1">
      <alignment horizontal="left" vertical="top"/>
    </xf>
    <xf numFmtId="0" fontId="7" fillId="7" borderId="288" xfId="5" applyFont="1" applyFill="1" applyBorder="1" applyAlignment="1" applyProtection="1">
      <alignment vertical="top"/>
    </xf>
    <xf numFmtId="0" fontId="7" fillId="7" borderId="289" xfId="5" applyFont="1" applyFill="1" applyBorder="1" applyAlignment="1" applyProtection="1">
      <alignment vertical="top"/>
    </xf>
    <xf numFmtId="0" fontId="1" fillId="0" borderId="0" xfId="710" applyAlignment="1"/>
    <xf numFmtId="0" fontId="142" fillId="7" borderId="186" xfId="5" applyFont="1" applyFill="1" applyBorder="1" applyAlignment="1" applyProtection="1">
      <alignment horizontal="left"/>
    </xf>
    <xf numFmtId="0" fontId="115" fillId="7" borderId="14" xfId="5" quotePrefix="1" applyFont="1" applyFill="1" applyBorder="1" applyAlignment="1" applyProtection="1">
      <alignment horizontal="left"/>
    </xf>
    <xf numFmtId="0" fontId="107" fillId="7" borderId="14" xfId="5" quotePrefix="1" applyFont="1" applyFill="1" applyBorder="1" applyAlignment="1" applyProtection="1"/>
    <xf numFmtId="0" fontId="107" fillId="7" borderId="235" xfId="5" quotePrefix="1" applyFont="1" applyFill="1" applyBorder="1" applyAlignment="1" applyProtection="1">
      <alignment horizontal="left"/>
    </xf>
    <xf numFmtId="0" fontId="7" fillId="7" borderId="0" xfId="5" applyFont="1" applyFill="1" applyBorder="1" applyAlignment="1" applyProtection="1"/>
    <xf numFmtId="0" fontId="7" fillId="7" borderId="8" xfId="5" applyFont="1" applyFill="1" applyBorder="1" applyAlignment="1" applyProtection="1"/>
    <xf numFmtId="0" fontId="4" fillId="0" borderId="0" xfId="5" applyAlignment="1"/>
    <xf numFmtId="0" fontId="7" fillId="6" borderId="0" xfId="5" applyFont="1" applyFill="1" applyAlignment="1" applyProtection="1"/>
    <xf numFmtId="0" fontId="24" fillId="7" borderId="14" xfId="5" quotePrefix="1" applyFont="1" applyFill="1" applyBorder="1" applyAlignment="1" applyProtection="1">
      <alignment horizontal="center" vertical="top"/>
    </xf>
    <xf numFmtId="0" fontId="4" fillId="0" borderId="0" xfId="5" quotePrefix="1" applyAlignment="1">
      <alignment horizontal="left"/>
    </xf>
    <xf numFmtId="0" fontId="4" fillId="7" borderId="184" xfId="5" quotePrefix="1" applyFont="1" applyFill="1" applyBorder="1" applyAlignment="1" applyProtection="1">
      <alignment horizontal="center" vertical="top"/>
    </xf>
    <xf numFmtId="0" fontId="107" fillId="7" borderId="284" xfId="5" quotePrefix="1" applyFont="1" applyFill="1" applyBorder="1" applyAlignment="1" applyProtection="1">
      <alignment horizontal="left" vertical="top"/>
    </xf>
    <xf numFmtId="0" fontId="7" fillId="7" borderId="165" xfId="5" applyFont="1" applyFill="1" applyBorder="1" applyAlignment="1" applyProtection="1">
      <alignment vertical="top"/>
    </xf>
    <xf numFmtId="0" fontId="7" fillId="7" borderId="177" xfId="5" applyFont="1" applyFill="1" applyBorder="1" applyAlignment="1" applyProtection="1">
      <alignment vertical="top"/>
    </xf>
    <xf numFmtId="0" fontId="4" fillId="7" borderId="14" xfId="5" quotePrefix="1" applyFont="1" applyFill="1" applyBorder="1" applyAlignment="1" applyProtection="1">
      <alignment horizontal="center" vertical="top"/>
    </xf>
    <xf numFmtId="0" fontId="143" fillId="7" borderId="14" xfId="5" quotePrefix="1" applyFont="1" applyFill="1" applyBorder="1" applyAlignment="1" applyProtection="1">
      <alignment horizontal="left" vertical="top" indent="3"/>
    </xf>
    <xf numFmtId="0" fontId="99" fillId="7" borderId="12" xfId="5" applyFont="1" applyFill="1" applyBorder="1" applyAlignment="1" applyProtection="1">
      <alignment horizontal="left" vertical="top" indent="2"/>
    </xf>
    <xf numFmtId="0" fontId="4" fillId="7" borderId="290" xfId="5" quotePrefix="1" applyFont="1" applyFill="1" applyBorder="1" applyAlignment="1" applyProtection="1">
      <alignment horizontal="center" vertical="top"/>
    </xf>
    <xf numFmtId="0" fontId="107" fillId="7" borderId="290" xfId="5" quotePrefix="1" applyFont="1" applyFill="1" applyBorder="1" applyAlignment="1" applyProtection="1">
      <alignment vertical="top"/>
    </xf>
    <xf numFmtId="0" fontId="107" fillId="7" borderId="290" xfId="5" quotePrefix="1" applyFont="1" applyFill="1" applyBorder="1" applyAlignment="1" applyProtection="1">
      <alignment horizontal="left" vertical="top"/>
    </xf>
    <xf numFmtId="0" fontId="7" fillId="7" borderId="5" xfId="5" applyFont="1" applyFill="1" applyBorder="1" applyAlignment="1" applyProtection="1">
      <alignment vertical="top"/>
    </xf>
    <xf numFmtId="0" fontId="7" fillId="7" borderId="174" xfId="5" applyFont="1" applyFill="1" applyBorder="1" applyAlignment="1" applyProtection="1">
      <alignment vertical="top"/>
    </xf>
    <xf numFmtId="0" fontId="142" fillId="7" borderId="291" xfId="5" applyFont="1" applyFill="1" applyBorder="1" applyAlignment="1" applyProtection="1">
      <alignment horizontal="left" vertical="top" indent="1"/>
    </xf>
    <xf numFmtId="0" fontId="7" fillId="7" borderId="292" xfId="5" applyFont="1" applyFill="1" applyBorder="1" applyAlignment="1" applyProtection="1">
      <alignment vertical="top"/>
    </xf>
    <xf numFmtId="0" fontId="7" fillId="7" borderId="293" xfId="5" applyFont="1" applyFill="1" applyBorder="1" applyAlignment="1" applyProtection="1">
      <alignment vertical="top"/>
    </xf>
    <xf numFmtId="0" fontId="137" fillId="7" borderId="235" xfId="5" applyFont="1" applyFill="1" applyBorder="1" applyAlignment="1" applyProtection="1">
      <alignment horizontal="left" vertical="top" indent="3"/>
    </xf>
    <xf numFmtId="0" fontId="10" fillId="7" borderId="290" xfId="5" quotePrefix="1" applyFont="1" applyFill="1" applyBorder="1" applyAlignment="1" applyProtection="1">
      <alignment horizontal="center" vertical="top"/>
    </xf>
    <xf numFmtId="0" fontId="107" fillId="7" borderId="294" xfId="5" quotePrefix="1" applyFont="1" applyFill="1" applyBorder="1" applyAlignment="1" applyProtection="1">
      <alignment horizontal="left" vertical="top"/>
    </xf>
    <xf numFmtId="0" fontId="107" fillId="7" borderId="5" xfId="5" quotePrefix="1" applyFont="1" applyFill="1" applyBorder="1" applyAlignment="1" applyProtection="1">
      <alignment horizontal="left" vertical="top" indent="1"/>
    </xf>
    <xf numFmtId="0" fontId="10" fillId="7" borderId="14" xfId="5" quotePrefix="1" applyFont="1" applyFill="1" applyBorder="1" applyAlignment="1" applyProtection="1">
      <alignment horizontal="center" vertical="top"/>
    </xf>
    <xf numFmtId="0" fontId="107" fillId="7" borderId="0" xfId="5" quotePrefix="1" applyFont="1" applyFill="1" applyBorder="1" applyAlignment="1" applyProtection="1">
      <alignment horizontal="left" vertical="top" indent="1"/>
    </xf>
    <xf numFmtId="0" fontId="108" fillId="7" borderId="235" xfId="5" quotePrefix="1" applyFont="1" applyFill="1" applyBorder="1" applyAlignment="1" applyProtection="1">
      <alignment vertical="top"/>
    </xf>
    <xf numFmtId="0" fontId="4" fillId="7" borderId="295" xfId="5" applyFont="1" applyFill="1" applyBorder="1" applyAlignment="1" applyProtection="1">
      <alignment vertical="top"/>
    </xf>
    <xf numFmtId="0" fontId="4" fillId="7" borderId="296" xfId="5" applyFont="1" applyFill="1" applyBorder="1" applyAlignment="1" applyProtection="1">
      <alignment horizontal="center" vertical="top"/>
    </xf>
    <xf numFmtId="0" fontId="107" fillId="7" borderId="296" xfId="5" quotePrefix="1" applyFont="1" applyFill="1" applyBorder="1" applyAlignment="1" applyProtection="1">
      <alignment horizontal="left" vertical="top"/>
    </xf>
    <xf numFmtId="0" fontId="7" fillId="7" borderId="297" xfId="5" applyFont="1" applyFill="1" applyBorder="1" applyAlignment="1" applyProtection="1">
      <alignment vertical="top"/>
    </xf>
    <xf numFmtId="0" fontId="7" fillId="7" borderId="298" xfId="5" applyFont="1" applyFill="1" applyBorder="1" applyAlignment="1" applyProtection="1">
      <alignment vertical="top"/>
    </xf>
    <xf numFmtId="0" fontId="7" fillId="7" borderId="299" xfId="5" applyFont="1" applyFill="1" applyBorder="1" applyAlignment="1" applyProtection="1">
      <alignment vertical="top"/>
    </xf>
    <xf numFmtId="0" fontId="4" fillId="7" borderId="300" xfId="5" applyFont="1" applyFill="1" applyBorder="1" applyAlignment="1" applyProtection="1">
      <alignment vertical="top"/>
    </xf>
    <xf numFmtId="0" fontId="4" fillId="7" borderId="301" xfId="5" quotePrefix="1" applyFont="1" applyFill="1" applyBorder="1" applyAlignment="1" applyProtection="1">
      <alignment horizontal="center" vertical="top"/>
    </xf>
    <xf numFmtId="0" fontId="107" fillId="7" borderId="301" xfId="5" quotePrefix="1" applyFont="1" applyFill="1" applyBorder="1" applyAlignment="1" applyProtection="1">
      <alignment horizontal="left" vertical="top"/>
    </xf>
    <xf numFmtId="0" fontId="107" fillId="7" borderId="302" xfId="5" quotePrefix="1" applyFont="1" applyFill="1" applyBorder="1" applyAlignment="1" applyProtection="1">
      <alignment vertical="top"/>
    </xf>
    <xf numFmtId="0" fontId="7" fillId="7" borderId="172" xfId="5" applyFont="1" applyFill="1" applyBorder="1" applyAlignment="1" applyProtection="1">
      <alignment vertical="top"/>
    </xf>
    <xf numFmtId="0" fontId="7" fillId="7" borderId="303" xfId="5" applyFont="1" applyFill="1" applyBorder="1" applyAlignment="1" applyProtection="1">
      <alignment vertical="top"/>
    </xf>
    <xf numFmtId="0" fontId="107" fillId="7" borderId="62" xfId="5" applyFont="1" applyFill="1" applyBorder="1" applyAlignment="1" applyProtection="1">
      <alignment vertical="top"/>
    </xf>
    <xf numFmtId="0" fontId="107" fillId="7" borderId="252" xfId="5" applyFont="1" applyFill="1" applyBorder="1" applyAlignment="1" applyProtection="1">
      <alignment vertical="top"/>
    </xf>
    <xf numFmtId="0" fontId="4" fillId="7" borderId="304" xfId="5" applyFont="1" applyFill="1" applyBorder="1" applyAlignment="1" applyProtection="1">
      <alignment horizontal="left" vertical="top" indent="2"/>
    </xf>
    <xf numFmtId="0" fontId="4" fillId="7" borderId="305" xfId="5" applyFont="1" applyFill="1" applyBorder="1" applyAlignment="1" applyProtection="1">
      <alignment horizontal="center" vertical="top"/>
    </xf>
    <xf numFmtId="0" fontId="107" fillId="7" borderId="305" xfId="5" quotePrefix="1" applyFont="1" applyFill="1" applyBorder="1" applyAlignment="1" applyProtection="1">
      <alignment vertical="top"/>
    </xf>
    <xf numFmtId="0" fontId="107" fillId="7" borderId="305" xfId="5" applyFont="1" applyFill="1" applyBorder="1" applyAlignment="1" applyProtection="1">
      <alignment vertical="top"/>
    </xf>
    <xf numFmtId="0" fontId="107" fillId="7" borderId="306" xfId="5" applyFont="1" applyFill="1" applyBorder="1" applyAlignment="1" applyProtection="1">
      <alignment vertical="top"/>
    </xf>
    <xf numFmtId="0" fontId="4" fillId="7" borderId="12" xfId="5" applyFont="1" applyFill="1" applyBorder="1" applyAlignment="1" applyProtection="1">
      <alignment horizontal="left" vertical="top" indent="2"/>
    </xf>
    <xf numFmtId="0" fontId="4" fillId="7" borderId="290" xfId="5" applyFont="1" applyFill="1" applyBorder="1" applyAlignment="1" applyProtection="1">
      <alignment horizontal="center" vertical="top"/>
    </xf>
    <xf numFmtId="0" fontId="107" fillId="7" borderId="290" xfId="5" applyFont="1" applyFill="1" applyBorder="1" applyAlignment="1" applyProtection="1">
      <alignment vertical="top"/>
    </xf>
    <xf numFmtId="0" fontId="107" fillId="7" borderId="307" xfId="5" applyFont="1" applyFill="1" applyBorder="1" applyAlignment="1" applyProtection="1">
      <alignment vertical="top"/>
    </xf>
    <xf numFmtId="0" fontId="4" fillId="7" borderId="112" xfId="5" applyFont="1" applyFill="1" applyBorder="1" applyAlignment="1" applyProtection="1">
      <alignment vertical="top"/>
    </xf>
    <xf numFmtId="0" fontId="12" fillId="7" borderId="267" xfId="5" quotePrefix="1" applyFont="1" applyFill="1" applyBorder="1" applyAlignment="1" applyProtection="1">
      <alignment horizontal="center" vertical="center"/>
    </xf>
    <xf numFmtId="0" fontId="107" fillId="7" borderId="267" xfId="5" quotePrefix="1" applyFont="1" applyFill="1" applyBorder="1" applyAlignment="1" applyProtection="1">
      <alignment vertical="top"/>
    </xf>
    <xf numFmtId="0" fontId="140" fillId="7" borderId="308" xfId="5" quotePrefix="1" applyFont="1" applyFill="1" applyBorder="1" applyAlignment="1" applyProtection="1">
      <alignment vertical="top"/>
    </xf>
    <xf numFmtId="0" fontId="109" fillId="7" borderId="44" xfId="5" applyFont="1" applyFill="1" applyBorder="1" applyAlignment="1" applyProtection="1">
      <alignment vertical="top"/>
    </xf>
    <xf numFmtId="0" fontId="109" fillId="7" borderId="45" xfId="5" applyFont="1" applyFill="1" applyBorder="1" applyAlignment="1" applyProtection="1">
      <alignment vertical="top"/>
    </xf>
    <xf numFmtId="0" fontId="146" fillId="4" borderId="0" xfId="2" applyFont="1" applyFill="1" applyProtection="1"/>
    <xf numFmtId="0" fontId="6" fillId="4" borderId="0" xfId="2" applyFont="1" applyFill="1" applyAlignment="1" applyProtection="1">
      <alignment horizontal="center"/>
    </xf>
    <xf numFmtId="0" fontId="26" fillId="87" borderId="50" xfId="5" applyFont="1" applyFill="1" applyBorder="1" applyProtection="1"/>
    <xf numFmtId="0" fontId="27" fillId="87" borderId="51" xfId="5" applyFont="1" applyFill="1" applyBorder="1" applyProtection="1"/>
    <xf numFmtId="0" fontId="20" fillId="87" borderId="51" xfId="0" applyFont="1" applyFill="1" applyBorder="1"/>
    <xf numFmtId="0" fontId="27" fillId="87" borderId="309" xfId="5" applyFont="1" applyFill="1" applyBorder="1" applyProtection="1"/>
    <xf numFmtId="0" fontId="4" fillId="25" borderId="58" xfId="5" applyFont="1" applyFill="1" applyBorder="1" applyAlignment="1" applyProtection="1">
      <alignment vertical="top"/>
    </xf>
    <xf numFmtId="0" fontId="4" fillId="25" borderId="59" xfId="5" applyFont="1" applyFill="1" applyBorder="1" applyAlignment="1" applyProtection="1">
      <alignment horizontal="center" vertical="top"/>
    </xf>
    <xf numFmtId="0" fontId="147" fillId="25" borderId="59" xfId="5" quotePrefix="1" applyFont="1" applyFill="1" applyBorder="1" applyAlignment="1" applyProtection="1">
      <alignment vertical="top"/>
    </xf>
    <xf numFmtId="0" fontId="28" fillId="25" borderId="59" xfId="5" quotePrefix="1" applyFont="1" applyFill="1" applyBorder="1" applyAlignment="1" applyProtection="1">
      <alignment vertical="top"/>
    </xf>
    <xf numFmtId="0" fontId="28" fillId="25" borderId="59" xfId="5" applyFont="1" applyFill="1" applyBorder="1" applyAlignment="1" applyProtection="1">
      <alignment vertical="top"/>
    </xf>
    <xf numFmtId="0" fontId="28" fillId="25" borderId="310" xfId="5" applyFont="1" applyFill="1" applyBorder="1" applyAlignment="1" applyProtection="1">
      <alignment vertical="top"/>
    </xf>
    <xf numFmtId="0" fontId="4" fillId="25" borderId="65" xfId="5" applyFont="1" applyFill="1" applyBorder="1" applyAlignment="1" applyProtection="1">
      <alignment horizontal="left" vertical="top" indent="2"/>
    </xf>
    <xf numFmtId="0" fontId="10" fillId="25" borderId="66" xfId="5" applyFont="1" applyFill="1" applyBorder="1" applyAlignment="1" applyProtection="1">
      <alignment horizontal="center" vertical="top"/>
    </xf>
    <xf numFmtId="0" fontId="10" fillId="25" borderId="66" xfId="5" quotePrefix="1" applyFont="1" applyFill="1" applyBorder="1" applyAlignment="1" applyProtection="1">
      <alignment vertical="top"/>
    </xf>
    <xf numFmtId="0" fontId="4" fillId="25" borderId="66" xfId="5" quotePrefix="1" applyFont="1" applyFill="1" applyBorder="1" applyAlignment="1" applyProtection="1">
      <alignment vertical="top"/>
    </xf>
    <xf numFmtId="0" fontId="4" fillId="25" borderId="66" xfId="5" applyFont="1" applyFill="1" applyBorder="1" applyAlignment="1" applyProtection="1">
      <alignment vertical="top"/>
    </xf>
    <xf numFmtId="0" fontId="4" fillId="25" borderId="311" xfId="5" applyFont="1" applyFill="1" applyBorder="1" applyAlignment="1" applyProtection="1">
      <alignment vertical="top"/>
    </xf>
    <xf numFmtId="0" fontId="4" fillId="25" borderId="66" xfId="5" applyFont="1" applyFill="1" applyBorder="1" applyAlignment="1" applyProtection="1">
      <alignment horizontal="center" vertical="top"/>
    </xf>
    <xf numFmtId="0" fontId="147" fillId="25" borderId="66" xfId="5" quotePrefix="1" applyFont="1" applyFill="1" applyBorder="1" applyAlignment="1" applyProtection="1">
      <alignment vertical="top"/>
    </xf>
    <xf numFmtId="0" fontId="28" fillId="25" borderId="66" xfId="5" quotePrefix="1" applyFont="1" applyFill="1" applyBorder="1" applyAlignment="1" applyProtection="1">
      <alignment vertical="top"/>
    </xf>
    <xf numFmtId="0" fontId="28" fillId="25" borderId="66" xfId="5" applyFont="1" applyFill="1" applyBorder="1" applyAlignment="1" applyProtection="1">
      <alignment vertical="top"/>
    </xf>
    <xf numFmtId="0" fontId="28" fillId="25" borderId="311" xfId="5" applyFont="1" applyFill="1" applyBorder="1" applyAlignment="1" applyProtection="1">
      <alignment vertical="top"/>
    </xf>
    <xf numFmtId="0" fontId="4" fillId="25" borderId="312" xfId="5" applyFont="1" applyFill="1" applyBorder="1" applyAlignment="1" applyProtection="1">
      <alignment horizontal="left" vertical="top" indent="2"/>
    </xf>
    <xf numFmtId="0" fontId="4" fillId="25" borderId="313" xfId="5" applyFont="1" applyFill="1" applyBorder="1" applyAlignment="1" applyProtection="1">
      <alignment horizontal="center" vertical="top"/>
    </xf>
    <xf numFmtId="0" fontId="147" fillId="25" borderId="313" xfId="5" quotePrefix="1" applyFont="1" applyFill="1" applyBorder="1" applyAlignment="1" applyProtection="1">
      <alignment vertical="top"/>
    </xf>
    <xf numFmtId="0" fontId="28" fillId="25" borderId="313" xfId="5" quotePrefix="1" applyFont="1" applyFill="1" applyBorder="1" applyAlignment="1" applyProtection="1">
      <alignment vertical="top"/>
    </xf>
    <xf numFmtId="0" fontId="28" fillId="25" borderId="313" xfId="5" applyFont="1" applyFill="1" applyBorder="1" applyAlignment="1" applyProtection="1">
      <alignment vertical="top"/>
    </xf>
    <xf numFmtId="0" fontId="28" fillId="25" borderId="314" xfId="5" applyFont="1" applyFill="1" applyBorder="1" applyAlignment="1" applyProtection="1">
      <alignment vertical="top"/>
    </xf>
    <xf numFmtId="0" fontId="4" fillId="25" borderId="79" xfId="5" applyFont="1" applyFill="1" applyBorder="1" applyAlignment="1" applyProtection="1">
      <alignment horizontal="left" vertical="top" indent="2"/>
    </xf>
    <xf numFmtId="0" fontId="4" fillId="25" borderId="80" xfId="5" applyFont="1" applyFill="1" applyBorder="1" applyAlignment="1" applyProtection="1">
      <alignment horizontal="center" vertical="top"/>
    </xf>
    <xf numFmtId="0" fontId="147" fillId="25" borderId="80" xfId="5" quotePrefix="1" applyFont="1" applyFill="1" applyBorder="1" applyAlignment="1" applyProtection="1">
      <alignment vertical="top"/>
    </xf>
    <xf numFmtId="0" fontId="28" fillId="25" borderId="80" xfId="5" quotePrefix="1" applyFont="1" applyFill="1" applyBorder="1" applyAlignment="1" applyProtection="1">
      <alignment vertical="top"/>
    </xf>
    <xf numFmtId="0" fontId="28" fillId="25" borderId="80" xfId="5" applyFont="1" applyFill="1" applyBorder="1" applyAlignment="1" applyProtection="1">
      <alignment vertical="top"/>
    </xf>
    <xf numFmtId="0" fontId="28" fillId="25" borderId="315" xfId="5" applyFont="1" applyFill="1" applyBorder="1" applyAlignment="1" applyProtection="1">
      <alignment vertical="top"/>
    </xf>
    <xf numFmtId="186" fontId="4" fillId="61" borderId="28" xfId="0" applyNumberFormat="1" applyFont="1" applyFill="1" applyBorder="1" applyAlignment="1" applyProtection="1">
      <alignment vertical="center" wrapText="1"/>
      <protection locked="0"/>
    </xf>
    <xf numFmtId="186" fontId="4" fillId="61" borderId="26" xfId="0" applyNumberFormat="1" applyFont="1" applyFill="1" applyBorder="1" applyAlignment="1" applyProtection="1">
      <alignment vertical="center" wrapText="1"/>
      <protection locked="0"/>
    </xf>
    <xf numFmtId="0" fontId="0" fillId="0" borderId="0" xfId="0" quotePrefix="1"/>
    <xf numFmtId="0" fontId="5" fillId="0" borderId="0" xfId="0" applyFont="1"/>
    <xf numFmtId="191" fontId="5" fillId="61" borderId="4" xfId="0" applyNumberFormat="1" applyFont="1" applyFill="1" applyBorder="1" applyAlignment="1" applyProtection="1">
      <alignment horizontal="center"/>
    </xf>
    <xf numFmtId="0" fontId="7" fillId="61" borderId="269" xfId="0" applyFont="1" applyFill="1" applyBorder="1"/>
    <xf numFmtId="0" fontId="10" fillId="5" borderId="316" xfId="0" applyFont="1" applyFill="1" applyBorder="1" applyAlignment="1" applyProtection="1">
      <alignment horizontal="right" vertical="center"/>
    </xf>
    <xf numFmtId="0" fontId="10" fillId="5" borderId="317" xfId="0" applyFont="1" applyFill="1" applyBorder="1" applyAlignment="1" applyProtection="1">
      <alignment horizontal="right" vertical="center"/>
    </xf>
    <xf numFmtId="0" fontId="10" fillId="5" borderId="318" xfId="0" applyFont="1" applyFill="1" applyBorder="1" applyAlignment="1" applyProtection="1">
      <alignment horizontal="right" vertical="center"/>
    </xf>
    <xf numFmtId="186" fontId="10" fillId="5" borderId="26" xfId="0" applyNumberFormat="1" applyFont="1" applyFill="1" applyBorder="1" applyAlignment="1" applyProtection="1"/>
    <xf numFmtId="0" fontId="4" fillId="0" borderId="33" xfId="0" applyFont="1" applyBorder="1" applyAlignment="1" applyProtection="1">
      <alignment horizontal="left" vertical="center" wrapText="1" indent="3"/>
    </xf>
    <xf numFmtId="0" fontId="4" fillId="0" borderId="33" xfId="0" applyFont="1" applyBorder="1" applyAlignment="1" applyProtection="1">
      <alignment horizontal="left" vertical="center" wrapText="1" indent="1"/>
    </xf>
    <xf numFmtId="186" fontId="10" fillId="5" borderId="321" xfId="0" applyNumberFormat="1" applyFont="1" applyFill="1" applyBorder="1" applyAlignment="1" applyProtection="1"/>
    <xf numFmtId="186" fontId="4" fillId="61" borderId="321" xfId="0" applyNumberFormat="1" applyFont="1" applyFill="1" applyBorder="1" applyAlignment="1" applyProtection="1">
      <alignment vertical="center" wrapText="1"/>
      <protection locked="0"/>
    </xf>
    <xf numFmtId="0" fontId="10" fillId="5" borderId="321" xfId="0" applyFont="1" applyFill="1" applyBorder="1" applyAlignment="1" applyProtection="1">
      <alignment vertical="center"/>
    </xf>
    <xf numFmtId="186" fontId="4" fillId="61" borderId="327" xfId="0" applyNumberFormat="1" applyFont="1" applyFill="1" applyBorder="1" applyAlignment="1" applyProtection="1">
      <alignment vertical="center" wrapText="1"/>
      <protection locked="0"/>
    </xf>
    <xf numFmtId="0" fontId="10" fillId="5" borderId="27" xfId="0" applyFont="1" applyFill="1" applyBorder="1" applyAlignment="1" applyProtection="1">
      <alignment vertical="center"/>
    </xf>
    <xf numFmtId="186" fontId="4" fillId="61" borderId="27" xfId="0" applyNumberFormat="1" applyFont="1" applyFill="1" applyBorder="1" applyAlignment="1" applyProtection="1">
      <alignment vertical="center" wrapText="1"/>
      <protection locked="0"/>
    </xf>
    <xf numFmtId="0" fontId="10" fillId="7" borderId="328" xfId="0" applyFont="1" applyFill="1" applyBorder="1" applyAlignment="1" applyProtection="1">
      <alignment horizontal="right" vertical="center"/>
    </xf>
    <xf numFmtId="0" fontId="10" fillId="7" borderId="329" xfId="0" applyFont="1" applyFill="1" applyBorder="1" applyAlignment="1" applyProtection="1">
      <alignment horizontal="right" vertical="center"/>
    </xf>
    <xf numFmtId="186" fontId="10" fillId="5" borderId="27" xfId="0" applyNumberFormat="1" applyFont="1" applyFill="1" applyBorder="1" applyAlignment="1" applyProtection="1"/>
    <xf numFmtId="2" fontId="10" fillId="5" borderId="8" xfId="0" applyNumberFormat="1" applyFont="1" applyFill="1" applyBorder="1" applyAlignment="1" applyProtection="1"/>
    <xf numFmtId="186" fontId="4" fillId="19" borderId="319" xfId="0" applyNumberFormat="1" applyFont="1" applyFill="1" applyBorder="1" applyAlignment="1" applyProtection="1">
      <alignment vertical="center" wrapText="1"/>
      <protection locked="0"/>
    </xf>
    <xf numFmtId="186" fontId="4" fillId="19" borderId="320" xfId="0" applyNumberFormat="1" applyFont="1" applyFill="1" applyBorder="1" applyAlignment="1" applyProtection="1">
      <alignment vertical="center" wrapText="1"/>
      <protection locked="0"/>
    </xf>
    <xf numFmtId="186" fontId="4" fillId="19" borderId="321" xfId="0" applyNumberFormat="1" applyFont="1" applyFill="1" applyBorder="1" applyAlignment="1" applyProtection="1">
      <alignment vertical="center" wrapText="1"/>
      <protection locked="0"/>
    </xf>
    <xf numFmtId="186" fontId="4" fillId="19" borderId="26" xfId="0" applyNumberFormat="1" applyFont="1" applyFill="1" applyBorder="1" applyAlignment="1" applyProtection="1">
      <alignment vertical="center" wrapText="1"/>
      <protection locked="0"/>
    </xf>
    <xf numFmtId="186" fontId="4" fillId="19" borderId="37" xfId="0" applyNumberFormat="1" applyFont="1" applyFill="1" applyBorder="1" applyAlignment="1" applyProtection="1">
      <alignment vertical="center" wrapText="1"/>
      <protection locked="0"/>
    </xf>
    <xf numFmtId="186" fontId="4" fillId="6" borderId="332" xfId="1" applyNumberFormat="1" applyFont="1" applyFill="1" applyBorder="1" applyAlignment="1" applyProtection="1">
      <alignment horizontal="right" wrapText="1"/>
    </xf>
    <xf numFmtId="186" fontId="4" fillId="6" borderId="331" xfId="1" applyNumberFormat="1" applyFont="1" applyFill="1" applyBorder="1" applyAlignment="1" applyProtection="1">
      <alignment horizontal="right" wrapText="1"/>
    </xf>
    <xf numFmtId="186" fontId="10" fillId="76" borderId="206" xfId="1" applyNumberFormat="1" applyFont="1" applyFill="1" applyBorder="1" applyAlignment="1" applyProtection="1">
      <alignment horizontal="right" wrapText="1"/>
    </xf>
    <xf numFmtId="190" fontId="4" fillId="6" borderId="332" xfId="0" applyNumberFormat="1" applyFont="1" applyFill="1" applyBorder="1" applyAlignment="1" applyProtection="1">
      <alignment horizontal="right" vertical="center"/>
    </xf>
    <xf numFmtId="190" fontId="4" fillId="6" borderId="331" xfId="0" applyNumberFormat="1" applyFont="1" applyFill="1" applyBorder="1" applyAlignment="1" applyProtection="1">
      <alignment horizontal="right" vertical="center"/>
    </xf>
    <xf numFmtId="195" fontId="0" fillId="0" borderId="0" xfId="0" applyNumberFormat="1" applyAlignment="1">
      <alignment vertical="center"/>
    </xf>
    <xf numFmtId="196" fontId="0" fillId="0" borderId="0" xfId="0" applyNumberFormat="1" applyAlignment="1">
      <alignment vertical="center"/>
    </xf>
    <xf numFmtId="186" fontId="4" fillId="19" borderId="333" xfId="0" applyNumberFormat="1" applyFont="1" applyFill="1" applyBorder="1" applyAlignment="1" applyProtection="1">
      <alignment vertical="center" wrapText="1"/>
      <protection locked="0"/>
    </xf>
    <xf numFmtId="186" fontId="4" fillId="61" borderId="38" xfId="0" applyNumberFormat="1" applyFont="1" applyFill="1" applyBorder="1" applyAlignment="1" applyProtection="1">
      <alignment vertical="center" wrapText="1"/>
      <protection locked="0"/>
    </xf>
    <xf numFmtId="0" fontId="4" fillId="0" borderId="179" xfId="0" applyFont="1" applyBorder="1" applyAlignment="1" applyProtection="1">
      <alignment horizontal="left" vertical="center" wrapText="1" indent="1"/>
    </xf>
    <xf numFmtId="186" fontId="4" fillId="61" borderId="333" xfId="0" applyNumberFormat="1" applyFont="1" applyFill="1" applyBorder="1" applyAlignment="1" applyProtection="1">
      <alignment vertical="center" wrapText="1"/>
      <protection locked="0"/>
    </xf>
    <xf numFmtId="186" fontId="4" fillId="61" borderId="37" xfId="0" applyNumberFormat="1" applyFont="1" applyFill="1" applyBorder="1" applyAlignment="1" applyProtection="1">
      <alignment vertical="center" wrapText="1"/>
      <protection locked="0"/>
    </xf>
    <xf numFmtId="0" fontId="10" fillId="76" borderId="112" xfId="0" applyFont="1" applyFill="1" applyBorder="1" applyAlignment="1" applyProtection="1">
      <alignment horizontal="right" vertical="center" wrapText="1" indent="1"/>
    </xf>
    <xf numFmtId="186" fontId="10" fillId="76" borderId="267" xfId="1" applyNumberFormat="1" applyFont="1" applyFill="1" applyBorder="1" applyAlignment="1" applyProtection="1">
      <alignment horizontal="right" wrapText="1"/>
    </xf>
    <xf numFmtId="186" fontId="10" fillId="76" borderId="249" xfId="1" applyNumberFormat="1" applyFont="1" applyFill="1" applyBorder="1" applyAlignment="1" applyProtection="1">
      <alignment horizontal="right" wrapText="1"/>
    </xf>
    <xf numFmtId="186" fontId="4" fillId="6" borderId="335" xfId="1" applyNumberFormat="1" applyFont="1" applyFill="1" applyBorder="1" applyAlignment="1" applyProtection="1">
      <alignment horizontal="right" vertical="center" wrapText="1"/>
    </xf>
    <xf numFmtId="0" fontId="10" fillId="5" borderId="112" xfId="0" applyFont="1" applyFill="1" applyBorder="1" applyAlignment="1" applyProtection="1">
      <alignment horizontal="right" vertical="center"/>
    </xf>
    <xf numFmtId="188" fontId="4" fillId="6" borderId="335" xfId="0" applyNumberFormat="1" applyFont="1" applyFill="1" applyBorder="1" applyAlignment="1" applyProtection="1">
      <alignment horizontal="right" vertical="center"/>
    </xf>
    <xf numFmtId="188" fontId="4" fillId="6" borderId="16" xfId="0" applyNumberFormat="1" applyFont="1" applyFill="1" applyBorder="1" applyAlignment="1" applyProtection="1">
      <alignment horizontal="right" vertical="center"/>
    </xf>
    <xf numFmtId="188" fontId="4" fillId="6" borderId="204" xfId="0" applyNumberFormat="1" applyFont="1" applyFill="1" applyBorder="1" applyAlignment="1" applyProtection="1">
      <alignment horizontal="right" vertical="center"/>
    </xf>
    <xf numFmtId="188" fontId="4" fillId="6" borderId="209" xfId="0" applyNumberFormat="1" applyFont="1" applyFill="1" applyBorder="1" applyAlignment="1" applyProtection="1">
      <alignment horizontal="right" vertical="center"/>
    </xf>
    <xf numFmtId="187" fontId="10" fillId="5" borderId="8" xfId="0" applyNumberFormat="1" applyFont="1" applyFill="1" applyBorder="1" applyAlignment="1" applyProtection="1">
      <alignment horizontal="left"/>
    </xf>
    <xf numFmtId="0" fontId="10" fillId="5" borderId="267" xfId="0" applyFont="1" applyFill="1" applyBorder="1" applyAlignment="1" applyProtection="1">
      <alignment horizontal="right" vertical="center"/>
    </xf>
    <xf numFmtId="0" fontId="10" fillId="7" borderId="267" xfId="0" applyFont="1" applyFill="1" applyBorder="1" applyAlignment="1" applyProtection="1">
      <alignment horizontal="right" vertical="center"/>
    </xf>
    <xf numFmtId="0" fontId="10" fillId="7" borderId="249" xfId="0" applyFont="1" applyFill="1" applyBorder="1" applyAlignment="1" applyProtection="1">
      <alignment horizontal="right" vertical="center"/>
    </xf>
    <xf numFmtId="186" fontId="4" fillId="6" borderId="16" xfId="1" applyNumberFormat="1" applyFont="1" applyFill="1" applyBorder="1" applyAlignment="1" applyProtection="1">
      <alignment horizontal="right" vertical="center" wrapText="1"/>
    </xf>
    <xf numFmtId="186" fontId="4" fillId="6" borderId="204" xfId="1" applyNumberFormat="1" applyFont="1" applyFill="1" applyBorder="1" applyAlignment="1" applyProtection="1">
      <alignment horizontal="right" vertical="center" wrapText="1"/>
    </xf>
    <xf numFmtId="186" fontId="4" fillId="6" borderId="210" xfId="1" applyNumberFormat="1" applyFont="1" applyFill="1" applyBorder="1" applyAlignment="1" applyProtection="1">
      <alignment horizontal="right" vertical="center" wrapText="1"/>
    </xf>
    <xf numFmtId="0" fontId="148" fillId="0" borderId="15" xfId="0" applyFont="1" applyBorder="1"/>
    <xf numFmtId="0" fontId="3" fillId="61" borderId="15" xfId="0" applyFont="1" applyFill="1" applyBorder="1"/>
    <xf numFmtId="0" fontId="4" fillId="88" borderId="0" xfId="0" quotePrefix="1" applyFont="1" applyFill="1" applyBorder="1" applyAlignment="1" applyProtection="1">
      <alignment horizontal="center" vertical="center"/>
    </xf>
    <xf numFmtId="186" fontId="10" fillId="5" borderId="333" xfId="0" applyNumberFormat="1" applyFont="1" applyFill="1" applyBorder="1" applyAlignment="1" applyProtection="1"/>
    <xf numFmtId="186" fontId="10" fillId="5" borderId="37" xfId="0" applyNumberFormat="1" applyFont="1" applyFill="1" applyBorder="1" applyAlignment="1" applyProtection="1"/>
    <xf numFmtId="186" fontId="10" fillId="5" borderId="38" xfId="0" applyNumberFormat="1" applyFont="1" applyFill="1" applyBorder="1" applyAlignment="1" applyProtection="1"/>
    <xf numFmtId="186" fontId="4" fillId="61" borderId="336" xfId="0" applyNumberFormat="1" applyFont="1" applyFill="1" applyBorder="1" applyAlignment="1" applyProtection="1">
      <alignment vertical="center" wrapText="1"/>
      <protection locked="0"/>
    </xf>
    <xf numFmtId="186" fontId="4" fillId="61" borderId="62" xfId="0" applyNumberFormat="1" applyFont="1" applyFill="1" applyBorder="1" applyAlignment="1" applyProtection="1">
      <alignment vertical="center" wrapText="1"/>
      <protection locked="0"/>
    </xf>
    <xf numFmtId="0" fontId="10" fillId="7" borderId="337" xfId="0" applyFont="1" applyFill="1" applyBorder="1" applyAlignment="1" applyProtection="1">
      <alignment horizontal="right" vertical="center"/>
    </xf>
    <xf numFmtId="0" fontId="10" fillId="7" borderId="239" xfId="0" applyFont="1" applyFill="1" applyBorder="1" applyAlignment="1" applyProtection="1">
      <alignment horizontal="right" vertical="center"/>
    </xf>
    <xf numFmtId="0" fontId="10" fillId="7" borderId="338" xfId="0" applyFont="1" applyFill="1" applyBorder="1" applyAlignment="1" applyProtection="1">
      <alignment horizontal="right" vertical="center"/>
    </xf>
    <xf numFmtId="186" fontId="4" fillId="61" borderId="21" xfId="0" applyNumberFormat="1" applyFont="1" applyFill="1" applyBorder="1" applyAlignment="1" applyProtection="1">
      <alignment vertical="center" wrapText="1"/>
      <protection locked="0"/>
    </xf>
    <xf numFmtId="186" fontId="4" fillId="61" borderId="339" xfId="0" applyNumberFormat="1" applyFont="1" applyFill="1" applyBorder="1" applyAlignment="1" applyProtection="1">
      <alignment vertical="center" wrapText="1"/>
      <protection locked="0"/>
    </xf>
    <xf numFmtId="186" fontId="4" fillId="61" borderId="271" xfId="0" applyNumberFormat="1" applyFont="1" applyFill="1" applyBorder="1" applyAlignment="1" applyProtection="1">
      <alignment vertical="center" wrapText="1"/>
      <protection locked="0"/>
    </xf>
    <xf numFmtId="186" fontId="4" fillId="61" borderId="340" xfId="0" applyNumberFormat="1" applyFont="1" applyFill="1" applyBorder="1" applyAlignment="1" applyProtection="1">
      <alignment vertical="center" wrapText="1"/>
      <protection locked="0"/>
    </xf>
    <xf numFmtId="186" fontId="4" fillId="61" borderId="341" xfId="0" applyNumberFormat="1" applyFont="1" applyFill="1" applyBorder="1" applyAlignment="1" applyProtection="1">
      <alignment vertical="center" wrapText="1"/>
      <protection locked="0"/>
    </xf>
    <xf numFmtId="186" fontId="4" fillId="61" borderId="342" xfId="0" applyNumberFormat="1" applyFont="1" applyFill="1" applyBorder="1" applyAlignment="1" applyProtection="1">
      <alignment vertical="center" wrapText="1"/>
      <protection locked="0"/>
    </xf>
    <xf numFmtId="186" fontId="4" fillId="5" borderId="344" xfId="0" applyNumberFormat="1" applyFont="1" applyFill="1" applyBorder="1" applyAlignment="1" applyProtection="1">
      <alignment vertical="center" wrapText="1"/>
    </xf>
    <xf numFmtId="2" fontId="4" fillId="6" borderId="211" xfId="1" applyNumberFormat="1" applyFont="1" applyFill="1" applyBorder="1" applyAlignment="1" applyProtection="1">
      <alignment horizontal="right" vertical="center" wrapText="1"/>
    </xf>
    <xf numFmtId="10" fontId="4" fillId="6" borderId="343" xfId="1" applyNumberFormat="1" applyFont="1" applyFill="1" applyBorder="1" applyAlignment="1" applyProtection="1">
      <alignment horizontal="right" vertical="center" wrapText="1"/>
    </xf>
    <xf numFmtId="186" fontId="4" fillId="0" borderId="165" xfId="0" applyNumberFormat="1" applyFont="1" applyFill="1" applyBorder="1" applyAlignment="1" applyProtection="1">
      <alignment vertical="center"/>
    </xf>
    <xf numFmtId="186" fontId="4" fillId="0" borderId="165" xfId="0" applyNumberFormat="1" applyFont="1" applyFill="1" applyBorder="1" applyAlignment="1" applyProtection="1">
      <alignment horizontal="right" vertical="center" wrapText="1"/>
    </xf>
    <xf numFmtId="186" fontId="4" fillId="0" borderId="165" xfId="0" applyNumberFormat="1" applyFont="1" applyFill="1" applyBorder="1" applyAlignment="1" applyProtection="1">
      <alignment vertical="center" wrapText="1"/>
    </xf>
    <xf numFmtId="10" fontId="4" fillId="0" borderId="0" xfId="1" applyNumberFormat="1" applyFont="1" applyFill="1" applyBorder="1" applyAlignment="1" applyProtection="1">
      <alignment horizontal="right" vertical="center" wrapText="1"/>
    </xf>
    <xf numFmtId="10" fontId="0" fillId="0" borderId="345" xfId="1" applyNumberFormat="1" applyFont="1" applyFill="1" applyBorder="1" applyProtection="1"/>
    <xf numFmtId="2" fontId="4" fillId="0" borderId="211" xfId="1" applyNumberFormat="1" applyFont="1" applyFill="1" applyBorder="1" applyAlignment="1" applyProtection="1">
      <alignment horizontal="right" vertical="center" wrapText="1"/>
    </xf>
    <xf numFmtId="2" fontId="4" fillId="0" borderId="244" xfId="1" applyNumberFormat="1" applyFont="1" applyFill="1" applyBorder="1" applyAlignment="1" applyProtection="1">
      <alignment horizontal="right" vertical="center" wrapText="1"/>
    </xf>
    <xf numFmtId="43" fontId="150" fillId="5" borderId="8" xfId="734" applyNumberFormat="1" applyFill="1" applyBorder="1" applyAlignment="1">
      <alignment horizontal="right"/>
    </xf>
    <xf numFmtId="2" fontId="10" fillId="5" borderId="346" xfId="0" applyNumberFormat="1" applyFont="1" applyFill="1" applyBorder="1" applyAlignment="1" applyProtection="1"/>
    <xf numFmtId="0" fontId="10" fillId="76" borderId="216" xfId="0" applyFont="1" applyFill="1" applyBorder="1" applyAlignment="1" applyProtection="1">
      <alignment horizontal="right" wrapText="1"/>
    </xf>
    <xf numFmtId="186" fontId="4" fillId="6" borderId="347" xfId="1" applyNumberFormat="1" applyFont="1" applyFill="1" applyBorder="1" applyAlignment="1" applyProtection="1">
      <alignment horizontal="right" vertical="center" wrapText="1"/>
    </xf>
    <xf numFmtId="43" fontId="10" fillId="5" borderId="31" xfId="0" applyNumberFormat="1" applyFont="1" applyFill="1" applyBorder="1" applyAlignment="1" applyProtection="1">
      <alignment horizontal="left"/>
    </xf>
    <xf numFmtId="186" fontId="4" fillId="6" borderId="31" xfId="1" applyNumberFormat="1" applyFont="1" applyFill="1" applyBorder="1" applyAlignment="1" applyProtection="1">
      <alignment horizontal="right" wrapText="1"/>
    </xf>
    <xf numFmtId="186" fontId="4" fillId="6" borderId="168" xfId="1" applyNumberFormat="1" applyFont="1" applyFill="1" applyBorder="1" applyAlignment="1" applyProtection="1">
      <alignment horizontal="right" wrapText="1"/>
    </xf>
    <xf numFmtId="188" fontId="4" fillId="6" borderId="224" xfId="0" applyNumberFormat="1" applyFont="1" applyFill="1" applyBorder="1" applyAlignment="1" applyProtection="1">
      <alignment horizontal="right" vertical="center"/>
    </xf>
    <xf numFmtId="190" fontId="4" fillId="6" borderId="31" xfId="0" applyNumberFormat="1" applyFont="1" applyFill="1" applyBorder="1" applyAlignment="1" applyProtection="1">
      <alignment horizontal="right" vertical="center"/>
    </xf>
    <xf numFmtId="0" fontId="0" fillId="0" borderId="1" xfId="0" applyBorder="1"/>
    <xf numFmtId="0" fontId="0" fillId="0" borderId="7" xfId="0" applyBorder="1"/>
    <xf numFmtId="186" fontId="4" fillId="61" borderId="348" xfId="0" applyNumberFormat="1" applyFont="1" applyFill="1" applyBorder="1" applyAlignment="1" applyProtection="1">
      <alignment vertical="center" wrapText="1"/>
      <protection locked="0"/>
    </xf>
    <xf numFmtId="0" fontId="10" fillId="5" borderId="252" xfId="0" applyFont="1" applyFill="1" applyBorder="1" applyAlignment="1" applyProtection="1">
      <alignment vertical="center"/>
    </xf>
    <xf numFmtId="186" fontId="4" fillId="61" borderId="146" xfId="0" applyNumberFormat="1" applyFont="1" applyFill="1" applyBorder="1" applyAlignment="1" applyProtection="1">
      <alignment vertical="center" wrapText="1"/>
      <protection locked="0"/>
    </xf>
    <xf numFmtId="186" fontId="4" fillId="61" borderId="241" xfId="0" applyNumberFormat="1" applyFont="1" applyFill="1" applyBorder="1" applyAlignment="1" applyProtection="1">
      <alignment vertical="center" wrapText="1"/>
      <protection locked="0"/>
    </xf>
    <xf numFmtId="0" fontId="67" fillId="5" borderId="45" xfId="0" applyFont="1" applyFill="1" applyBorder="1" applyAlignment="1" applyProtection="1">
      <alignment horizontal="left" vertical="center"/>
    </xf>
    <xf numFmtId="186" fontId="4" fillId="0" borderId="349" xfId="0" applyNumberFormat="1" applyFont="1" applyFill="1" applyBorder="1" applyAlignment="1" applyProtection="1">
      <alignment horizontal="right" vertical="center" wrapText="1"/>
    </xf>
    <xf numFmtId="0" fontId="24" fillId="83" borderId="0" xfId="2" applyFont="1" applyFill="1" applyAlignment="1" applyProtection="1">
      <alignment horizontal="center" vertical="top" wrapText="1"/>
    </xf>
    <xf numFmtId="0" fontId="9" fillId="5" borderId="0" xfId="706" applyFont="1" applyFill="1" applyAlignment="1">
      <alignment horizontal="center"/>
    </xf>
    <xf numFmtId="0" fontId="10" fillId="7" borderId="1" xfId="706" applyFont="1" applyFill="1" applyBorder="1" applyAlignment="1">
      <alignment horizontal="center"/>
    </xf>
    <xf numFmtId="0" fontId="10" fillId="7" borderId="2" xfId="706" applyFont="1" applyFill="1" applyBorder="1" applyAlignment="1">
      <alignment horizontal="center"/>
    </xf>
    <xf numFmtId="0" fontId="3" fillId="4" borderId="1" xfId="706" applyFont="1" applyFill="1" applyBorder="1" applyAlignment="1">
      <alignment horizontal="center"/>
    </xf>
    <xf numFmtId="0" fontId="3" fillId="4" borderId="2" xfId="706" applyFont="1" applyFill="1" applyBorder="1" applyAlignment="1">
      <alignment horizontal="center"/>
    </xf>
    <xf numFmtId="0" fontId="3" fillId="4" borderId="3" xfId="706" applyFont="1" applyFill="1" applyBorder="1" applyAlignment="1">
      <alignment horizontal="center"/>
    </xf>
    <xf numFmtId="0" fontId="10" fillId="15" borderId="257" xfId="2" applyFont="1" applyFill="1" applyBorder="1" applyAlignment="1">
      <alignment horizontal="center" vertical="center"/>
    </xf>
    <xf numFmtId="0" fontId="10" fillId="15" borderId="258" xfId="2" applyFont="1" applyFill="1" applyBorder="1" applyAlignment="1">
      <alignment horizontal="center" vertical="center"/>
    </xf>
    <xf numFmtId="0" fontId="10" fillId="15" borderId="259" xfId="2" applyFont="1" applyFill="1" applyBorder="1" applyAlignment="1">
      <alignment horizontal="center" vertical="center"/>
    </xf>
    <xf numFmtId="0" fontId="10" fillId="15" borderId="43" xfId="2" applyFont="1" applyFill="1" applyBorder="1" applyAlignment="1">
      <alignment horizontal="center" vertical="center"/>
    </xf>
    <xf numFmtId="0" fontId="10" fillId="15" borderId="44" xfId="2" applyFont="1" applyFill="1" applyBorder="1" applyAlignment="1">
      <alignment horizontal="center" vertical="center"/>
    </xf>
    <xf numFmtId="0" fontId="10" fillId="15" borderId="45" xfId="2" applyFont="1" applyFill="1" applyBorder="1" applyAlignment="1">
      <alignment horizontal="center" vertical="center"/>
    </xf>
    <xf numFmtId="0" fontId="10" fillId="13" borderId="5" xfId="2" applyFont="1" applyFill="1" applyBorder="1" applyAlignment="1">
      <alignment horizontal="center" vertical="center"/>
    </xf>
    <xf numFmtId="0" fontId="10" fillId="17" borderId="46" xfId="2" applyFont="1" applyFill="1" applyBorder="1" applyAlignment="1">
      <alignment horizontal="center" vertical="center"/>
    </xf>
    <xf numFmtId="0" fontId="10" fillId="17" borderId="47" xfId="2" applyFont="1" applyFill="1" applyBorder="1" applyAlignment="1">
      <alignment horizontal="center" vertical="center"/>
    </xf>
    <xf numFmtId="0" fontId="10" fillId="17" borderId="48" xfId="2" applyFont="1" applyFill="1" applyBorder="1" applyAlignment="1">
      <alignment horizontal="center" vertical="center"/>
    </xf>
    <xf numFmtId="0" fontId="10" fillId="17" borderId="260" xfId="2" applyFont="1" applyFill="1" applyBorder="1" applyAlignment="1">
      <alignment horizontal="center"/>
    </xf>
    <xf numFmtId="0" fontId="10" fillId="17" borderId="5" xfId="2" applyFont="1" applyFill="1" applyBorder="1" applyAlignment="1">
      <alignment horizontal="center"/>
    </xf>
    <xf numFmtId="0" fontId="10" fillId="17" borderId="261" xfId="2" applyFont="1" applyFill="1" applyBorder="1" applyAlignment="1">
      <alignment horizontal="center"/>
    </xf>
    <xf numFmtId="0" fontId="4" fillId="8" borderId="86" xfId="2" applyFont="1" applyFill="1" applyBorder="1" applyAlignment="1">
      <alignment vertical="center" wrapText="1"/>
    </xf>
    <xf numFmtId="0" fontId="4" fillId="8" borderId="87" xfId="2" applyFont="1" applyFill="1" applyBorder="1" applyAlignment="1">
      <alignment vertical="center" wrapText="1"/>
    </xf>
    <xf numFmtId="0" fontId="10" fillId="17" borderId="88" xfId="2" applyFont="1" applyFill="1" applyBorder="1" applyAlignment="1">
      <alignment horizontal="center" vertical="center"/>
    </xf>
    <xf numFmtId="0" fontId="10" fillId="17" borderId="44" xfId="2" applyFont="1" applyFill="1" applyBorder="1" applyAlignment="1">
      <alignment horizontal="center" vertical="center"/>
    </xf>
    <xf numFmtId="0" fontId="10" fillId="17" borderId="45" xfId="2" applyFont="1" applyFill="1" applyBorder="1" applyAlignment="1">
      <alignment horizontal="center" vertical="center"/>
    </xf>
    <xf numFmtId="0" fontId="4" fillId="6" borderId="56" xfId="5" applyFill="1" applyBorder="1" applyAlignment="1" applyProtection="1">
      <alignment vertical="center"/>
    </xf>
    <xf numFmtId="0" fontId="4" fillId="6" borderId="7" xfId="5" applyFill="1" applyBorder="1" applyAlignment="1" applyProtection="1">
      <alignment vertical="center"/>
    </xf>
    <xf numFmtId="0" fontId="4" fillId="6" borderId="69" xfId="5" applyFill="1" applyBorder="1" applyAlignment="1" applyProtection="1">
      <alignment vertical="center"/>
    </xf>
    <xf numFmtId="0" fontId="4" fillId="0" borderId="128" xfId="3" applyFont="1" applyFill="1" applyBorder="1" applyAlignment="1">
      <alignment horizontal="left" vertical="top" wrapText="1"/>
    </xf>
    <xf numFmtId="0" fontId="4" fillId="0" borderId="0" xfId="3" applyFont="1" applyFill="1" applyBorder="1" applyAlignment="1">
      <alignment horizontal="left" vertical="top" wrapText="1"/>
    </xf>
    <xf numFmtId="0" fontId="4" fillId="0" borderId="5" xfId="3" applyFont="1" applyFill="1" applyBorder="1" applyAlignment="1">
      <alignment horizontal="left" vertical="top" wrapText="1"/>
    </xf>
    <xf numFmtId="0" fontId="7" fillId="22" borderId="43" xfId="2" applyFont="1" applyFill="1" applyBorder="1" applyAlignment="1" applyProtection="1">
      <alignment horizontal="left" vertical="top" wrapText="1"/>
    </xf>
    <xf numFmtId="0" fontId="7" fillId="22" borderId="44" xfId="2" applyFont="1" applyFill="1" applyBorder="1" applyAlignment="1" applyProtection="1">
      <alignment horizontal="left" vertical="top" wrapText="1"/>
    </xf>
    <xf numFmtId="0" fontId="7" fillId="22" borderId="45" xfId="2" applyFont="1" applyFill="1" applyBorder="1" applyAlignment="1" applyProtection="1">
      <alignment horizontal="left" vertical="top" wrapText="1"/>
    </xf>
    <xf numFmtId="0" fontId="4" fillId="58" borderId="0" xfId="5" applyFont="1" applyFill="1" applyBorder="1" applyAlignment="1" applyProtection="1">
      <alignment vertical="center" wrapText="1"/>
    </xf>
    <xf numFmtId="0" fontId="90" fillId="58" borderId="0" xfId="5" applyFont="1" applyFill="1" applyBorder="1" applyAlignment="1" applyProtection="1">
      <alignment vertical="center" wrapText="1"/>
    </xf>
    <xf numFmtId="0" fontId="91" fillId="73" borderId="1" xfId="5" applyFont="1" applyFill="1" applyBorder="1" applyAlignment="1" applyProtection="1">
      <alignment horizontal="center"/>
    </xf>
    <xf numFmtId="0" fontId="91" fillId="73" borderId="2" xfId="5" applyFont="1" applyFill="1" applyBorder="1" applyAlignment="1" applyProtection="1">
      <alignment horizontal="center"/>
    </xf>
    <xf numFmtId="0" fontId="91" fillId="73" borderId="3" xfId="5" applyFont="1" applyFill="1" applyBorder="1" applyAlignment="1" applyProtection="1">
      <alignment horizontal="center"/>
    </xf>
    <xf numFmtId="0" fontId="4" fillId="61" borderId="49" xfId="5" applyFont="1" applyFill="1" applyBorder="1" applyAlignment="1" applyProtection="1">
      <alignment horizontal="left"/>
      <protection locked="0"/>
    </xf>
    <xf numFmtId="0" fontId="4" fillId="61" borderId="172" xfId="5" applyFont="1" applyFill="1" applyBorder="1" applyAlignment="1" applyProtection="1">
      <alignment horizontal="left"/>
      <protection locked="0"/>
    </xf>
    <xf numFmtId="164" fontId="4" fillId="5" borderId="173" xfId="5" applyNumberFormat="1" applyFont="1" applyFill="1" applyBorder="1" applyAlignment="1" applyProtection="1">
      <alignment horizontal="left"/>
    </xf>
    <xf numFmtId="0" fontId="96" fillId="73" borderId="0" xfId="5" applyFont="1" applyFill="1" applyBorder="1" applyAlignment="1" applyProtection="1">
      <alignment horizontal="right" indent="1"/>
    </xf>
    <xf numFmtId="0" fontId="96" fillId="73" borderId="162" xfId="5" applyFont="1" applyFill="1" applyBorder="1" applyAlignment="1" applyProtection="1">
      <alignment horizontal="right" indent="1"/>
    </xf>
    <xf numFmtId="0" fontId="4" fillId="61" borderId="271" xfId="5" applyFont="1" applyFill="1" applyBorder="1" applyAlignment="1" applyProtection="1">
      <alignment horizontal="left"/>
      <protection locked="0"/>
    </xf>
    <xf numFmtId="0" fontId="4" fillId="61" borderId="272" xfId="5" applyFont="1" applyFill="1" applyBorder="1" applyAlignment="1" applyProtection="1">
      <alignment horizontal="left"/>
      <protection locked="0"/>
    </xf>
    <xf numFmtId="0" fontId="4" fillId="61" borderId="273" xfId="5" applyFont="1" applyFill="1" applyBorder="1" applyAlignment="1" applyProtection="1">
      <alignment horizontal="left"/>
      <protection locked="0"/>
    </xf>
    <xf numFmtId="0" fontId="4" fillId="61" borderId="43" xfId="5" applyFont="1" applyFill="1" applyBorder="1" applyAlignment="1" applyProtection="1">
      <alignment horizontal="left" vertical="top" wrapText="1"/>
      <protection locked="0"/>
    </xf>
    <xf numFmtId="0" fontId="4" fillId="61" borderId="44" xfId="5" applyFont="1" applyFill="1" applyBorder="1" applyAlignment="1" applyProtection="1">
      <alignment horizontal="left" vertical="top"/>
      <protection locked="0"/>
    </xf>
    <xf numFmtId="0" fontId="4" fillId="61" borderId="45" xfId="5" applyFont="1" applyFill="1" applyBorder="1" applyAlignment="1" applyProtection="1">
      <alignment horizontal="left" vertical="top"/>
      <protection locked="0"/>
    </xf>
    <xf numFmtId="0" fontId="4" fillId="61" borderId="175" xfId="5" applyFont="1" applyFill="1" applyBorder="1" applyAlignment="1" applyProtection="1">
      <alignment horizontal="left"/>
      <protection locked="0"/>
    </xf>
    <xf numFmtId="0" fontId="4" fillId="61" borderId="274" xfId="5" applyFont="1" applyFill="1" applyBorder="1" applyAlignment="1" applyProtection="1">
      <alignment horizontal="left"/>
      <protection locked="0"/>
    </xf>
    <xf numFmtId="0" fontId="4" fillId="61" borderId="181" xfId="5" applyFont="1" applyFill="1" applyBorder="1" applyAlignment="1" applyProtection="1">
      <alignment horizontal="left"/>
      <protection locked="0"/>
    </xf>
    <xf numFmtId="0" fontId="4" fillId="61" borderId="275" xfId="5" applyFont="1" applyFill="1" applyBorder="1" applyAlignment="1" applyProtection="1">
      <alignment horizontal="left"/>
      <protection locked="0"/>
    </xf>
    <xf numFmtId="0" fontId="4" fillId="61" borderId="276" xfId="5" applyFont="1" applyFill="1" applyBorder="1" applyAlignment="1" applyProtection="1">
      <alignment horizontal="left"/>
      <protection locked="0"/>
    </xf>
    <xf numFmtId="0" fontId="4" fillId="61" borderId="277" xfId="5" applyFont="1" applyFill="1" applyBorder="1" applyAlignment="1" applyProtection="1">
      <alignment horizontal="left"/>
      <protection locked="0"/>
    </xf>
    <xf numFmtId="0" fontId="4" fillId="61" borderId="278" xfId="5" applyFont="1" applyFill="1" applyBorder="1" applyAlignment="1" applyProtection="1">
      <alignment horizontal="left"/>
      <protection locked="0"/>
    </xf>
    <xf numFmtId="0" fontId="91" fillId="73" borderId="1" xfId="710" applyFont="1" applyFill="1" applyBorder="1" applyAlignment="1" applyProtection="1">
      <alignment horizontal="center"/>
      <protection locked="0"/>
    </xf>
    <xf numFmtId="0" fontId="91" fillId="73" borderId="2" xfId="710" applyFont="1" applyFill="1" applyBorder="1" applyAlignment="1" applyProtection="1">
      <alignment horizontal="center"/>
      <protection locked="0"/>
    </xf>
    <xf numFmtId="0" fontId="91" fillId="73" borderId="3" xfId="710" applyFont="1" applyFill="1" applyBorder="1" applyAlignment="1" applyProtection="1">
      <alignment horizontal="center"/>
      <protection locked="0"/>
    </xf>
    <xf numFmtId="0" fontId="10" fillId="61" borderId="43" xfId="5" applyFont="1" applyFill="1" applyBorder="1" applyAlignment="1" applyProtection="1">
      <alignment horizontal="left"/>
      <protection locked="0"/>
    </xf>
    <xf numFmtId="0" fontId="10" fillId="61" borderId="45" xfId="5" applyFont="1" applyFill="1" applyBorder="1" applyAlignment="1" applyProtection="1">
      <alignment horizontal="left"/>
      <protection locked="0"/>
    </xf>
    <xf numFmtId="0" fontId="5" fillId="7" borderId="5" xfId="5" applyFont="1" applyFill="1" applyBorder="1" applyAlignment="1" applyProtection="1">
      <alignment wrapText="1"/>
    </xf>
    <xf numFmtId="0" fontId="5" fillId="7" borderId="174" xfId="5" applyFont="1" applyFill="1" applyBorder="1" applyAlignment="1" applyProtection="1">
      <alignment wrapText="1"/>
    </xf>
    <xf numFmtId="0" fontId="10" fillId="5" borderId="208" xfId="0" applyFont="1" applyFill="1" applyBorder="1" applyAlignment="1" applyProtection="1">
      <alignment horizontal="center" vertical="center"/>
    </xf>
    <xf numFmtId="0" fontId="10" fillId="5" borderId="196" xfId="0" applyFont="1" applyFill="1" applyBorder="1" applyAlignment="1" applyProtection="1">
      <alignment horizontal="center" vertical="center"/>
    </xf>
    <xf numFmtId="0" fontId="10" fillId="5" borderId="197" xfId="0" applyFont="1" applyFill="1" applyBorder="1" applyAlignment="1" applyProtection="1">
      <alignment horizontal="center" vertical="center"/>
    </xf>
    <xf numFmtId="0" fontId="5" fillId="7" borderId="322" xfId="0" applyFont="1" applyFill="1" applyBorder="1" applyAlignment="1" applyProtection="1">
      <alignment horizontal="center"/>
    </xf>
    <xf numFmtId="0" fontId="5" fillId="7" borderId="323" xfId="0" applyFont="1" applyFill="1" applyBorder="1" applyAlignment="1" applyProtection="1">
      <alignment horizontal="center"/>
    </xf>
    <xf numFmtId="0" fontId="5" fillId="7" borderId="324" xfId="0" applyFont="1" applyFill="1" applyBorder="1" applyAlignment="1" applyProtection="1">
      <alignment horizontal="center"/>
    </xf>
    <xf numFmtId="0" fontId="5" fillId="5" borderId="325" xfId="0" applyFont="1" applyFill="1" applyBorder="1" applyAlignment="1" applyProtection="1">
      <alignment horizontal="center"/>
    </xf>
    <xf numFmtId="0" fontId="5" fillId="5" borderId="323" xfId="0" applyFont="1" applyFill="1" applyBorder="1" applyAlignment="1" applyProtection="1">
      <alignment horizontal="center"/>
    </xf>
    <xf numFmtId="0" fontId="5" fillId="5" borderId="326" xfId="0" applyFont="1" applyFill="1" applyBorder="1" applyAlignment="1" applyProtection="1">
      <alignment horizontal="center"/>
    </xf>
    <xf numFmtId="0" fontId="102" fillId="80" borderId="191" xfId="0" applyFont="1" applyFill="1" applyBorder="1" applyAlignment="1">
      <alignment horizontal="center" vertical="center" wrapText="1"/>
    </xf>
    <xf numFmtId="0" fontId="102" fillId="80" borderId="192" xfId="0" applyFont="1" applyFill="1" applyBorder="1" applyAlignment="1">
      <alignment horizontal="center" vertical="center" wrapText="1"/>
    </xf>
    <xf numFmtId="0" fontId="102" fillId="80" borderId="11" xfId="0" applyFont="1" applyFill="1" applyBorder="1" applyAlignment="1">
      <alignment horizontal="center" vertical="center" wrapText="1"/>
    </xf>
    <xf numFmtId="0" fontId="102" fillId="80" borderId="162" xfId="0" applyFont="1" applyFill="1" applyBorder="1" applyAlignment="1">
      <alignment horizontal="center" vertical="center" wrapText="1"/>
    </xf>
    <xf numFmtId="0" fontId="102" fillId="80" borderId="165" xfId="0" applyFont="1" applyFill="1" applyBorder="1" applyAlignment="1">
      <alignment horizontal="center" vertical="center" wrapText="1"/>
    </xf>
    <xf numFmtId="0" fontId="102" fillId="80" borderId="194" xfId="0" applyFont="1" applyFill="1" applyBorder="1" applyAlignment="1">
      <alignment horizontal="center" vertical="center" wrapText="1"/>
    </xf>
    <xf numFmtId="0" fontId="5" fillId="78" borderId="19" xfId="0" applyFont="1" applyFill="1" applyBorder="1" applyAlignment="1" applyProtection="1">
      <alignment horizontal="center" vertical="center" wrapText="1"/>
    </xf>
    <xf numFmtId="0" fontId="5" fillId="78" borderId="180" xfId="0" applyFont="1" applyFill="1" applyBorder="1" applyAlignment="1" applyProtection="1">
      <alignment horizontal="center" vertical="center" wrapText="1"/>
    </xf>
    <xf numFmtId="0" fontId="10" fillId="7" borderId="208" xfId="0" applyFont="1" applyFill="1" applyBorder="1" applyAlignment="1" applyProtection="1">
      <alignment horizontal="center" vertical="center"/>
    </xf>
    <xf numFmtId="0" fontId="10" fillId="7" borderId="196" xfId="0" applyFont="1" applyFill="1" applyBorder="1" applyAlignment="1" applyProtection="1">
      <alignment horizontal="center" vertical="center"/>
    </xf>
    <xf numFmtId="0" fontId="10" fillId="7" borderId="197" xfId="0" applyFont="1" applyFill="1" applyBorder="1" applyAlignment="1" applyProtection="1">
      <alignment horizontal="center" vertical="center"/>
    </xf>
    <xf numFmtId="0" fontId="5" fillId="5" borderId="200" xfId="0" applyFont="1" applyFill="1" applyBorder="1" applyAlignment="1" applyProtection="1">
      <alignment horizontal="center"/>
    </xf>
    <xf numFmtId="0" fontId="5" fillId="5" borderId="334" xfId="0" applyFont="1" applyFill="1" applyBorder="1" applyAlignment="1" applyProtection="1">
      <alignment horizontal="center"/>
    </xf>
    <xf numFmtId="0" fontId="5" fillId="7" borderId="328" xfId="0" applyFont="1" applyFill="1" applyBorder="1" applyAlignment="1" applyProtection="1">
      <alignment horizontal="center"/>
    </xf>
    <xf numFmtId="0" fontId="5" fillId="7" borderId="329" xfId="0" applyFont="1" applyFill="1" applyBorder="1" applyAlignment="1" applyProtection="1">
      <alignment horizontal="center"/>
    </xf>
    <xf numFmtId="0" fontId="5" fillId="7" borderId="330" xfId="0" applyFont="1" applyFill="1" applyBorder="1" applyAlignment="1" applyProtection="1">
      <alignment horizontal="center"/>
    </xf>
    <xf numFmtId="0" fontId="122" fillId="81" borderId="193" xfId="0" applyFont="1" applyFill="1" applyBorder="1" applyAlignment="1" applyProtection="1">
      <alignment horizontal="left" vertical="top" wrapText="1"/>
      <protection locked="0"/>
    </xf>
    <xf numFmtId="0" fontId="122" fillId="81" borderId="165" xfId="0" applyFont="1" applyFill="1" applyBorder="1" applyAlignment="1" applyProtection="1">
      <alignment horizontal="left" vertical="top" wrapText="1"/>
      <protection locked="0"/>
    </xf>
    <xf numFmtId="0" fontId="122" fillId="81" borderId="194" xfId="0" applyFont="1" applyFill="1" applyBorder="1" applyAlignment="1" applyProtection="1">
      <alignment horizontal="left" vertical="top" wrapText="1"/>
      <protection locked="0"/>
    </xf>
    <xf numFmtId="0" fontId="4" fillId="6" borderId="224" xfId="0" applyFont="1" applyFill="1" applyBorder="1" applyAlignment="1" applyProtection="1">
      <alignment horizontal="center"/>
    </xf>
    <xf numFmtId="0" fontId="4" fillId="6" borderId="219" xfId="0" applyFont="1" applyFill="1" applyBorder="1" applyAlignment="1" applyProtection="1">
      <alignment horizontal="center"/>
    </xf>
    <xf numFmtId="0" fontId="4" fillId="6" borderId="31" xfId="0" applyFont="1" applyFill="1" applyBorder="1" applyAlignment="1" applyProtection="1">
      <alignment horizontal="center"/>
    </xf>
    <xf numFmtId="0" fontId="4" fillId="6" borderId="212" xfId="0" applyFont="1" applyFill="1" applyBorder="1" applyAlignment="1" applyProtection="1">
      <alignment horizontal="center"/>
    </xf>
    <xf numFmtId="0" fontId="4" fillId="6" borderId="168" xfId="0" applyFont="1" applyFill="1" applyBorder="1" applyAlignment="1" applyProtection="1">
      <alignment horizontal="center"/>
    </xf>
    <xf numFmtId="0" fontId="4" fillId="6" borderId="203" xfId="0" applyFont="1" applyFill="1" applyBorder="1" applyAlignment="1" applyProtection="1">
      <alignment horizontal="center"/>
    </xf>
    <xf numFmtId="186" fontId="10" fillId="16" borderId="195" xfId="0" applyNumberFormat="1" applyFont="1" applyFill="1" applyBorder="1" applyAlignment="1" applyProtection="1">
      <alignment horizontal="center" vertical="center"/>
    </xf>
    <xf numFmtId="186" fontId="10" fillId="16" borderId="196" xfId="0" applyNumberFormat="1" applyFont="1" applyFill="1" applyBorder="1" applyAlignment="1" applyProtection="1">
      <alignment horizontal="center" vertical="center"/>
    </xf>
    <xf numFmtId="186" fontId="10" fillId="16" borderId="197" xfId="0" applyNumberFormat="1" applyFont="1" applyFill="1" applyBorder="1" applyAlignment="1" applyProtection="1">
      <alignment horizontal="center" vertical="center"/>
    </xf>
    <xf numFmtId="0" fontId="5" fillId="7" borderId="17" xfId="0" applyFont="1" applyFill="1" applyBorder="1" applyAlignment="1" applyProtection="1">
      <alignment horizontal="center" vertical="center"/>
    </xf>
    <xf numFmtId="0" fontId="5" fillId="7" borderId="18" xfId="0" applyFont="1" applyFill="1" applyBorder="1" applyAlignment="1" applyProtection="1">
      <alignment horizontal="center" vertical="center"/>
    </xf>
    <xf numFmtId="0" fontId="10" fillId="20" borderId="208" xfId="0" applyFont="1" applyFill="1" applyBorder="1" applyAlignment="1" applyProtection="1">
      <alignment horizontal="center" vertical="center"/>
    </xf>
    <xf numFmtId="0" fontId="10" fillId="20" borderId="196" xfId="0" applyFont="1" applyFill="1" applyBorder="1" applyAlignment="1" applyProtection="1">
      <alignment horizontal="center" vertical="center"/>
    </xf>
    <xf numFmtId="0" fontId="10" fillId="20" borderId="242" xfId="0" applyFont="1" applyFill="1" applyBorder="1" applyAlignment="1" applyProtection="1">
      <alignment horizontal="center" vertical="center"/>
    </xf>
    <xf numFmtId="0" fontId="10" fillId="20" borderId="195" xfId="0" applyFont="1" applyFill="1" applyBorder="1" applyAlignment="1" applyProtection="1">
      <alignment horizontal="center" vertical="center"/>
    </xf>
    <xf numFmtId="0" fontId="10" fillId="20" borderId="197" xfId="0" applyFont="1" applyFill="1" applyBorder="1" applyAlignment="1" applyProtection="1">
      <alignment horizontal="center" vertical="center"/>
    </xf>
  </cellXfs>
  <cellStyles count="742">
    <cellStyle name=" 1" xfId="10"/>
    <cellStyle name=" 1 2" xfId="11"/>
    <cellStyle name=" 1 2 2" xfId="12"/>
    <cellStyle name=" 1 2 3" xfId="13"/>
    <cellStyle name=" 1 3" xfId="14"/>
    <cellStyle name=" 1 3 2" xfId="15"/>
    <cellStyle name=" 1 4" xfId="16"/>
    <cellStyle name=" 1_29(d) - Gas extensions -tariffs" xfId="17"/>
    <cellStyle name="_3GIS model v2.77_Distribution Business_Retail Fin Perform " xfId="18"/>
    <cellStyle name="_3GIS model v2.77_Fleet Overhead Costs 2_Retail Fin Perform " xfId="19"/>
    <cellStyle name="_3GIS model v2.77_Fleet Overhead Costs_Retail Fin Perform " xfId="20"/>
    <cellStyle name="_3GIS model v2.77_Forecast 2_Retail Fin Perform " xfId="21"/>
    <cellStyle name="_3GIS model v2.77_Forecast_Retail Fin Perform " xfId="22"/>
    <cellStyle name="_3GIS model v2.77_Funding &amp; Cashflow_1_Retail Fin Perform " xfId="23"/>
    <cellStyle name="_3GIS model v2.77_Funding &amp; Cashflow_Retail Fin Perform " xfId="24"/>
    <cellStyle name="_3GIS model v2.77_Group P&amp;L_1_Retail Fin Perform " xfId="25"/>
    <cellStyle name="_3GIS model v2.77_Group P&amp;L_Retail Fin Perform " xfId="26"/>
    <cellStyle name="_3GIS model v2.77_Opening  Detailed BS_Retail Fin Perform " xfId="27"/>
    <cellStyle name="_3GIS model v2.77_OUTPUT DB_Retail Fin Perform " xfId="28"/>
    <cellStyle name="_3GIS model v2.77_OUTPUT EB_Retail Fin Perform " xfId="29"/>
    <cellStyle name="_3GIS model v2.77_Report_Retail Fin Perform " xfId="30"/>
    <cellStyle name="_3GIS model v2.77_Retail Fin Perform " xfId="31"/>
    <cellStyle name="_3GIS model v2.77_Sheet2 2_Retail Fin Perform " xfId="32"/>
    <cellStyle name="_3GIS model v2.77_Sheet2_Retail Fin Perform " xfId="33"/>
    <cellStyle name="_Capex" xfId="34"/>
    <cellStyle name="_Capex 2" xfId="35"/>
    <cellStyle name="_Capex_29(d) - Gas extensions -tariffs" xfId="36"/>
    <cellStyle name="_UED AMP 2009-14 Final 250309 Less PU" xfId="37"/>
    <cellStyle name="_UED AMP 2009-14 Final 250309 Less PU_1011 monthly" xfId="38"/>
    <cellStyle name="20% - Accent1 2" xfId="39"/>
    <cellStyle name="20% - Accent1 3" xfId="40"/>
    <cellStyle name="20% - Accent2 2" xfId="41"/>
    <cellStyle name="20% - Accent3 2" xfId="42"/>
    <cellStyle name="20% - Accent4 2" xfId="43"/>
    <cellStyle name="20% - Accent5 2" xfId="44"/>
    <cellStyle name="20% - Accent6 2" xfId="45"/>
    <cellStyle name="40% - Accent1 2" xfId="46"/>
    <cellStyle name="40% - Accent1 3" xfId="47"/>
    <cellStyle name="40% - Accent2 2" xfId="48"/>
    <cellStyle name="40% - Accent3 2" xfId="49"/>
    <cellStyle name="40% - Accent4 2" xfId="50"/>
    <cellStyle name="40% - Accent5 2" xfId="51"/>
    <cellStyle name="40% - Accent6 2" xfId="52"/>
    <cellStyle name="60% - Accent1 2" xfId="53"/>
    <cellStyle name="60% - Accent2 2" xfId="54"/>
    <cellStyle name="60% - Accent3 2" xfId="55"/>
    <cellStyle name="60% - Accent4 2" xfId="56"/>
    <cellStyle name="60% - Accent5 2" xfId="57"/>
    <cellStyle name="60% - Accent6 2" xfId="58"/>
    <cellStyle name="Accent1 - 20%" xfId="59"/>
    <cellStyle name="Accent1 - 40%" xfId="60"/>
    <cellStyle name="Accent1 - 60%" xfId="61"/>
    <cellStyle name="Accent1 2" xfId="62"/>
    <cellStyle name="Accent1 3" xfId="678"/>
    <cellStyle name="Accent1 4" xfId="679"/>
    <cellStyle name="Accent1 5" xfId="680"/>
    <cellStyle name="Accent2 - 20%" xfId="63"/>
    <cellStyle name="Accent2 - 40%" xfId="64"/>
    <cellStyle name="Accent2 - 60%" xfId="65"/>
    <cellStyle name="Accent2 2" xfId="66"/>
    <cellStyle name="Accent2 3" xfId="681"/>
    <cellStyle name="Accent2 4" xfId="682"/>
    <cellStyle name="Accent2 5" xfId="683"/>
    <cellStyle name="Accent3 - 20%" xfId="67"/>
    <cellStyle name="Accent3 - 40%" xfId="68"/>
    <cellStyle name="Accent3 - 60%" xfId="69"/>
    <cellStyle name="Accent3 2" xfId="70"/>
    <cellStyle name="Accent3 3" xfId="684"/>
    <cellStyle name="Accent3 4" xfId="685"/>
    <cellStyle name="Accent3 5" xfId="686"/>
    <cellStyle name="Accent4 - 20%" xfId="71"/>
    <cellStyle name="Accent4 - 40%" xfId="72"/>
    <cellStyle name="Accent4 - 60%" xfId="73"/>
    <cellStyle name="Accent4 2" xfId="74"/>
    <cellStyle name="Accent4 3" xfId="687"/>
    <cellStyle name="Accent4 4" xfId="688"/>
    <cellStyle name="Accent4 5" xfId="689"/>
    <cellStyle name="Accent5 - 20%" xfId="75"/>
    <cellStyle name="Accent5 - 40%" xfId="76"/>
    <cellStyle name="Accent5 - 60%" xfId="77"/>
    <cellStyle name="Accent5 2" xfId="78"/>
    <cellStyle name="Accent5 3" xfId="690"/>
    <cellStyle name="Accent5 4" xfId="691"/>
    <cellStyle name="Accent5 5" xfId="692"/>
    <cellStyle name="Accent6 - 20%" xfId="79"/>
    <cellStyle name="Accent6 - 40%" xfId="80"/>
    <cellStyle name="Accent6 - 60%" xfId="81"/>
    <cellStyle name="Accent6 2" xfId="82"/>
    <cellStyle name="Accent6 3" xfId="693"/>
    <cellStyle name="Accent6 4" xfId="694"/>
    <cellStyle name="Accent6 5" xfId="695"/>
    <cellStyle name="Agara" xfId="83"/>
    <cellStyle name="B79812_.wvu.PrintTitlest" xfId="84"/>
    <cellStyle name="Bad 2" xfId="85"/>
    <cellStyle name="Black" xfId="86"/>
    <cellStyle name="Blockout" xfId="87"/>
    <cellStyle name="Blockout 2" xfId="88"/>
    <cellStyle name="Blockout 2 2" xfId="89"/>
    <cellStyle name="Blockout 3" xfId="90"/>
    <cellStyle name="Blue" xfId="91"/>
    <cellStyle name="Calculation 2" xfId="92"/>
    <cellStyle name="Calculation 2 2" xfId="93"/>
    <cellStyle name="Calculation 2 2 2" xfId="94"/>
    <cellStyle name="Calculation 2 3" xfId="95"/>
    <cellStyle name="Calculation 2 3 2" xfId="96"/>
    <cellStyle name="Calculation 2 3 3" xfId="97"/>
    <cellStyle name="Calculation 2 4" xfId="98"/>
    <cellStyle name="Check Cell 2" xfId="99"/>
    <cellStyle name="Check Cell 2 2 2 2" xfId="100"/>
    <cellStyle name="Comma [0]7Z_87C" xfId="101"/>
    <cellStyle name="Comma 0" xfId="102"/>
    <cellStyle name="Comma 1" xfId="103"/>
    <cellStyle name="Comma 1 2" xfId="104"/>
    <cellStyle name="Comma 10" xfId="105"/>
    <cellStyle name="Comma 11" xfId="106"/>
    <cellStyle name="Comma 12" xfId="714"/>
    <cellStyle name="Comma 13" xfId="724"/>
    <cellStyle name="Comma 14" xfId="731"/>
    <cellStyle name="Comma 15" xfId="733"/>
    <cellStyle name="Comma 16" xfId="736"/>
    <cellStyle name="Comma 2" xfId="107"/>
    <cellStyle name="Comma 2 10" xfId="741"/>
    <cellStyle name="Comma 2 2" xfId="108"/>
    <cellStyle name="Comma 2 2 2" xfId="109"/>
    <cellStyle name="Comma 2 2 3" xfId="110"/>
    <cellStyle name="Comma 2 2 4" xfId="111"/>
    <cellStyle name="Comma 2 3" xfId="112"/>
    <cellStyle name="Comma 2 3 2" xfId="113"/>
    <cellStyle name="Comma 2 3 3" xfId="114"/>
    <cellStyle name="Comma 2 4" xfId="115"/>
    <cellStyle name="Comma 2 5" xfId="116"/>
    <cellStyle name="Comma 2 6" xfId="117"/>
    <cellStyle name="Comma 2 7" xfId="118"/>
    <cellStyle name="Comma 2 8" xfId="119"/>
    <cellStyle name="Comma 2 9" xfId="720"/>
    <cellStyle name="Comma 3" xfId="120"/>
    <cellStyle name="Comma 3 2" xfId="121"/>
    <cellStyle name="Comma 3 2 2" xfId="122"/>
    <cellStyle name="Comma 3 2 3" xfId="123"/>
    <cellStyle name="Comma 3 3" xfId="124"/>
    <cellStyle name="Comma 3 3 2" xfId="125"/>
    <cellStyle name="Comma 3 3 3" xfId="126"/>
    <cellStyle name="Comma 3 4" xfId="127"/>
    <cellStyle name="Comma 3 5" xfId="128"/>
    <cellStyle name="Comma 3 6" xfId="129"/>
    <cellStyle name="Comma 4" xfId="130"/>
    <cellStyle name="Comma 4 2" xfId="131"/>
    <cellStyle name="Comma 5" xfId="132"/>
    <cellStyle name="Comma 6" xfId="133"/>
    <cellStyle name="Comma 7" xfId="134"/>
    <cellStyle name="Comma 8" xfId="135"/>
    <cellStyle name="Comma 9" xfId="136"/>
    <cellStyle name="Comma 9 2" xfId="137"/>
    <cellStyle name="Comma 9 3" xfId="138"/>
    <cellStyle name="Comma0" xfId="139"/>
    <cellStyle name="Currency 10" xfId="737"/>
    <cellStyle name="Currency 11" xfId="140"/>
    <cellStyle name="Currency 11 2" xfId="141"/>
    <cellStyle name="Currency 11 3" xfId="142"/>
    <cellStyle name="Currency 2" xfId="143"/>
    <cellStyle name="Currency 2 2" xfId="144"/>
    <cellStyle name="Currency 2 2 2" xfId="716"/>
    <cellStyle name="Currency 2 2 3" xfId="738"/>
    <cellStyle name="Currency 2 3" xfId="145"/>
    <cellStyle name="Currency 2 3 2" xfId="717"/>
    <cellStyle name="Currency 2 3 3" xfId="739"/>
    <cellStyle name="Currency 3" xfId="146"/>
    <cellStyle name="Currency 3 2" xfId="147"/>
    <cellStyle name="Currency 4" xfId="148"/>
    <cellStyle name="Currency 4 2" xfId="149"/>
    <cellStyle name="Currency 5" xfId="150"/>
    <cellStyle name="Currency 6" xfId="151"/>
    <cellStyle name="Currency 6 2" xfId="152"/>
    <cellStyle name="Currency 6 3" xfId="153"/>
    <cellStyle name="Currency 7" xfId="154"/>
    <cellStyle name="Currency 8" xfId="155"/>
    <cellStyle name="Currency 9" xfId="715"/>
    <cellStyle name="D4_B8B1_005004B79812_.wvu.PrintTitlest" xfId="156"/>
    <cellStyle name="Date" xfId="157"/>
    <cellStyle name="Date 2" xfId="158"/>
    <cellStyle name="dms_Blue_HDR" xfId="159"/>
    <cellStyle name="Emphasis 1" xfId="160"/>
    <cellStyle name="Emphasis 2" xfId="161"/>
    <cellStyle name="Emphasis 3" xfId="162"/>
    <cellStyle name="Euro" xfId="163"/>
    <cellStyle name="Explanatory Text 2" xfId="164"/>
    <cellStyle name="Fixed" xfId="165"/>
    <cellStyle name="Fixed 2" xfId="166"/>
    <cellStyle name="Gilsans" xfId="167"/>
    <cellStyle name="Gilsansl" xfId="168"/>
    <cellStyle name="Good 2" xfId="169"/>
    <cellStyle name="Heading 1 2" xfId="170"/>
    <cellStyle name="Heading 1 2 2" xfId="171"/>
    <cellStyle name="Heading 1 3" xfId="172"/>
    <cellStyle name="Heading 2 2" xfId="173"/>
    <cellStyle name="Heading 2 2 2" xfId="174"/>
    <cellStyle name="Heading 2 3" xfId="175"/>
    <cellStyle name="Heading 3 2" xfId="176"/>
    <cellStyle name="Heading 3 2 2" xfId="177"/>
    <cellStyle name="Heading 3 2 2 2" xfId="178"/>
    <cellStyle name="Heading 3 2 2 2 2" xfId="179"/>
    <cellStyle name="Heading 3 2 2 2 2 2" xfId="180"/>
    <cellStyle name="Heading 3 2 2 2 2 2 2" xfId="181"/>
    <cellStyle name="Heading 3 2 2 2 2 2 3" xfId="182"/>
    <cellStyle name="Heading 3 2 2 2 2 3" xfId="183"/>
    <cellStyle name="Heading 3 2 2 2 2 3 2" xfId="184"/>
    <cellStyle name="Heading 3 2 2 2 2 3 3" xfId="185"/>
    <cellStyle name="Heading 3 2 2 2 2 4" xfId="186"/>
    <cellStyle name="Heading 3 2 2 2 2 4 2" xfId="187"/>
    <cellStyle name="Heading 3 2 2 2 2 5" xfId="188"/>
    <cellStyle name="Heading 3 2 2 2 2 6" xfId="189"/>
    <cellStyle name="Heading 3 2 2 2 3" xfId="190"/>
    <cellStyle name="Heading 3 2 2 2 3 2" xfId="191"/>
    <cellStyle name="Heading 3 2 2 2 3 3" xfId="192"/>
    <cellStyle name="Heading 3 2 2 2 4" xfId="193"/>
    <cellStyle name="Heading 3 2 2 2 4 2" xfId="194"/>
    <cellStyle name="Heading 3 2 2 2 4 3" xfId="195"/>
    <cellStyle name="Heading 3 2 2 2 5" xfId="196"/>
    <cellStyle name="Heading 3 2 2 2 5 2" xfId="197"/>
    <cellStyle name="Heading 3 2 2 2 6" xfId="198"/>
    <cellStyle name="Heading 3 2 2 3" xfId="199"/>
    <cellStyle name="Heading 3 2 2 3 2" xfId="200"/>
    <cellStyle name="Heading 3 2 2 3 2 2" xfId="201"/>
    <cellStyle name="Heading 3 2 2 3 2 2 2" xfId="202"/>
    <cellStyle name="Heading 3 2 2 3 2 2 3" xfId="203"/>
    <cellStyle name="Heading 3 2 2 3 2 3" xfId="204"/>
    <cellStyle name="Heading 3 2 2 3 2 3 2" xfId="205"/>
    <cellStyle name="Heading 3 2 2 3 2 3 3" xfId="206"/>
    <cellStyle name="Heading 3 2 2 3 2 4" xfId="207"/>
    <cellStyle name="Heading 3 2 2 3 2 4 2" xfId="208"/>
    <cellStyle name="Heading 3 2 2 3 2 5" xfId="209"/>
    <cellStyle name="Heading 3 2 2 3 2 6" xfId="210"/>
    <cellStyle name="Heading 3 2 2 3 3" xfId="211"/>
    <cellStyle name="Heading 3 2 2 3 3 2" xfId="212"/>
    <cellStyle name="Heading 3 2 2 3 3 3" xfId="213"/>
    <cellStyle name="Heading 3 2 2 3 4" xfId="214"/>
    <cellStyle name="Heading 3 2 2 3 4 2" xfId="215"/>
    <cellStyle name="Heading 3 2 2 3 4 3" xfId="216"/>
    <cellStyle name="Heading 3 2 2 3 5" xfId="217"/>
    <cellStyle name="Heading 3 2 2 3 5 2" xfId="218"/>
    <cellStyle name="Heading 3 2 2 3 6" xfId="219"/>
    <cellStyle name="Heading 3 2 2 4" xfId="220"/>
    <cellStyle name="Heading 3 2 2 4 2" xfId="221"/>
    <cellStyle name="Heading 3 2 2 4 2 2" xfId="222"/>
    <cellStyle name="Heading 3 2 2 4 2 3" xfId="223"/>
    <cellStyle name="Heading 3 2 2 4 3" xfId="224"/>
    <cellStyle name="Heading 3 2 2 4 3 2" xfId="225"/>
    <cellStyle name="Heading 3 2 2 4 3 3" xfId="226"/>
    <cellStyle name="Heading 3 2 2 4 4" xfId="227"/>
    <cellStyle name="Heading 3 2 2 4 4 2" xfId="228"/>
    <cellStyle name="Heading 3 2 2 4 5" xfId="229"/>
    <cellStyle name="Heading 3 2 2 4 6" xfId="230"/>
    <cellStyle name="Heading 3 2 2 5" xfId="231"/>
    <cellStyle name="Heading 3 2 2 5 2" xfId="232"/>
    <cellStyle name="Heading 3 2 2 5 2 2" xfId="233"/>
    <cellStyle name="Heading 3 2 2 5 2 3" xfId="234"/>
    <cellStyle name="Heading 3 2 2 5 3" xfId="235"/>
    <cellStyle name="Heading 3 2 2 5 3 2" xfId="236"/>
    <cellStyle name="Heading 3 2 2 5 4" xfId="237"/>
    <cellStyle name="Heading 3 2 2 5 5" xfId="238"/>
    <cellStyle name="Heading 3 2 2 6" xfId="239"/>
    <cellStyle name="Heading 3 2 3" xfId="240"/>
    <cellStyle name="Heading 3 2 4" xfId="241"/>
    <cellStyle name="Heading 3 2 4 2" xfId="242"/>
    <cellStyle name="Heading 3 2 4 2 2" xfId="243"/>
    <cellStyle name="Heading 3 2 4 2 2 2" xfId="244"/>
    <cellStyle name="Heading 3 2 4 2 2 3" xfId="245"/>
    <cellStyle name="Heading 3 2 4 2 3" xfId="246"/>
    <cellStyle name="Heading 3 2 4 2 3 2" xfId="247"/>
    <cellStyle name="Heading 3 2 4 2 3 3" xfId="248"/>
    <cellStyle name="Heading 3 2 4 2 4" xfId="249"/>
    <cellStyle name="Heading 3 2 4 2 4 2" xfId="250"/>
    <cellStyle name="Heading 3 2 4 2 5" xfId="251"/>
    <cellStyle name="Heading 3 2 4 2 6" xfId="252"/>
    <cellStyle name="Heading 3 2 4 3" xfId="253"/>
    <cellStyle name="Heading 3 2 4 3 2" xfId="254"/>
    <cellStyle name="Heading 3 2 4 3 3" xfId="255"/>
    <cellStyle name="Heading 3 2 4 4" xfId="256"/>
    <cellStyle name="Heading 3 2 4 4 2" xfId="257"/>
    <cellStyle name="Heading 3 2 4 4 3" xfId="258"/>
    <cellStyle name="Heading 3 2 4 5" xfId="259"/>
    <cellStyle name="Heading 3 2 4 5 2" xfId="260"/>
    <cellStyle name="Heading 3 2 4 6" xfId="261"/>
    <cellStyle name="Heading 3 2 5" xfId="262"/>
    <cellStyle name="Heading 3 2 5 2" xfId="263"/>
    <cellStyle name="Heading 3 2 5 2 2" xfId="264"/>
    <cellStyle name="Heading 3 2 5 2 2 2" xfId="265"/>
    <cellStyle name="Heading 3 2 5 2 2 3" xfId="266"/>
    <cellStyle name="Heading 3 2 5 2 3" xfId="267"/>
    <cellStyle name="Heading 3 2 5 2 3 2" xfId="268"/>
    <cellStyle name="Heading 3 2 5 2 3 3" xfId="269"/>
    <cellStyle name="Heading 3 2 5 2 4" xfId="270"/>
    <cellStyle name="Heading 3 2 5 2 4 2" xfId="271"/>
    <cellStyle name="Heading 3 2 5 2 5" xfId="272"/>
    <cellStyle name="Heading 3 2 5 2 6" xfId="273"/>
    <cellStyle name="Heading 3 2 5 3" xfId="274"/>
    <cellStyle name="Heading 3 2 5 3 2" xfId="275"/>
    <cellStyle name="Heading 3 2 5 3 3" xfId="276"/>
    <cellStyle name="Heading 3 2 5 4" xfId="277"/>
    <cellStyle name="Heading 3 2 5 4 2" xfId="278"/>
    <cellStyle name="Heading 3 2 5 4 3" xfId="279"/>
    <cellStyle name="Heading 3 2 5 5" xfId="280"/>
    <cellStyle name="Heading 3 2 5 5 2" xfId="281"/>
    <cellStyle name="Heading 3 2 5 6" xfId="282"/>
    <cellStyle name="Heading 3 2 6" xfId="283"/>
    <cellStyle name="Heading 3 2 6 2" xfId="284"/>
    <cellStyle name="Heading 3 2 6 2 2" xfId="285"/>
    <cellStyle name="Heading 3 2 6 2 3" xfId="286"/>
    <cellStyle name="Heading 3 2 6 3" xfId="287"/>
    <cellStyle name="Heading 3 2 6 3 2" xfId="288"/>
    <cellStyle name="Heading 3 2 6 3 3" xfId="289"/>
    <cellStyle name="Heading 3 2 6 4" xfId="290"/>
    <cellStyle name="Heading 3 2 6 4 2" xfId="291"/>
    <cellStyle name="Heading 3 2 6 5" xfId="292"/>
    <cellStyle name="Heading 3 2 6 6" xfId="293"/>
    <cellStyle name="Heading 3 2 7" xfId="294"/>
    <cellStyle name="Heading 3 2 7 2" xfId="295"/>
    <cellStyle name="Heading 3 2 7 2 2" xfId="296"/>
    <cellStyle name="Heading 3 2 7 2 3" xfId="297"/>
    <cellStyle name="Heading 3 2 7 3" xfId="298"/>
    <cellStyle name="Heading 3 2 7 3 2" xfId="299"/>
    <cellStyle name="Heading 3 2 7 4" xfId="300"/>
    <cellStyle name="Heading 3 2 7 5" xfId="301"/>
    <cellStyle name="Heading 3 2 8" xfId="302"/>
    <cellStyle name="Heading 3 3" xfId="303"/>
    <cellStyle name="Heading 4 2" xfId="304"/>
    <cellStyle name="Heading 4 2 2" xfId="305"/>
    <cellStyle name="Heading 4 3" xfId="306"/>
    <cellStyle name="Heading(4)" xfId="307"/>
    <cellStyle name="Hyperlink 2" xfId="308"/>
    <cellStyle name="Hyperlink 2 2" xfId="309"/>
    <cellStyle name="Hyperlink 2 3" xfId="310"/>
    <cellStyle name="Hyperlink 2 4" xfId="311"/>
    <cellStyle name="Hyperlink 3" xfId="312"/>
    <cellStyle name="Hyperlink 4" xfId="313"/>
    <cellStyle name="Hyperlink Arrow" xfId="314"/>
    <cellStyle name="Hyperlink Text" xfId="315"/>
    <cellStyle name="import" xfId="316"/>
    <cellStyle name="import%" xfId="317"/>
    <cellStyle name="import_ICRC Electricity model 1-1  (1 Feb 2003) " xfId="318"/>
    <cellStyle name="Input 2" xfId="319"/>
    <cellStyle name="Input 2 2" xfId="320"/>
    <cellStyle name="Input 2 2 2" xfId="321"/>
    <cellStyle name="Input 2 3" xfId="322"/>
    <cellStyle name="Input 2 3 2" xfId="323"/>
    <cellStyle name="Input 2 3 3" xfId="324"/>
    <cellStyle name="Input 2 4" xfId="325"/>
    <cellStyle name="Input1" xfId="326"/>
    <cellStyle name="Input1 2" xfId="327"/>
    <cellStyle name="Input1 2 2" xfId="328"/>
    <cellStyle name="Input1 3" xfId="329"/>
    <cellStyle name="Input1 3 2" xfId="330"/>
    <cellStyle name="Input1 4" xfId="331"/>
    <cellStyle name="Input1 5" xfId="332"/>
    <cellStyle name="Input1 6" xfId="721"/>
    <cellStyle name="Input1%" xfId="333"/>
    <cellStyle name="Input1_ICRC Electricity model 1-1  (1 Feb 2003) " xfId="334"/>
    <cellStyle name="Input1default" xfId="335"/>
    <cellStyle name="Input1default%" xfId="336"/>
    <cellStyle name="Input2" xfId="337"/>
    <cellStyle name="Input2 2" xfId="338"/>
    <cellStyle name="Input2 3" xfId="339"/>
    <cellStyle name="Input3" xfId="340"/>
    <cellStyle name="Input3 2" xfId="341"/>
    <cellStyle name="Input3 3" xfId="342"/>
    <cellStyle name="Input3 4" xfId="722"/>
    <cellStyle name="InputCell" xfId="343"/>
    <cellStyle name="InputCell 2" xfId="344"/>
    <cellStyle name="InputCell 3" xfId="345"/>
    <cellStyle name="InputCellText" xfId="346"/>
    <cellStyle name="InputCellText 2" xfId="347"/>
    <cellStyle name="InputCellText 3" xfId="348"/>
    <cellStyle name="key result" xfId="349"/>
    <cellStyle name="Lines" xfId="350"/>
    <cellStyle name="Linked Cell 2" xfId="351"/>
    <cellStyle name="Local import" xfId="352"/>
    <cellStyle name="Local import %" xfId="353"/>
    <cellStyle name="Mine" xfId="354"/>
    <cellStyle name="Model Name" xfId="355"/>
    <cellStyle name="Neutral 2" xfId="356"/>
    <cellStyle name="NonInputCell" xfId="357"/>
    <cellStyle name="NonInputCell 2" xfId="358"/>
    <cellStyle name="NonInputCell 3" xfId="359"/>
    <cellStyle name="Normal" xfId="0" builtinId="0"/>
    <cellStyle name="Normal - Style1" xfId="360"/>
    <cellStyle name="Normal 10" xfId="5"/>
    <cellStyle name="Normal 10 2" xfId="361"/>
    <cellStyle name="Normal 10 2 2 2" xfId="696"/>
    <cellStyle name="Normal 10 2 2 2 7" xfId="708"/>
    <cellStyle name="Normal 11" xfId="362"/>
    <cellStyle name="Normal 11 2" xfId="363"/>
    <cellStyle name="Normal 11 3" xfId="364"/>
    <cellStyle name="Normal 11 4" xfId="365"/>
    <cellStyle name="Normal 114" xfId="366"/>
    <cellStyle name="Normal 114 2" xfId="367"/>
    <cellStyle name="Normal 12" xfId="368"/>
    <cellStyle name="Normal 12 2" xfId="369"/>
    <cellStyle name="Normal 13" xfId="370"/>
    <cellStyle name="Normal 13 2" xfId="3"/>
    <cellStyle name="Normal 13_29(d) - Gas extensions -tariffs" xfId="371"/>
    <cellStyle name="Normal 14" xfId="8"/>
    <cellStyle name="Normal 14 2" xfId="372"/>
    <cellStyle name="Normal 14 3" xfId="373"/>
    <cellStyle name="Normal 14 3 2" xfId="374"/>
    <cellStyle name="Normal 14 3 3" xfId="375"/>
    <cellStyle name="Normal 14 4" xfId="376"/>
    <cellStyle name="Normal 14 5" xfId="377"/>
    <cellStyle name="Normal 14 9" xfId="710"/>
    <cellStyle name="Normal 14 9 2" xfId="712"/>
    <cellStyle name="Normal 15" xfId="378"/>
    <cellStyle name="Normal 15 2" xfId="379"/>
    <cellStyle name="Normal 159" xfId="706"/>
    <cellStyle name="Normal 16" xfId="380"/>
    <cellStyle name="Normal 16 2" xfId="381"/>
    <cellStyle name="Normal 16 3" xfId="382"/>
    <cellStyle name="Normal 17" xfId="383"/>
    <cellStyle name="Normal 17 2" xfId="384"/>
    <cellStyle name="Normal 17 2 2" xfId="385"/>
    <cellStyle name="Normal 17 2 2 2" xfId="386"/>
    <cellStyle name="Normal 17 2 2 3" xfId="387"/>
    <cellStyle name="Normal 17 2 3" xfId="388"/>
    <cellStyle name="Normal 17 2 4" xfId="389"/>
    <cellStyle name="Normal 17 3" xfId="390"/>
    <cellStyle name="Normal 17 3 2" xfId="391"/>
    <cellStyle name="Normal 17 3 2 2" xfId="392"/>
    <cellStyle name="Normal 17 3 2 3" xfId="393"/>
    <cellStyle name="Normal 17 3 3" xfId="394"/>
    <cellStyle name="Normal 17 3 4" xfId="395"/>
    <cellStyle name="Normal 17 4" xfId="396"/>
    <cellStyle name="Normal 17 4 2" xfId="397"/>
    <cellStyle name="Normal 17 4 3" xfId="398"/>
    <cellStyle name="Normal 17 5" xfId="399"/>
    <cellStyle name="Normal 17 6" xfId="400"/>
    <cellStyle name="Normal 18" xfId="401"/>
    <cellStyle name="Normal 18 2" xfId="402"/>
    <cellStyle name="Normal 19" xfId="403"/>
    <cellStyle name="Normal 2" xfId="404"/>
    <cellStyle name="Normal 2 10" xfId="729"/>
    <cellStyle name="Normal 2 2" xfId="405"/>
    <cellStyle name="Normal 2 2 2" xfId="2"/>
    <cellStyle name="Normal 2 2 3" xfId="406"/>
    <cellStyle name="Normal 2 2 4" xfId="407"/>
    <cellStyle name="Normal 2 2 5" xfId="408"/>
    <cellStyle name="Normal 2 3" xfId="409"/>
    <cellStyle name="Normal 2 3 2" xfId="410"/>
    <cellStyle name="Normal 2 3_29(d) - Gas extensions -tariffs" xfId="411"/>
    <cellStyle name="Normal 2 4" xfId="412"/>
    <cellStyle name="Normal 2 4 2" xfId="413"/>
    <cellStyle name="Normal 2 4 3" xfId="414"/>
    <cellStyle name="Normal 2 5" xfId="9"/>
    <cellStyle name="Normal 2 6" xfId="415"/>
    <cellStyle name="Normal 2 7" xfId="718"/>
    <cellStyle name="Normal 2 8" xfId="725"/>
    <cellStyle name="Normal 2 9" xfId="728"/>
    <cellStyle name="Normal 2_29(d) - Gas extensions -tariffs" xfId="416"/>
    <cellStyle name="Normal 20" xfId="417"/>
    <cellStyle name="Normal 20 2" xfId="418"/>
    <cellStyle name="Normal 20 2 2" xfId="419"/>
    <cellStyle name="Normal 20 3" xfId="420"/>
    <cellStyle name="Normal 20 4" xfId="421"/>
    <cellStyle name="Normal 21" xfId="422"/>
    <cellStyle name="Normal 21 2" xfId="423"/>
    <cellStyle name="Normal 21 3" xfId="424"/>
    <cellStyle name="Normal 22" xfId="425"/>
    <cellStyle name="Normal 23" xfId="426"/>
    <cellStyle name="Normal 23 2" xfId="427"/>
    <cellStyle name="Normal 23 2 2" xfId="428"/>
    <cellStyle name="Normal 23 3" xfId="429"/>
    <cellStyle name="Normal 23 4" xfId="430"/>
    <cellStyle name="Normal 24" xfId="431"/>
    <cellStyle name="Normal 24 2" xfId="432"/>
    <cellStyle name="Normal 24 2 2" xfId="433"/>
    <cellStyle name="Normal 24 3" xfId="434"/>
    <cellStyle name="Normal 24 4" xfId="435"/>
    <cellStyle name="Normal 25" xfId="436"/>
    <cellStyle name="Normal 25 2" xfId="437"/>
    <cellStyle name="Normal 25 2 2" xfId="438"/>
    <cellStyle name="Normal 25 3" xfId="439"/>
    <cellStyle name="Normal 25 4" xfId="440"/>
    <cellStyle name="Normal 26" xfId="441"/>
    <cellStyle name="Normal 26 2" xfId="442"/>
    <cellStyle name="Normal 26 2 2" xfId="443"/>
    <cellStyle name="Normal 26 3" xfId="444"/>
    <cellStyle name="Normal 26 4" xfId="445"/>
    <cellStyle name="Normal 27" xfId="446"/>
    <cellStyle name="Normal 28" xfId="7"/>
    <cellStyle name="Normal 28 4" xfId="709"/>
    <cellStyle name="Normal 29" xfId="447"/>
    <cellStyle name="Normal 3" xfId="448"/>
    <cellStyle name="Normal 3 2" xfId="449"/>
    <cellStyle name="Normal 3 2 2" xfId="450"/>
    <cellStyle name="Normal 3 3" xfId="451"/>
    <cellStyle name="Normal 3 3 2" xfId="452"/>
    <cellStyle name="Normal 3 3 3" xfId="453"/>
    <cellStyle name="Normal 3 4" xfId="454"/>
    <cellStyle name="Normal 3 5" xfId="455"/>
    <cellStyle name="Normal 3 5 2" xfId="456"/>
    <cellStyle name="Normal 3 5 3" xfId="457"/>
    <cellStyle name="Normal 3_29(d) - Gas extensions -tariffs" xfId="458"/>
    <cellStyle name="Normal 30" xfId="459"/>
    <cellStyle name="Normal 31" xfId="460"/>
    <cellStyle name="Normal 32" xfId="4"/>
    <cellStyle name="Normal 32 3" xfId="707"/>
    <cellStyle name="Normal 33" xfId="461"/>
    <cellStyle name="Normal 34" xfId="462"/>
    <cellStyle name="Normal 35" xfId="697"/>
    <cellStyle name="Normal 36" xfId="698"/>
    <cellStyle name="Normal 37" xfId="699"/>
    <cellStyle name="Normal 38" xfId="463"/>
    <cellStyle name="Normal 38 2" xfId="464"/>
    <cellStyle name="Normal 38_29(d) - Gas extensions -tariffs" xfId="465"/>
    <cellStyle name="Normal 39" xfId="713"/>
    <cellStyle name="Normal 4" xfId="466"/>
    <cellStyle name="Normal 4 2" xfId="467"/>
    <cellStyle name="Normal 4 2 2" xfId="468"/>
    <cellStyle name="Normal 4 2 2 2" xfId="469"/>
    <cellStyle name="Normal 4 2 2 2 2" xfId="470"/>
    <cellStyle name="Normal 4 2 2 2 3" xfId="471"/>
    <cellStyle name="Normal 4 2 2 3" xfId="472"/>
    <cellStyle name="Normal 4 2 2 4" xfId="473"/>
    <cellStyle name="Normal 4 2 3" xfId="474"/>
    <cellStyle name="Normal 4 2 3 2" xfId="475"/>
    <cellStyle name="Normal 4 2 3 2 2" xfId="476"/>
    <cellStyle name="Normal 4 2 3 2 3" xfId="477"/>
    <cellStyle name="Normal 4 2 3 3" xfId="478"/>
    <cellStyle name="Normal 4 2 3 4" xfId="479"/>
    <cellStyle name="Normal 4 3" xfId="480"/>
    <cellStyle name="Normal 4 3 2" xfId="481"/>
    <cellStyle name="Normal 4 3 2 2" xfId="482"/>
    <cellStyle name="Normal 4 3 2 3" xfId="483"/>
    <cellStyle name="Normal 4 3 3" xfId="484"/>
    <cellStyle name="Normal 4 3 3 2" xfId="485"/>
    <cellStyle name="Normal 4 3 4" xfId="486"/>
    <cellStyle name="Normal 4 4" xfId="487"/>
    <cellStyle name="Normal 4 5" xfId="488"/>
    <cellStyle name="Normal 4 6" xfId="489"/>
    <cellStyle name="Normal 4_29(d) - Gas extensions -tariffs" xfId="490"/>
    <cellStyle name="Normal 40" xfId="491"/>
    <cellStyle name="Normal 40 2" xfId="492"/>
    <cellStyle name="Normal 40_29(d) - Gas extensions -tariffs" xfId="493"/>
    <cellStyle name="Normal 41" xfId="723"/>
    <cellStyle name="Normal 42" xfId="732"/>
    <cellStyle name="Normal 43" xfId="734"/>
    <cellStyle name="Normal 44" xfId="735"/>
    <cellStyle name="Normal 5" xfId="494"/>
    <cellStyle name="Normal 5 2" xfId="495"/>
    <cellStyle name="Normal 5 3" xfId="496"/>
    <cellStyle name="Normal 6" xfId="497"/>
    <cellStyle name="Normal 6 2" xfId="498"/>
    <cellStyle name="Normal 6 2 2" xfId="499"/>
    <cellStyle name="Normal 6 2 3" xfId="500"/>
    <cellStyle name="Normal 7" xfId="501"/>
    <cellStyle name="Normal 7 2" xfId="502"/>
    <cellStyle name="Normal 7 2 2" xfId="503"/>
    <cellStyle name="Normal 7 2 2 2" xfId="504"/>
    <cellStyle name="Normal 7 2 2 3" xfId="505"/>
    <cellStyle name="Normal 7 2 3" xfId="506"/>
    <cellStyle name="Normal 7 2 4" xfId="507"/>
    <cellStyle name="Normal 8" xfId="508"/>
    <cellStyle name="Normal 8 2" xfId="509"/>
    <cellStyle name="Normal 8 2 2" xfId="510"/>
    <cellStyle name="Normal 8 2 3" xfId="511"/>
    <cellStyle name="Normal 8 2 3 2" xfId="512"/>
    <cellStyle name="Normal 8 2 3 3" xfId="513"/>
    <cellStyle name="Normal 8 2 4" xfId="514"/>
    <cellStyle name="Normal 9" xfId="515"/>
    <cellStyle name="Normal 9 2" xfId="516"/>
    <cellStyle name="Normal_2010 06 22 - IE - Scheme Template for data collection 2" xfId="517"/>
    <cellStyle name="Normal_2010 07 28 - AA - Template for data collection 2" xfId="6"/>
    <cellStyle name="Normal_2010 07 28 - AA - Template for data collection 3" xfId="711"/>
    <cellStyle name="Note 2" xfId="518"/>
    <cellStyle name="Note 2 2" xfId="519"/>
    <cellStyle name="Note 2 2 2" xfId="520"/>
    <cellStyle name="Note 2 3" xfId="521"/>
    <cellStyle name="Note 2 3 2" xfId="522"/>
    <cellStyle name="Note 2 3 3" xfId="523"/>
    <cellStyle name="Note 2 4" xfId="524"/>
    <cellStyle name="Note 3" xfId="525"/>
    <cellStyle name="Note 3 2" xfId="526"/>
    <cellStyle name="Note 3 2 2" xfId="527"/>
    <cellStyle name="Note 3 3" xfId="528"/>
    <cellStyle name="Note 3 3 2" xfId="529"/>
    <cellStyle name="Note 3 3 3" xfId="530"/>
    <cellStyle name="Note 3 4" xfId="531"/>
    <cellStyle name="Note 4" xfId="532"/>
    <cellStyle name="Note 4 2" xfId="533"/>
    <cellStyle name="Note 4 2 2" xfId="534"/>
    <cellStyle name="Note 4 3" xfId="535"/>
    <cellStyle name="Note 4 3 2" xfId="536"/>
    <cellStyle name="Note 4 3 3" xfId="537"/>
    <cellStyle name="Note 4 4" xfId="538"/>
    <cellStyle name="Output 2" xfId="539"/>
    <cellStyle name="Output 2 2" xfId="540"/>
    <cellStyle name="Output 2 2 2" xfId="541"/>
    <cellStyle name="Output 2 3" xfId="542"/>
    <cellStyle name="Output 2 3 2" xfId="543"/>
    <cellStyle name="Output 2 3 3" xfId="544"/>
    <cellStyle name="Output 2 4" xfId="545"/>
    <cellStyle name="Percent" xfId="1" builtinId="5"/>
    <cellStyle name="Percent [2]" xfId="546"/>
    <cellStyle name="Percent [2] 2" xfId="547"/>
    <cellStyle name="Percent [2]_29(d) - Gas extensions -tariffs" xfId="548"/>
    <cellStyle name="Percent 10" xfId="700"/>
    <cellStyle name="Percent 11" xfId="701"/>
    <cellStyle name="Percent 12" xfId="549"/>
    <cellStyle name="Percent 12 2" xfId="550"/>
    <cellStyle name="Percent 12 2 2" xfId="551"/>
    <cellStyle name="Percent 12 3" xfId="552"/>
    <cellStyle name="Percent 12 4" xfId="553"/>
    <cellStyle name="Percent 13" xfId="719"/>
    <cellStyle name="Percent 14" xfId="726"/>
    <cellStyle name="Percent 15" xfId="727"/>
    <cellStyle name="Percent 16" xfId="730"/>
    <cellStyle name="Percent 17" xfId="740"/>
    <cellStyle name="Percent 2" xfId="554"/>
    <cellStyle name="Percent 2 2" xfId="555"/>
    <cellStyle name="Percent 2 2 2" xfId="556"/>
    <cellStyle name="Percent 2 2 2 2" xfId="557"/>
    <cellStyle name="Percent 2 2 2 2 2" xfId="558"/>
    <cellStyle name="Percent 2 2 2 2 3" xfId="559"/>
    <cellStyle name="Percent 2 2 2 3" xfId="560"/>
    <cellStyle name="Percent 2 2 2 4" xfId="561"/>
    <cellStyle name="Percent 2 2 3" xfId="562"/>
    <cellStyle name="Percent 2 2 3 2" xfId="563"/>
    <cellStyle name="Percent 2 2 3 2 2" xfId="564"/>
    <cellStyle name="Percent 2 2 3 2 3" xfId="565"/>
    <cellStyle name="Percent 2 2 3 3" xfId="566"/>
    <cellStyle name="Percent 2 2 3 4" xfId="567"/>
    <cellStyle name="Percent 2 3" xfId="568"/>
    <cellStyle name="Percent 2 3 2" xfId="569"/>
    <cellStyle name="Percent 2 3 2 2" xfId="570"/>
    <cellStyle name="Percent 2 3 2 3" xfId="571"/>
    <cellStyle name="Percent 2 3 3" xfId="572"/>
    <cellStyle name="Percent 2 3 4" xfId="573"/>
    <cellStyle name="Percent 2 4" xfId="574"/>
    <cellStyle name="Percent 2 4 2" xfId="575"/>
    <cellStyle name="Percent 2 4 2 2" xfId="576"/>
    <cellStyle name="Percent 2 4 2 3" xfId="577"/>
    <cellStyle name="Percent 2 4 3" xfId="578"/>
    <cellStyle name="Percent 2 4 4" xfId="579"/>
    <cellStyle name="Percent 3" xfId="580"/>
    <cellStyle name="Percent 3 2" xfId="581"/>
    <cellStyle name="Percent 3 4" xfId="582"/>
    <cellStyle name="Percent 3 4 2" xfId="583"/>
    <cellStyle name="Percent 3 4 3" xfId="584"/>
    <cellStyle name="Percent 4" xfId="585"/>
    <cellStyle name="Percent 5" xfId="586"/>
    <cellStyle name="Percent 5 2" xfId="587"/>
    <cellStyle name="Percent 5 3" xfId="588"/>
    <cellStyle name="Percent 6" xfId="589"/>
    <cellStyle name="Percent 7" xfId="590"/>
    <cellStyle name="Percent 8" xfId="591"/>
    <cellStyle name="Percent 9" xfId="702"/>
    <cellStyle name="Percentage" xfId="592"/>
    <cellStyle name="Period Title" xfId="593"/>
    <cellStyle name="PSChar" xfId="594"/>
    <cellStyle name="PSDate" xfId="595"/>
    <cellStyle name="PSDec" xfId="596"/>
    <cellStyle name="PSDetail" xfId="597"/>
    <cellStyle name="PSHeading" xfId="598"/>
    <cellStyle name="PSHeading 2" xfId="599"/>
    <cellStyle name="PSHeading 2 2" xfId="600"/>
    <cellStyle name="PSHeading 2 2 2" xfId="601"/>
    <cellStyle name="PSHeading 2 3" xfId="602"/>
    <cellStyle name="PSHeading 3" xfId="603"/>
    <cellStyle name="PSHeading 3 2" xfId="604"/>
    <cellStyle name="PSHeading 3 2 2" xfId="605"/>
    <cellStyle name="PSHeading 3 2 2 2" xfId="703"/>
    <cellStyle name="PSHeading 3 2 3" xfId="704"/>
    <cellStyle name="PSHeading 3 3" xfId="606"/>
    <cellStyle name="PSHeading 4" xfId="607"/>
    <cellStyle name="PSHeading 4 2" xfId="608"/>
    <cellStyle name="PSHeading 5" xfId="705"/>
    <cellStyle name="PSInt" xfId="609"/>
    <cellStyle name="PSSpacer" xfId="610"/>
    <cellStyle name="Ratio" xfId="611"/>
    <cellStyle name="Ratio 2" xfId="612"/>
    <cellStyle name="Ratio_29(d) - Gas extensions -tariffs" xfId="613"/>
    <cellStyle name="Right Date" xfId="614"/>
    <cellStyle name="Right Number" xfId="615"/>
    <cellStyle name="Right Year" xfId="616"/>
    <cellStyle name="RIN_Input$_3dp" xfId="617"/>
    <cellStyle name="SAPError" xfId="618"/>
    <cellStyle name="SAPError 2" xfId="619"/>
    <cellStyle name="SAPKey" xfId="620"/>
    <cellStyle name="SAPKey 2" xfId="621"/>
    <cellStyle name="SAPLocked" xfId="622"/>
    <cellStyle name="SAPLocked 2" xfId="623"/>
    <cellStyle name="SAPOutput" xfId="624"/>
    <cellStyle name="SAPOutput 2" xfId="625"/>
    <cellStyle name="SAPSpace" xfId="626"/>
    <cellStyle name="SAPSpace 2" xfId="627"/>
    <cellStyle name="SAPText" xfId="628"/>
    <cellStyle name="SAPText 2" xfId="629"/>
    <cellStyle name="SAPUnLocked" xfId="630"/>
    <cellStyle name="SAPUnLocked 2" xfId="631"/>
    <cellStyle name="Sheet Title" xfId="632"/>
    <cellStyle name="SheetHeader1" xfId="633"/>
    <cellStyle name="Style 1" xfId="634"/>
    <cellStyle name="Style 1 2" xfId="635"/>
    <cellStyle name="Style 1 2 2" xfId="636"/>
    <cellStyle name="Style 1 3" xfId="637"/>
    <cellStyle name="Style 1 3 2" xfId="638"/>
    <cellStyle name="Style 1 3 3" xfId="639"/>
    <cellStyle name="Style 1 4" xfId="640"/>
    <cellStyle name="Style 1_29(d) - Gas extensions -tariffs" xfId="641"/>
    <cellStyle name="Style2" xfId="642"/>
    <cellStyle name="Style3" xfId="643"/>
    <cellStyle name="Style4" xfId="644"/>
    <cellStyle name="Style4 2" xfId="645"/>
    <cellStyle name="Style4_29(d) - Gas extensions -tariffs" xfId="646"/>
    <cellStyle name="Style5" xfId="647"/>
    <cellStyle name="Style5 2" xfId="648"/>
    <cellStyle name="Style5_29(d) - Gas extensions -tariffs" xfId="649"/>
    <cellStyle name="Table Head Green" xfId="650"/>
    <cellStyle name="Table Head_pldt" xfId="651"/>
    <cellStyle name="Table Source" xfId="652"/>
    <cellStyle name="Table Units" xfId="653"/>
    <cellStyle name="TableLvl2" xfId="654"/>
    <cellStyle name="TableLvl3" xfId="655"/>
    <cellStyle name="Text" xfId="656"/>
    <cellStyle name="Text 2" xfId="657"/>
    <cellStyle name="Text 3" xfId="658"/>
    <cellStyle name="Text Head 1" xfId="659"/>
    <cellStyle name="Text Head 2" xfId="660"/>
    <cellStyle name="Text Indent 2" xfId="661"/>
    <cellStyle name="Theirs" xfId="662"/>
    <cellStyle name="Title 2" xfId="663"/>
    <cellStyle name="TOC 1" xfId="664"/>
    <cellStyle name="TOC 2" xfId="665"/>
    <cellStyle name="TOC 3" xfId="666"/>
    <cellStyle name="Total 2" xfId="667"/>
    <cellStyle name="Total 2 2" xfId="668"/>
    <cellStyle name="Total 2 2 2" xfId="669"/>
    <cellStyle name="Total 2 3" xfId="670"/>
    <cellStyle name="Total 2 3 2" xfId="671"/>
    <cellStyle name="Total 2 3 3" xfId="672"/>
    <cellStyle name="Total 2 4" xfId="673"/>
    <cellStyle name="Warning Text 2" xfId="674"/>
    <cellStyle name="year" xfId="675"/>
    <cellStyle name="year 2" xfId="676"/>
    <cellStyle name="year_29(d) - Gas extensions -tariffs" xfId="677"/>
  </cellStyles>
  <dxfs count="50">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9C0006"/>
      </font>
      <fill>
        <patternFill>
          <bgColor rgb="FFFFC7CE"/>
        </patternFill>
      </fill>
    </dxf>
    <dxf>
      <font>
        <b/>
        <i val="0"/>
        <color theme="5"/>
      </font>
    </dxf>
    <dxf>
      <font>
        <b/>
        <i val="0"/>
        <color theme="5"/>
      </font>
    </dxf>
    <dxf>
      <font>
        <b/>
        <i val="0"/>
        <color theme="5"/>
      </font>
    </dxf>
    <dxf>
      <font>
        <b/>
        <i val="0"/>
        <color theme="5"/>
      </font>
      <border>
        <vertical/>
        <horizontal/>
      </border>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
      <font>
        <b/>
        <i val="0"/>
        <color rgb="FFFF0000"/>
      </font>
    </dxf>
    <dxf>
      <font>
        <b/>
        <i val="0"/>
        <color rgb="FFFF0000"/>
      </font>
    </dxf>
    <dxf>
      <fill>
        <patternFill>
          <bgColor rgb="FFFFFF99"/>
        </patternFill>
      </fill>
    </dxf>
    <dxf>
      <fill>
        <patternFill>
          <bgColor theme="6"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155864</xdr:colOff>
      <xdr:row>10</xdr:row>
      <xdr:rowOff>26076</xdr:rowOff>
    </xdr:from>
    <xdr:to>
      <xdr:col>44</xdr:col>
      <xdr:colOff>84178</xdr:colOff>
      <xdr:row>13</xdr:row>
      <xdr:rowOff>175284</xdr:rowOff>
    </xdr:to>
    <xdr:sp macro="[0]!MarkConfidential" textlink="">
      <xdr:nvSpPr>
        <xdr:cNvPr id="2" name="Rounded Rectangle 1"/>
        <xdr:cNvSpPr/>
      </xdr:nvSpPr>
      <xdr:spPr>
        <a:xfrm>
          <a:off x="70783739" y="2121576"/>
          <a:ext cx="1757114"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41</xdr:col>
      <xdr:colOff>155867</xdr:colOff>
      <xdr:row>14</xdr:row>
      <xdr:rowOff>59774</xdr:rowOff>
    </xdr:from>
    <xdr:to>
      <xdr:col>44</xdr:col>
      <xdr:colOff>93601</xdr:colOff>
      <xdr:row>17</xdr:row>
      <xdr:rowOff>159552</xdr:rowOff>
    </xdr:to>
    <xdr:sp macro="[0]!MarkNonConfidential" textlink="">
      <xdr:nvSpPr>
        <xdr:cNvPr id="3" name="Rounded Rectangle 2"/>
        <xdr:cNvSpPr/>
      </xdr:nvSpPr>
      <xdr:spPr>
        <a:xfrm>
          <a:off x="70783742" y="2917274"/>
          <a:ext cx="1766534"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clientData/>
  </xdr:twoCellAnchor>
  <xdr:twoCellAnchor>
    <xdr:from>
      <xdr:col>45</xdr:col>
      <xdr:colOff>528101</xdr:colOff>
      <xdr:row>9</xdr:row>
      <xdr:rowOff>199159</xdr:rowOff>
    </xdr:from>
    <xdr:to>
      <xdr:col>51</xdr:col>
      <xdr:colOff>77847</xdr:colOff>
      <xdr:row>18</xdr:row>
      <xdr:rowOff>37246</xdr:rowOff>
    </xdr:to>
    <xdr:sp macro="" textlink="">
      <xdr:nvSpPr>
        <xdr:cNvPr id="4" name="Rounded Rectangle 3"/>
        <xdr:cNvSpPr/>
      </xdr:nvSpPr>
      <xdr:spPr>
        <a:xfrm>
          <a:off x="73594376" y="1951759"/>
          <a:ext cx="3207346" cy="170498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48</xdr:col>
      <xdr:colOff>176628</xdr:colOff>
      <xdr:row>14</xdr:row>
      <xdr:rowOff>18714</xdr:rowOff>
    </xdr:from>
    <xdr:to>
      <xdr:col>50</xdr:col>
      <xdr:colOff>524614</xdr:colOff>
      <xdr:row>17</xdr:row>
      <xdr:rowOff>178270</xdr:rowOff>
    </xdr:to>
    <xdr:sp macro="[0]!dms_ReturnNonAmended" textlink="">
      <xdr:nvSpPr>
        <xdr:cNvPr id="5" name="Rounded Rectangle 4"/>
        <xdr:cNvSpPr/>
      </xdr:nvSpPr>
      <xdr:spPr>
        <a:xfrm>
          <a:off x="75071703" y="2876214"/>
          <a:ext cx="1567186"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clientData/>
  </xdr:twoCellAnchor>
  <xdr:twoCellAnchor>
    <xdr:from>
      <xdr:col>48</xdr:col>
      <xdr:colOff>169806</xdr:colOff>
      <xdr:row>10</xdr:row>
      <xdr:rowOff>47186</xdr:rowOff>
    </xdr:from>
    <xdr:to>
      <xdr:col>50</xdr:col>
      <xdr:colOff>534680</xdr:colOff>
      <xdr:row>13</xdr:row>
      <xdr:rowOff>180628</xdr:rowOff>
    </xdr:to>
    <xdr:sp macro="" textlink="">
      <xdr:nvSpPr>
        <xdr:cNvPr id="6" name="Rounded Rectangle 5"/>
        <xdr:cNvSpPr/>
      </xdr:nvSpPr>
      <xdr:spPr>
        <a:xfrm>
          <a:off x="75064881" y="2142686"/>
          <a:ext cx="158407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clientData/>
  </xdr:twoCellAnchor>
  <xdr:twoCellAnchor>
    <xdr:from>
      <xdr:col>46</xdr:col>
      <xdr:colOff>133850</xdr:colOff>
      <xdr:row>10</xdr:row>
      <xdr:rowOff>94877</xdr:rowOff>
    </xdr:from>
    <xdr:to>
      <xdr:col>48</xdr:col>
      <xdr:colOff>24310</xdr:colOff>
      <xdr:row>17</xdr:row>
      <xdr:rowOff>127970</xdr:rowOff>
    </xdr:to>
    <xdr:sp macro="" textlink="">
      <xdr:nvSpPr>
        <xdr:cNvPr id="7" name="Rounded Rectangle 6"/>
        <xdr:cNvSpPr/>
      </xdr:nvSpPr>
      <xdr:spPr>
        <a:xfrm>
          <a:off x="73809725" y="2190377"/>
          <a:ext cx="1109660"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209709</xdr:colOff>
      <xdr:row>0</xdr:row>
      <xdr:rowOff>54429</xdr:rowOff>
    </xdr:from>
    <xdr:to>
      <xdr:col>14</xdr:col>
      <xdr:colOff>456482</xdr:colOff>
      <xdr:row>2</xdr:row>
      <xdr:rowOff>330666</xdr:rowOff>
    </xdr:to>
    <xdr:grpSp>
      <xdr:nvGrpSpPr>
        <xdr:cNvPr id="9" name="Group 8"/>
        <xdr:cNvGrpSpPr/>
      </xdr:nvGrpSpPr>
      <xdr:grpSpPr>
        <a:xfrm>
          <a:off x="10653191" y="54429"/>
          <a:ext cx="5961773" cy="1047308"/>
          <a:chOff x="6257924" y="76200"/>
          <a:chExt cx="5973778" cy="1034035"/>
        </a:xfrm>
      </xdr:grpSpPr>
      <xdr:grpSp>
        <xdr:nvGrpSpPr>
          <xdr:cNvPr id="10" name="Group 9"/>
          <xdr:cNvGrpSpPr/>
        </xdr:nvGrpSpPr>
        <xdr:grpSpPr>
          <a:xfrm>
            <a:off x="6257924" y="94034"/>
            <a:ext cx="1753561" cy="971060"/>
            <a:chOff x="11448892" y="2483864"/>
            <a:chExt cx="1750813" cy="517167"/>
          </a:xfrm>
        </xdr:grpSpPr>
        <xdr:sp macro="[0]!MarkConfidential" textlink="">
          <xdr:nvSpPr>
            <xdr:cNvPr id="17" name="Rounded Rectangle 1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8" name="Rounded Rectangle 1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1" name="Group 10"/>
          <xdr:cNvGrpSpPr/>
        </xdr:nvGrpSpPr>
        <xdr:grpSpPr>
          <a:xfrm>
            <a:off x="9047916" y="76200"/>
            <a:ext cx="3183786" cy="1034035"/>
            <a:chOff x="8959453" y="47625"/>
            <a:chExt cx="3191911" cy="1037397"/>
          </a:xfrm>
        </xdr:grpSpPr>
        <xdr:sp macro="" textlink="">
          <xdr:nvSpPr>
            <xdr:cNvPr id="12" name="Rounded Rectangle 1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3" name="Group 12"/>
            <xdr:cNvGrpSpPr/>
          </xdr:nvGrpSpPr>
          <xdr:grpSpPr>
            <a:xfrm>
              <a:off x="10422881" y="79536"/>
              <a:ext cx="1576451" cy="972629"/>
              <a:chOff x="24351211" y="420304"/>
              <a:chExt cx="1935032" cy="711040"/>
            </a:xfrm>
          </xdr:grpSpPr>
          <xdr:sp macro="[0]!dms_ReturnNonAmended" textlink="">
            <xdr:nvSpPr>
              <xdr:cNvPr id="15" name="Rounded Rectangle 1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6" name="Rounded Rectangle 1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4" name="Rounded Rectangle 1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AN227"/>
  <sheetViews>
    <sheetView showGridLines="0" topLeftCell="B8" zoomScale="70" zoomScaleNormal="70" workbookViewId="0">
      <selection activeCell="F29" sqref="F29"/>
    </sheetView>
  </sheetViews>
  <sheetFormatPr defaultColWidth="9.140625" defaultRowHeight="15"/>
  <cols>
    <col min="1" max="1" width="24.28515625" style="1" customWidth="1"/>
    <col min="2" max="2" width="33.85546875" style="3" customWidth="1"/>
    <col min="3" max="3" width="60.5703125" style="3" customWidth="1"/>
    <col min="4" max="4" width="21.28515625" style="1" customWidth="1"/>
    <col min="5" max="5" width="26.42578125" style="4" customWidth="1"/>
    <col min="6" max="6" width="22.140625" style="1" customWidth="1"/>
    <col min="7" max="7" width="24.140625" style="1" customWidth="1"/>
    <col min="8" max="8" width="28.28515625" style="3" customWidth="1"/>
    <col min="9" max="9" width="19" style="5" customWidth="1"/>
    <col min="10" max="10" width="25.7109375" style="3" customWidth="1"/>
    <col min="11" max="11" width="16.140625" style="3" customWidth="1"/>
    <col min="12" max="12" width="14.140625" style="6" customWidth="1"/>
    <col min="13" max="13" width="13.28515625" style="1" customWidth="1"/>
    <col min="14" max="14" width="36.28515625" style="1" customWidth="1"/>
    <col min="15" max="15" width="20.7109375" style="2" customWidth="1"/>
    <col min="16" max="16" width="21" style="2" customWidth="1"/>
    <col min="17" max="17" width="22.28515625" style="2" customWidth="1"/>
    <col min="18" max="18" width="20.7109375" style="2" customWidth="1"/>
    <col min="19" max="19" width="25" style="2" customWidth="1"/>
    <col min="20" max="20" width="22.28515625" style="2" customWidth="1"/>
    <col min="21" max="21" width="22.5703125" style="2" customWidth="1"/>
    <col min="22" max="22" width="23.85546875" style="2" customWidth="1"/>
    <col min="23" max="23" width="22.28515625" style="2" customWidth="1"/>
    <col min="24" max="24" width="26.42578125" style="1" customWidth="1"/>
    <col min="25" max="25" width="37.85546875" style="1" customWidth="1"/>
    <col min="26" max="26" width="27.28515625" style="1" customWidth="1"/>
    <col min="27" max="27" width="39.5703125" style="1" customWidth="1"/>
    <col min="28" max="28" width="19.42578125" style="467" customWidth="1"/>
    <col min="29" max="29" width="21.28515625" style="467" customWidth="1"/>
    <col min="30" max="31" width="27" style="1" customWidth="1"/>
    <col min="32" max="32" width="30.140625" style="1" customWidth="1"/>
    <col min="33" max="33" width="29.28515625" style="1" customWidth="1"/>
    <col min="34" max="34" width="26.42578125" style="1" customWidth="1"/>
    <col min="35" max="35" width="25.140625" style="1" customWidth="1"/>
    <col min="36" max="36" width="28.85546875" style="1" customWidth="1"/>
    <col min="37" max="37" width="28.5703125" style="1" customWidth="1"/>
    <col min="38" max="38" width="25.140625" style="1" customWidth="1"/>
    <col min="39" max="39" width="23.7109375" style="1" customWidth="1"/>
    <col min="40" max="40" width="21.28515625" style="1" customWidth="1"/>
    <col min="41" max="41" width="28.5703125" style="1" customWidth="1"/>
    <col min="42" max="16384" width="9.140625" style="1"/>
  </cols>
  <sheetData>
    <row r="1" spans="2:40">
      <c r="B1" s="1146" t="s">
        <v>0</v>
      </c>
      <c r="C1" s="1146"/>
      <c r="D1" s="1146"/>
      <c r="E1" s="1146"/>
      <c r="F1" s="1146"/>
      <c r="G1" s="1146"/>
      <c r="H1" s="1146"/>
      <c r="I1" s="1146"/>
      <c r="J1" s="1146"/>
      <c r="K1" s="1146"/>
      <c r="L1" s="1146"/>
    </row>
    <row r="2" spans="2:40">
      <c r="B2" s="468" t="s">
        <v>1</v>
      </c>
      <c r="C2" s="469">
        <v>42751</v>
      </c>
      <c r="D2" s="470" t="s">
        <v>699</v>
      </c>
      <c r="E2" s="470"/>
      <c r="F2" s="471"/>
      <c r="G2" s="471"/>
      <c r="H2" s="472"/>
      <c r="I2" s="473"/>
      <c r="J2" s="472"/>
      <c r="K2" s="472"/>
      <c r="L2" s="474"/>
    </row>
    <row r="3" spans="2:40">
      <c r="B3" s="468"/>
      <c r="C3" s="469">
        <v>42660</v>
      </c>
      <c r="D3" s="470" t="s">
        <v>2</v>
      </c>
      <c r="E3" s="470"/>
      <c r="F3" s="471"/>
      <c r="G3" s="471"/>
      <c r="H3" s="472"/>
      <c r="I3" s="473"/>
      <c r="J3" s="472"/>
      <c r="K3" s="472"/>
      <c r="L3" s="474"/>
    </row>
    <row r="4" spans="2:40">
      <c r="B4" s="468"/>
      <c r="C4" s="469">
        <v>42767</v>
      </c>
      <c r="D4" s="471" t="s">
        <v>700</v>
      </c>
      <c r="E4" s="470"/>
      <c r="F4" s="471"/>
      <c r="G4" s="471"/>
      <c r="H4" s="472"/>
      <c r="I4" s="473"/>
      <c r="J4" s="472"/>
      <c r="K4" s="472"/>
      <c r="L4" s="474"/>
    </row>
    <row r="5" spans="2:40" ht="15.75">
      <c r="B5" s="472"/>
      <c r="C5" s="469">
        <v>42797</v>
      </c>
      <c r="D5" s="471" t="s">
        <v>701</v>
      </c>
      <c r="E5" s="470"/>
      <c r="F5" s="471"/>
      <c r="G5" s="471"/>
      <c r="H5" s="472"/>
      <c r="I5" s="473"/>
      <c r="J5" s="472"/>
      <c r="K5" s="472"/>
      <c r="L5" s="474"/>
      <c r="AB5" s="1147" t="s">
        <v>3</v>
      </c>
      <c r="AC5" s="1147"/>
      <c r="AD5" s="1147"/>
      <c r="AE5" s="1147"/>
      <c r="AF5" s="1147"/>
      <c r="AG5" s="1147"/>
      <c r="AH5" s="1147"/>
      <c r="AI5" s="1147"/>
      <c r="AJ5" s="1147"/>
      <c r="AK5" s="1147"/>
      <c r="AL5" s="1147"/>
      <c r="AM5" s="1147"/>
    </row>
    <row r="6" spans="2:40" ht="16.5" thickBot="1">
      <c r="B6" s="472"/>
      <c r="C6" s="469">
        <v>43187</v>
      </c>
      <c r="D6" s="471" t="s">
        <v>758</v>
      </c>
      <c r="E6" s="470"/>
      <c r="F6" s="471"/>
      <c r="G6" s="471"/>
      <c r="H6" s="472"/>
      <c r="I6" s="473"/>
      <c r="J6" s="472"/>
      <c r="K6" s="472"/>
      <c r="L6" s="474"/>
      <c r="N6" s="2"/>
      <c r="W6" s="1"/>
      <c r="AB6" s="475"/>
      <c r="AC6" s="475"/>
      <c r="AD6" s="475"/>
      <c r="AE6" s="475"/>
      <c r="AF6" s="475"/>
      <c r="AG6" s="475"/>
      <c r="AH6" s="475"/>
      <c r="AI6" s="475"/>
      <c r="AJ6" s="475"/>
      <c r="AK6" s="475"/>
      <c r="AL6" s="475"/>
      <c r="AM6" s="475"/>
    </row>
    <row r="7" spans="2:40">
      <c r="B7" s="472"/>
      <c r="C7" s="472" t="s">
        <v>759</v>
      </c>
      <c r="D7" s="476">
        <v>5</v>
      </c>
      <c r="E7" s="470"/>
      <c r="F7" s="471"/>
      <c r="G7" s="471"/>
      <c r="H7" s="472"/>
      <c r="I7" s="473"/>
      <c r="J7" s="472"/>
      <c r="K7" s="472"/>
      <c r="L7" s="474"/>
      <c r="N7" s="2"/>
      <c r="W7" s="1"/>
      <c r="AB7" s="1148" t="s">
        <v>4</v>
      </c>
      <c r="AC7" s="1149"/>
      <c r="AD7" s="1149"/>
      <c r="AE7" s="1149"/>
      <c r="AF7" s="477" t="s">
        <v>5</v>
      </c>
      <c r="AG7" s="478" t="s">
        <v>6</v>
      </c>
      <c r="AH7" s="1150" t="s">
        <v>7</v>
      </c>
      <c r="AI7" s="1151"/>
      <c r="AJ7" s="1151"/>
      <c r="AK7" s="1151"/>
      <c r="AL7" s="1152"/>
      <c r="AM7" s="479"/>
    </row>
    <row r="8" spans="2:40">
      <c r="B8" s="472"/>
      <c r="C8" s="472"/>
      <c r="D8" s="476"/>
      <c r="E8" s="470"/>
      <c r="F8" s="471"/>
      <c r="G8" s="471"/>
      <c r="H8" s="472"/>
      <c r="I8" s="473"/>
      <c r="J8" s="472"/>
      <c r="K8" s="472"/>
      <c r="L8" s="474"/>
      <c r="N8" s="2"/>
      <c r="W8" s="1"/>
      <c r="AB8" s="480"/>
      <c r="AC8" s="481"/>
      <c r="AD8" s="481"/>
      <c r="AE8" s="481"/>
      <c r="AF8" s="482"/>
      <c r="AG8" s="483"/>
      <c r="AH8" s="484"/>
      <c r="AI8" s="485"/>
      <c r="AJ8" s="485"/>
      <c r="AK8" s="485"/>
      <c r="AL8" s="486"/>
      <c r="AM8" s="479"/>
    </row>
    <row r="9" spans="2:40" ht="15.75" thickBot="1">
      <c r="C9" s="7"/>
      <c r="N9" s="2"/>
      <c r="W9" s="1"/>
      <c r="AB9" s="487" t="s">
        <v>8</v>
      </c>
      <c r="AC9" s="488" t="s">
        <v>9</v>
      </c>
      <c r="AD9" s="488" t="s">
        <v>10</v>
      </c>
      <c r="AE9" s="488" t="s">
        <v>11</v>
      </c>
      <c r="AF9" s="489" t="s">
        <v>12</v>
      </c>
      <c r="AG9" s="490"/>
      <c r="AH9" s="491"/>
      <c r="AI9" s="492"/>
      <c r="AJ9" s="492"/>
      <c r="AK9" s="492"/>
      <c r="AL9" s="493"/>
      <c r="AM9" s="479"/>
    </row>
    <row r="10" spans="2:40" ht="27" thickBot="1">
      <c r="B10" s="494" t="s">
        <v>13</v>
      </c>
      <c r="C10" s="495" t="s">
        <v>14</v>
      </c>
      <c r="D10" s="496" t="s">
        <v>15</v>
      </c>
      <c r="E10" s="497" t="s">
        <v>16</v>
      </c>
      <c r="F10" s="498" t="s">
        <v>17</v>
      </c>
      <c r="G10" s="498" t="s">
        <v>18</v>
      </c>
      <c r="H10" s="498" t="s">
        <v>19</v>
      </c>
      <c r="I10" s="498" t="s">
        <v>20</v>
      </c>
      <c r="J10" s="498" t="s">
        <v>21</v>
      </c>
      <c r="K10" s="498" t="s">
        <v>22</v>
      </c>
      <c r="L10" s="499" t="s">
        <v>23</v>
      </c>
      <c r="M10" s="500" t="s">
        <v>24</v>
      </c>
      <c r="N10" s="501" t="s">
        <v>25</v>
      </c>
      <c r="O10" s="502" t="s">
        <v>26</v>
      </c>
      <c r="P10" s="503" t="s">
        <v>27</v>
      </c>
      <c r="Q10" s="503" t="s">
        <v>28</v>
      </c>
      <c r="R10" s="503" t="s">
        <v>29</v>
      </c>
      <c r="S10" s="503" t="s">
        <v>30</v>
      </c>
      <c r="T10" s="504" t="s">
        <v>31</v>
      </c>
      <c r="U10" s="504" t="s">
        <v>32</v>
      </c>
      <c r="V10" s="504" t="s">
        <v>33</v>
      </c>
      <c r="W10" s="504" t="s">
        <v>34</v>
      </c>
      <c r="X10" s="504" t="s">
        <v>35</v>
      </c>
      <c r="Y10" s="505" t="s">
        <v>36</v>
      </c>
      <c r="Z10" s="506" t="s">
        <v>37</v>
      </c>
      <c r="AA10" s="506" t="s">
        <v>38</v>
      </c>
      <c r="AB10" s="507" t="s">
        <v>39</v>
      </c>
      <c r="AC10" s="507" t="s">
        <v>40</v>
      </c>
      <c r="AD10" s="507" t="s">
        <v>41</v>
      </c>
      <c r="AE10" s="507" t="s">
        <v>42</v>
      </c>
      <c r="AF10" s="507" t="s">
        <v>43</v>
      </c>
      <c r="AG10" s="507" t="s">
        <v>44</v>
      </c>
      <c r="AH10" s="507" t="s">
        <v>45</v>
      </c>
      <c r="AI10" s="507" t="s">
        <v>46</v>
      </c>
      <c r="AJ10" s="507" t="s">
        <v>47</v>
      </c>
      <c r="AK10" s="507" t="s">
        <v>48</v>
      </c>
      <c r="AL10" s="508" t="s">
        <v>49</v>
      </c>
      <c r="AM10" s="509" t="s">
        <v>760</v>
      </c>
      <c r="AN10" s="510" t="s">
        <v>702</v>
      </c>
    </row>
    <row r="11" spans="2:40">
      <c r="B11" s="511" t="s">
        <v>50</v>
      </c>
      <c r="C11" s="512" t="s">
        <v>50</v>
      </c>
      <c r="D11" s="513">
        <v>76670568688</v>
      </c>
      <c r="E11" s="514" t="s">
        <v>51</v>
      </c>
      <c r="F11" s="515" t="s">
        <v>52</v>
      </c>
      <c r="G11" s="515" t="s">
        <v>53</v>
      </c>
      <c r="H11" s="516" t="s">
        <v>54</v>
      </c>
      <c r="I11" s="517" t="s">
        <v>55</v>
      </c>
      <c r="J11" s="516" t="s">
        <v>56</v>
      </c>
      <c r="K11" s="518">
        <v>5</v>
      </c>
      <c r="L11" s="519">
        <v>5</v>
      </c>
      <c r="M11" s="520">
        <v>5</v>
      </c>
      <c r="N11" s="521" t="s">
        <v>57</v>
      </c>
      <c r="O11" s="522" t="s">
        <v>58</v>
      </c>
      <c r="P11" s="523"/>
      <c r="Q11" s="524" t="s">
        <v>59</v>
      </c>
      <c r="R11" s="525" t="s">
        <v>51</v>
      </c>
      <c r="S11" s="526">
        <v>2600</v>
      </c>
      <c r="T11" s="527" t="s">
        <v>60</v>
      </c>
      <c r="U11" s="523"/>
      <c r="V11" s="523" t="s">
        <v>59</v>
      </c>
      <c r="W11" s="523" t="s">
        <v>51</v>
      </c>
      <c r="X11" s="528">
        <v>2601</v>
      </c>
      <c r="Y11" s="527" t="s">
        <v>61</v>
      </c>
      <c r="Z11" s="523" t="s">
        <v>62</v>
      </c>
      <c r="AA11" s="523" t="s">
        <v>63</v>
      </c>
      <c r="AB11" s="529" t="s">
        <v>64</v>
      </c>
      <c r="AC11" s="530" t="s">
        <v>65</v>
      </c>
      <c r="AD11" s="530" t="s">
        <v>65</v>
      </c>
      <c r="AE11" s="530" t="s">
        <v>64</v>
      </c>
      <c r="AF11" s="530" t="s">
        <v>64</v>
      </c>
      <c r="AG11" s="531"/>
      <c r="AH11" s="532" t="s">
        <v>8</v>
      </c>
      <c r="AI11" s="533" t="s">
        <v>9</v>
      </c>
      <c r="AJ11" s="533" t="s">
        <v>10</v>
      </c>
      <c r="AK11" s="534" t="s">
        <v>66</v>
      </c>
      <c r="AL11" s="535"/>
      <c r="AM11" s="536" t="s">
        <v>64</v>
      </c>
      <c r="AN11" s="537" t="s">
        <v>50</v>
      </c>
    </row>
    <row r="12" spans="2:40">
      <c r="B12" s="538" t="s">
        <v>67</v>
      </c>
      <c r="C12" s="539" t="s">
        <v>67</v>
      </c>
      <c r="D12" s="540">
        <v>76670568688</v>
      </c>
      <c r="E12" s="541" t="s">
        <v>51</v>
      </c>
      <c r="F12" s="542" t="s">
        <v>52</v>
      </c>
      <c r="G12" s="542" t="s">
        <v>53</v>
      </c>
      <c r="H12" s="543" t="s">
        <v>54</v>
      </c>
      <c r="I12" s="544" t="s">
        <v>55</v>
      </c>
      <c r="J12" s="543" t="s">
        <v>56</v>
      </c>
      <c r="K12" s="545">
        <v>5</v>
      </c>
      <c r="L12" s="546">
        <v>5</v>
      </c>
      <c r="M12" s="547">
        <v>5</v>
      </c>
      <c r="N12" s="542" t="s">
        <v>68</v>
      </c>
      <c r="O12" s="548" t="s">
        <v>58</v>
      </c>
      <c r="P12" s="549"/>
      <c r="Q12" s="550" t="s">
        <v>59</v>
      </c>
      <c r="R12" s="551" t="s">
        <v>51</v>
      </c>
      <c r="S12" s="552">
        <v>2600</v>
      </c>
      <c r="T12" s="553" t="s">
        <v>60</v>
      </c>
      <c r="U12" s="549"/>
      <c r="V12" s="549" t="s">
        <v>59</v>
      </c>
      <c r="W12" s="549" t="s">
        <v>51</v>
      </c>
      <c r="X12" s="554">
        <v>2601</v>
      </c>
      <c r="Y12" s="553" t="s">
        <v>61</v>
      </c>
      <c r="Z12" s="549" t="s">
        <v>62</v>
      </c>
      <c r="AA12" s="549" t="s">
        <v>63</v>
      </c>
      <c r="AB12" s="555" t="s">
        <v>64</v>
      </c>
      <c r="AC12" s="556" t="s">
        <v>65</v>
      </c>
      <c r="AD12" s="556" t="s">
        <v>65</v>
      </c>
      <c r="AE12" s="556" t="s">
        <v>64</v>
      </c>
      <c r="AF12" s="556" t="s">
        <v>64</v>
      </c>
      <c r="AG12" s="557"/>
      <c r="AH12" s="558" t="s">
        <v>8</v>
      </c>
      <c r="AI12" s="559" t="s">
        <v>9</v>
      </c>
      <c r="AJ12" s="559" t="s">
        <v>10</v>
      </c>
      <c r="AK12" s="560" t="s">
        <v>66</v>
      </c>
      <c r="AL12" s="561"/>
      <c r="AM12" s="562" t="s">
        <v>64</v>
      </c>
      <c r="AN12" s="563" t="s">
        <v>67</v>
      </c>
    </row>
    <row r="13" spans="2:40">
      <c r="B13" s="564" t="s">
        <v>69</v>
      </c>
      <c r="C13" s="538" t="s">
        <v>69</v>
      </c>
      <c r="D13" s="540">
        <v>76670568688</v>
      </c>
      <c r="E13" s="565" t="s">
        <v>51</v>
      </c>
      <c r="F13" s="566" t="s">
        <v>70</v>
      </c>
      <c r="G13" s="566" t="s">
        <v>53</v>
      </c>
      <c r="H13" s="543" t="s">
        <v>71</v>
      </c>
      <c r="I13" s="544" t="s">
        <v>55</v>
      </c>
      <c r="J13" s="543" t="s">
        <v>56</v>
      </c>
      <c r="K13" s="567">
        <v>5</v>
      </c>
      <c r="L13" s="546">
        <v>5</v>
      </c>
      <c r="M13" s="568" t="s">
        <v>72</v>
      </c>
      <c r="N13" s="566"/>
      <c r="O13" s="569" t="s">
        <v>58</v>
      </c>
      <c r="P13" s="570"/>
      <c r="Q13" s="571" t="s">
        <v>59</v>
      </c>
      <c r="R13" s="572" t="s">
        <v>51</v>
      </c>
      <c r="S13" s="573">
        <v>2600</v>
      </c>
      <c r="T13" s="574" t="s">
        <v>60</v>
      </c>
      <c r="U13" s="570"/>
      <c r="V13" s="570" t="s">
        <v>59</v>
      </c>
      <c r="W13" s="570" t="s">
        <v>51</v>
      </c>
      <c r="X13" s="575">
        <v>2601</v>
      </c>
      <c r="Y13" s="574" t="s">
        <v>73</v>
      </c>
      <c r="Z13" s="570" t="s">
        <v>74</v>
      </c>
      <c r="AA13" s="570" t="s">
        <v>75</v>
      </c>
      <c r="AB13" s="555" t="s">
        <v>64</v>
      </c>
      <c r="AC13" s="556" t="s">
        <v>64</v>
      </c>
      <c r="AD13" s="556" t="s">
        <v>64</v>
      </c>
      <c r="AE13" s="556" t="s">
        <v>64</v>
      </c>
      <c r="AF13" s="556" t="s">
        <v>64</v>
      </c>
      <c r="AG13" s="557"/>
      <c r="AH13" s="558" t="s">
        <v>8</v>
      </c>
      <c r="AI13" s="559" t="s">
        <v>9</v>
      </c>
      <c r="AJ13" s="559" t="s">
        <v>10</v>
      </c>
      <c r="AK13" s="560" t="s">
        <v>66</v>
      </c>
      <c r="AL13" s="576"/>
      <c r="AM13" s="562" t="s">
        <v>64</v>
      </c>
      <c r="AN13" s="577" t="s">
        <v>69</v>
      </c>
    </row>
    <row r="14" spans="2:40">
      <c r="B14" s="538" t="s">
        <v>703</v>
      </c>
      <c r="C14" s="539" t="s">
        <v>704</v>
      </c>
      <c r="D14" s="540">
        <v>94072010327</v>
      </c>
      <c r="E14" s="541" t="s">
        <v>78</v>
      </c>
      <c r="F14" s="542" t="s">
        <v>52</v>
      </c>
      <c r="G14" s="542" t="s">
        <v>89</v>
      </c>
      <c r="H14" s="543" t="s">
        <v>128</v>
      </c>
      <c r="I14" s="544" t="s">
        <v>55</v>
      </c>
      <c r="J14" s="543" t="s">
        <v>122</v>
      </c>
      <c r="K14" s="545">
        <v>5</v>
      </c>
      <c r="L14" s="578">
        <v>5</v>
      </c>
      <c r="M14" s="547" t="s">
        <v>72</v>
      </c>
      <c r="N14" s="542" t="s">
        <v>128</v>
      </c>
      <c r="O14" s="553" t="s">
        <v>705</v>
      </c>
      <c r="P14" s="549" t="s">
        <v>706</v>
      </c>
      <c r="Q14" s="549" t="s">
        <v>137</v>
      </c>
      <c r="R14" s="579" t="s">
        <v>114</v>
      </c>
      <c r="S14" s="552">
        <v>3000</v>
      </c>
      <c r="T14" s="553" t="s">
        <v>707</v>
      </c>
      <c r="U14" s="549"/>
      <c r="V14" s="549" t="s">
        <v>137</v>
      </c>
      <c r="W14" s="549" t="s">
        <v>114</v>
      </c>
      <c r="X14" s="552">
        <v>3001</v>
      </c>
      <c r="Y14" s="553"/>
      <c r="Z14" s="549"/>
      <c r="AA14" s="549"/>
      <c r="AB14" s="555" t="s">
        <v>64</v>
      </c>
      <c r="AC14" s="556" t="s">
        <v>64</v>
      </c>
      <c r="AD14" s="556" t="s">
        <v>64</v>
      </c>
      <c r="AE14" s="556" t="s">
        <v>64</v>
      </c>
      <c r="AF14" s="556" t="s">
        <v>64</v>
      </c>
      <c r="AG14" s="557"/>
      <c r="AH14" s="558" t="s">
        <v>8</v>
      </c>
      <c r="AI14" s="559" t="s">
        <v>9</v>
      </c>
      <c r="AJ14" s="559" t="s">
        <v>10</v>
      </c>
      <c r="AK14" s="560" t="s">
        <v>66</v>
      </c>
      <c r="AL14" s="561"/>
      <c r="AM14" s="562" t="s">
        <v>64</v>
      </c>
      <c r="AN14" s="577" t="s">
        <v>703</v>
      </c>
    </row>
    <row r="15" spans="2:40">
      <c r="B15" s="564" t="s">
        <v>708</v>
      </c>
      <c r="C15" s="539" t="s">
        <v>709</v>
      </c>
      <c r="D15" s="540">
        <v>19078551685</v>
      </c>
      <c r="E15" s="565" t="s">
        <v>78</v>
      </c>
      <c r="F15" s="566" t="s">
        <v>70</v>
      </c>
      <c r="G15" s="566" t="s">
        <v>53</v>
      </c>
      <c r="H15" s="580" t="s">
        <v>71</v>
      </c>
      <c r="I15" s="567" t="s">
        <v>79</v>
      </c>
      <c r="J15" s="566" t="s">
        <v>80</v>
      </c>
      <c r="K15" s="567">
        <v>5</v>
      </c>
      <c r="L15" s="546">
        <v>5</v>
      </c>
      <c r="M15" s="568" t="s">
        <v>72</v>
      </c>
      <c r="N15" s="581"/>
      <c r="O15" s="574" t="s">
        <v>710</v>
      </c>
      <c r="P15" s="570" t="s">
        <v>711</v>
      </c>
      <c r="Q15" s="570" t="s">
        <v>81</v>
      </c>
      <c r="R15" s="582" t="s">
        <v>82</v>
      </c>
      <c r="S15" s="573">
        <v>5000</v>
      </c>
      <c r="T15" s="574" t="s">
        <v>712</v>
      </c>
      <c r="U15" s="570" t="s">
        <v>713</v>
      </c>
      <c r="V15" s="570" t="s">
        <v>81</v>
      </c>
      <c r="W15" s="570" t="s">
        <v>82</v>
      </c>
      <c r="X15" s="575">
        <v>5000</v>
      </c>
      <c r="Y15" s="574" t="s">
        <v>714</v>
      </c>
      <c r="Z15" s="570" t="s">
        <v>715</v>
      </c>
      <c r="AA15" s="570" t="s">
        <v>716</v>
      </c>
      <c r="AB15" s="555" t="s">
        <v>64</v>
      </c>
      <c r="AC15" s="556" t="s">
        <v>64</v>
      </c>
      <c r="AD15" s="556" t="s">
        <v>64</v>
      </c>
      <c r="AE15" s="556" t="s">
        <v>64</v>
      </c>
      <c r="AF15" s="556" t="s">
        <v>64</v>
      </c>
      <c r="AG15" s="557"/>
      <c r="AH15" s="558" t="s">
        <v>8</v>
      </c>
      <c r="AI15" s="559" t="s">
        <v>9</v>
      </c>
      <c r="AJ15" s="559" t="s">
        <v>10</v>
      </c>
      <c r="AK15" s="560" t="s">
        <v>66</v>
      </c>
      <c r="AL15" s="576"/>
      <c r="AM15" s="562" t="s">
        <v>64</v>
      </c>
      <c r="AN15" s="577" t="s">
        <v>76</v>
      </c>
    </row>
    <row r="16" spans="2:40">
      <c r="B16" s="564" t="s">
        <v>76</v>
      </c>
      <c r="C16" s="539" t="s">
        <v>77</v>
      </c>
      <c r="D16" s="540">
        <v>19078551685</v>
      </c>
      <c r="E16" s="541" t="s">
        <v>78</v>
      </c>
      <c r="F16" s="542" t="s">
        <v>70</v>
      </c>
      <c r="G16" s="542" t="s">
        <v>53</v>
      </c>
      <c r="H16" s="583" t="s">
        <v>71</v>
      </c>
      <c r="I16" s="545" t="s">
        <v>79</v>
      </c>
      <c r="J16" s="542" t="s">
        <v>80</v>
      </c>
      <c r="K16" s="545">
        <v>5</v>
      </c>
      <c r="L16" s="546">
        <v>5</v>
      </c>
      <c r="M16" s="547" t="s">
        <v>72</v>
      </c>
      <c r="N16" s="584"/>
      <c r="O16" s="553" t="s">
        <v>710</v>
      </c>
      <c r="P16" s="549" t="s">
        <v>711</v>
      </c>
      <c r="Q16" s="549" t="s">
        <v>81</v>
      </c>
      <c r="R16" s="579" t="s">
        <v>82</v>
      </c>
      <c r="S16" s="552">
        <v>5000</v>
      </c>
      <c r="T16" s="553" t="s">
        <v>712</v>
      </c>
      <c r="U16" s="549" t="s">
        <v>713</v>
      </c>
      <c r="V16" s="549" t="s">
        <v>81</v>
      </c>
      <c r="W16" s="549" t="s">
        <v>82</v>
      </c>
      <c r="X16" s="552">
        <v>5000</v>
      </c>
      <c r="Y16" s="553" t="s">
        <v>714</v>
      </c>
      <c r="Z16" s="549" t="s">
        <v>715</v>
      </c>
      <c r="AA16" s="549" t="s">
        <v>716</v>
      </c>
      <c r="AB16" s="555" t="s">
        <v>64</v>
      </c>
      <c r="AC16" s="556" t="s">
        <v>64</v>
      </c>
      <c r="AD16" s="556" t="s">
        <v>64</v>
      </c>
      <c r="AE16" s="556" t="s">
        <v>64</v>
      </c>
      <c r="AF16" s="556" t="s">
        <v>64</v>
      </c>
      <c r="AG16" s="557"/>
      <c r="AH16" s="558" t="s">
        <v>8</v>
      </c>
      <c r="AI16" s="559" t="s">
        <v>9</v>
      </c>
      <c r="AJ16" s="559" t="s">
        <v>10</v>
      </c>
      <c r="AK16" s="560" t="s">
        <v>66</v>
      </c>
      <c r="AL16" s="561"/>
      <c r="AM16" s="562" t="s">
        <v>64</v>
      </c>
      <c r="AN16" s="577"/>
    </row>
    <row r="17" spans="2:40">
      <c r="B17" s="564" t="s">
        <v>83</v>
      </c>
      <c r="C17" s="539" t="s">
        <v>717</v>
      </c>
      <c r="D17" s="540">
        <v>19078551685</v>
      </c>
      <c r="E17" s="565" t="s">
        <v>82</v>
      </c>
      <c r="F17" s="566" t="s">
        <v>70</v>
      </c>
      <c r="G17" s="566" t="s">
        <v>53</v>
      </c>
      <c r="H17" s="543" t="s">
        <v>71</v>
      </c>
      <c r="I17" s="544" t="s">
        <v>55</v>
      </c>
      <c r="J17" s="543" t="s">
        <v>56</v>
      </c>
      <c r="K17" s="567">
        <v>5</v>
      </c>
      <c r="L17" s="546">
        <v>5</v>
      </c>
      <c r="M17" s="568">
        <v>5</v>
      </c>
      <c r="N17" s="566" t="s">
        <v>68</v>
      </c>
      <c r="O17" s="574" t="s">
        <v>710</v>
      </c>
      <c r="P17" s="570" t="s">
        <v>711</v>
      </c>
      <c r="Q17" s="570" t="s">
        <v>81</v>
      </c>
      <c r="R17" s="582" t="s">
        <v>82</v>
      </c>
      <c r="S17" s="573">
        <v>5000</v>
      </c>
      <c r="T17" s="574" t="s">
        <v>712</v>
      </c>
      <c r="U17" s="570" t="s">
        <v>713</v>
      </c>
      <c r="V17" s="570" t="s">
        <v>81</v>
      </c>
      <c r="W17" s="570" t="s">
        <v>82</v>
      </c>
      <c r="X17" s="573">
        <v>5000</v>
      </c>
      <c r="Y17" s="574" t="s">
        <v>714</v>
      </c>
      <c r="Z17" s="570" t="s">
        <v>715</v>
      </c>
      <c r="AA17" s="570" t="s">
        <v>716</v>
      </c>
      <c r="AB17" s="555" t="s">
        <v>64</v>
      </c>
      <c r="AC17" s="556" t="s">
        <v>64</v>
      </c>
      <c r="AD17" s="556" t="s">
        <v>64</v>
      </c>
      <c r="AE17" s="556" t="s">
        <v>64</v>
      </c>
      <c r="AF17" s="556" t="s">
        <v>64</v>
      </c>
      <c r="AG17" s="585"/>
      <c r="AH17" s="558" t="s">
        <v>8</v>
      </c>
      <c r="AI17" s="559" t="s">
        <v>9</v>
      </c>
      <c r="AJ17" s="559" t="s">
        <v>10</v>
      </c>
      <c r="AK17" s="560" t="s">
        <v>66</v>
      </c>
      <c r="AL17" s="576"/>
      <c r="AM17" s="562" t="s">
        <v>64</v>
      </c>
      <c r="AN17" s="577" t="s">
        <v>83</v>
      </c>
    </row>
    <row r="18" spans="2:40">
      <c r="B18" s="564" t="s">
        <v>84</v>
      </c>
      <c r="C18" s="539" t="s">
        <v>85</v>
      </c>
      <c r="D18" s="540">
        <v>19078551685</v>
      </c>
      <c r="E18" s="541" t="s">
        <v>78</v>
      </c>
      <c r="F18" s="542" t="s">
        <v>70</v>
      </c>
      <c r="G18" s="542" t="s">
        <v>53</v>
      </c>
      <c r="H18" s="583" t="s">
        <v>71</v>
      </c>
      <c r="I18" s="545" t="s">
        <v>79</v>
      </c>
      <c r="J18" s="542" t="s">
        <v>80</v>
      </c>
      <c r="K18" s="545">
        <v>5</v>
      </c>
      <c r="L18" s="546">
        <v>5</v>
      </c>
      <c r="M18" s="547" t="s">
        <v>72</v>
      </c>
      <c r="N18" s="584"/>
      <c r="O18" s="553" t="s">
        <v>710</v>
      </c>
      <c r="P18" s="549" t="s">
        <v>711</v>
      </c>
      <c r="Q18" s="549" t="s">
        <v>81</v>
      </c>
      <c r="R18" s="579" t="s">
        <v>82</v>
      </c>
      <c r="S18" s="552">
        <v>5000</v>
      </c>
      <c r="T18" s="553" t="s">
        <v>712</v>
      </c>
      <c r="U18" s="549" t="s">
        <v>713</v>
      </c>
      <c r="V18" s="549" t="s">
        <v>81</v>
      </c>
      <c r="W18" s="549" t="s">
        <v>82</v>
      </c>
      <c r="X18" s="552">
        <v>5000</v>
      </c>
      <c r="Y18" s="553" t="s">
        <v>714</v>
      </c>
      <c r="Z18" s="549" t="s">
        <v>715</v>
      </c>
      <c r="AA18" s="549" t="s">
        <v>716</v>
      </c>
      <c r="AB18" s="555" t="s">
        <v>64</v>
      </c>
      <c r="AC18" s="556" t="s">
        <v>64</v>
      </c>
      <c r="AD18" s="556" t="s">
        <v>64</v>
      </c>
      <c r="AE18" s="556" t="s">
        <v>64</v>
      </c>
      <c r="AF18" s="556" t="s">
        <v>64</v>
      </c>
      <c r="AG18" s="585"/>
      <c r="AH18" s="558" t="s">
        <v>8</v>
      </c>
      <c r="AI18" s="559" t="s">
        <v>9</v>
      </c>
      <c r="AJ18" s="559" t="s">
        <v>10</v>
      </c>
      <c r="AK18" s="560" t="s">
        <v>66</v>
      </c>
      <c r="AL18" s="561"/>
      <c r="AM18" s="562" t="s">
        <v>64</v>
      </c>
      <c r="AN18" s="577" t="s">
        <v>84</v>
      </c>
    </row>
    <row r="19" spans="2:40">
      <c r="B19" s="564" t="s">
        <v>86</v>
      </c>
      <c r="C19" s="539" t="s">
        <v>87</v>
      </c>
      <c r="D19" s="540">
        <v>39009737393</v>
      </c>
      <c r="E19" s="565" t="s">
        <v>88</v>
      </c>
      <c r="F19" s="566" t="s">
        <v>70</v>
      </c>
      <c r="G19" s="566" t="s">
        <v>89</v>
      </c>
      <c r="H19" s="543" t="s">
        <v>71</v>
      </c>
      <c r="I19" s="544" t="s">
        <v>55</v>
      </c>
      <c r="J19" s="543" t="s">
        <v>56</v>
      </c>
      <c r="K19" s="567">
        <v>5</v>
      </c>
      <c r="L19" s="546">
        <v>5</v>
      </c>
      <c r="M19" s="568" t="s">
        <v>72</v>
      </c>
      <c r="N19" s="566" t="s">
        <v>90</v>
      </c>
      <c r="O19" s="574" t="s">
        <v>91</v>
      </c>
      <c r="P19" s="570" t="s">
        <v>92</v>
      </c>
      <c r="Q19" s="570" t="s">
        <v>93</v>
      </c>
      <c r="R19" s="582" t="s">
        <v>94</v>
      </c>
      <c r="S19" s="573">
        <v>2000</v>
      </c>
      <c r="T19" s="574" t="s">
        <v>91</v>
      </c>
      <c r="U19" s="570" t="s">
        <v>92</v>
      </c>
      <c r="V19" s="570" t="s">
        <v>93</v>
      </c>
      <c r="W19" s="582" t="s">
        <v>94</v>
      </c>
      <c r="X19" s="573">
        <v>2000</v>
      </c>
      <c r="Y19" s="574" t="s">
        <v>95</v>
      </c>
      <c r="Z19" s="570" t="s">
        <v>96</v>
      </c>
      <c r="AA19" s="570" t="s">
        <v>97</v>
      </c>
      <c r="AB19" s="555" t="s">
        <v>64</v>
      </c>
      <c r="AC19" s="556" t="s">
        <v>64</v>
      </c>
      <c r="AD19" s="556" t="s">
        <v>64</v>
      </c>
      <c r="AE19" s="556" t="s">
        <v>64</v>
      </c>
      <c r="AF19" s="556" t="s">
        <v>64</v>
      </c>
      <c r="AG19" s="557"/>
      <c r="AH19" s="558" t="s">
        <v>8</v>
      </c>
      <c r="AI19" s="559" t="s">
        <v>9</v>
      </c>
      <c r="AJ19" s="559" t="s">
        <v>10</v>
      </c>
      <c r="AK19" s="560" t="s">
        <v>66</v>
      </c>
      <c r="AL19" s="576"/>
      <c r="AM19" s="562" t="s">
        <v>64</v>
      </c>
      <c r="AN19" s="577" t="s">
        <v>86</v>
      </c>
    </row>
    <row r="20" spans="2:40">
      <c r="B20" s="564" t="s">
        <v>98</v>
      </c>
      <c r="C20" s="539" t="s">
        <v>99</v>
      </c>
      <c r="D20" s="540" t="s">
        <v>718</v>
      </c>
      <c r="E20" s="541" t="s">
        <v>78</v>
      </c>
      <c r="F20" s="542" t="s">
        <v>70</v>
      </c>
      <c r="G20" s="542" t="s">
        <v>89</v>
      </c>
      <c r="H20" s="583" t="s">
        <v>71</v>
      </c>
      <c r="I20" s="544" t="s">
        <v>79</v>
      </c>
      <c r="J20" s="543" t="s">
        <v>80</v>
      </c>
      <c r="K20" s="545">
        <v>5</v>
      </c>
      <c r="L20" s="586">
        <v>5</v>
      </c>
      <c r="M20" s="547" t="s">
        <v>72</v>
      </c>
      <c r="N20" s="542"/>
      <c r="O20" s="553" t="s">
        <v>91</v>
      </c>
      <c r="P20" s="549" t="s">
        <v>92</v>
      </c>
      <c r="Q20" s="549" t="s">
        <v>93</v>
      </c>
      <c r="R20" s="579" t="s">
        <v>94</v>
      </c>
      <c r="S20" s="552">
        <v>2000</v>
      </c>
      <c r="T20" s="553" t="s">
        <v>100</v>
      </c>
      <c r="U20" s="549"/>
      <c r="V20" s="549" t="s">
        <v>101</v>
      </c>
      <c r="W20" s="579" t="s">
        <v>94</v>
      </c>
      <c r="X20" s="552">
        <v>1225</v>
      </c>
      <c r="Y20" s="553" t="s">
        <v>95</v>
      </c>
      <c r="Z20" s="549" t="s">
        <v>96</v>
      </c>
      <c r="AA20" s="549" t="s">
        <v>97</v>
      </c>
      <c r="AB20" s="555" t="s">
        <v>64</v>
      </c>
      <c r="AC20" s="556" t="s">
        <v>64</v>
      </c>
      <c r="AD20" s="556" t="s">
        <v>64</v>
      </c>
      <c r="AE20" s="556" t="s">
        <v>64</v>
      </c>
      <c r="AF20" s="556" t="s">
        <v>64</v>
      </c>
      <c r="AG20" s="557"/>
      <c r="AH20" s="558" t="s">
        <v>8</v>
      </c>
      <c r="AI20" s="559" t="s">
        <v>9</v>
      </c>
      <c r="AJ20" s="559" t="s">
        <v>10</v>
      </c>
      <c r="AK20" s="560" t="s">
        <v>66</v>
      </c>
      <c r="AL20" s="561"/>
      <c r="AM20" s="562" t="s">
        <v>64</v>
      </c>
      <c r="AN20" s="577" t="s">
        <v>98</v>
      </c>
    </row>
    <row r="21" spans="2:40">
      <c r="B21" s="538" t="s">
        <v>102</v>
      </c>
      <c r="C21" s="539" t="s">
        <v>102</v>
      </c>
      <c r="D21" s="540">
        <v>78508211731</v>
      </c>
      <c r="E21" s="565" t="s">
        <v>94</v>
      </c>
      <c r="F21" s="566" t="s">
        <v>52</v>
      </c>
      <c r="G21" s="566" t="s">
        <v>53</v>
      </c>
      <c r="H21" s="543" t="s">
        <v>54</v>
      </c>
      <c r="I21" s="544" t="s">
        <v>55</v>
      </c>
      <c r="J21" s="543" t="s">
        <v>56</v>
      </c>
      <c r="K21" s="567">
        <v>5</v>
      </c>
      <c r="L21" s="546">
        <v>5</v>
      </c>
      <c r="M21" s="568">
        <v>5</v>
      </c>
      <c r="N21" s="581" t="s">
        <v>57</v>
      </c>
      <c r="O21" s="574" t="s">
        <v>103</v>
      </c>
      <c r="P21" s="570"/>
      <c r="Q21" s="570" t="s">
        <v>93</v>
      </c>
      <c r="R21" s="582" t="s">
        <v>94</v>
      </c>
      <c r="S21" s="573">
        <v>2000</v>
      </c>
      <c r="T21" s="574" t="s">
        <v>719</v>
      </c>
      <c r="U21" s="570"/>
      <c r="V21" s="570" t="s">
        <v>93</v>
      </c>
      <c r="W21" s="570" t="s">
        <v>94</v>
      </c>
      <c r="X21" s="573">
        <v>2001</v>
      </c>
      <c r="Y21" s="574" t="s">
        <v>104</v>
      </c>
      <c r="Z21" s="570" t="s">
        <v>761</v>
      </c>
      <c r="AA21" s="570" t="s">
        <v>105</v>
      </c>
      <c r="AB21" s="587" t="s">
        <v>65</v>
      </c>
      <c r="AC21" s="588" t="s">
        <v>65</v>
      </c>
      <c r="AD21" s="588" t="s">
        <v>65</v>
      </c>
      <c r="AE21" s="588" t="s">
        <v>65</v>
      </c>
      <c r="AF21" s="588" t="s">
        <v>64</v>
      </c>
      <c r="AG21" s="585"/>
      <c r="AH21" s="558" t="s">
        <v>8</v>
      </c>
      <c r="AI21" s="559" t="s">
        <v>9</v>
      </c>
      <c r="AJ21" s="559" t="s">
        <v>10</v>
      </c>
      <c r="AK21" s="560" t="s">
        <v>66</v>
      </c>
      <c r="AL21" s="576"/>
      <c r="AM21" s="562" t="s">
        <v>65</v>
      </c>
      <c r="AN21" s="563" t="s">
        <v>102</v>
      </c>
    </row>
    <row r="22" spans="2:40">
      <c r="B22" s="538" t="s">
        <v>106</v>
      </c>
      <c r="C22" s="539" t="s">
        <v>106</v>
      </c>
      <c r="D22" s="540">
        <v>67505337385</v>
      </c>
      <c r="E22" s="541" t="s">
        <v>94</v>
      </c>
      <c r="F22" s="542" t="s">
        <v>52</v>
      </c>
      <c r="G22" s="542" t="s">
        <v>53</v>
      </c>
      <c r="H22" s="543" t="s">
        <v>54</v>
      </c>
      <c r="I22" s="544" t="s">
        <v>55</v>
      </c>
      <c r="J22" s="543" t="s">
        <v>56</v>
      </c>
      <c r="K22" s="545">
        <v>5</v>
      </c>
      <c r="L22" s="546">
        <v>5</v>
      </c>
      <c r="M22" s="547">
        <v>5</v>
      </c>
      <c r="N22" s="542" t="s">
        <v>68</v>
      </c>
      <c r="O22" s="553" t="s">
        <v>103</v>
      </c>
      <c r="P22" s="549"/>
      <c r="Q22" s="549" t="s">
        <v>93</v>
      </c>
      <c r="R22" s="579" t="s">
        <v>94</v>
      </c>
      <c r="S22" s="552">
        <v>2000</v>
      </c>
      <c r="T22" s="553" t="s">
        <v>719</v>
      </c>
      <c r="U22" s="549"/>
      <c r="V22" s="549" t="s">
        <v>93</v>
      </c>
      <c r="W22" s="549" t="s">
        <v>94</v>
      </c>
      <c r="X22" s="552">
        <v>2001</v>
      </c>
      <c r="Y22" s="574" t="s">
        <v>104</v>
      </c>
      <c r="Z22" s="570" t="s">
        <v>761</v>
      </c>
      <c r="AA22" s="570" t="s">
        <v>105</v>
      </c>
      <c r="AB22" s="587" t="s">
        <v>65</v>
      </c>
      <c r="AC22" s="588" t="s">
        <v>65</v>
      </c>
      <c r="AD22" s="588" t="s">
        <v>65</v>
      </c>
      <c r="AE22" s="588" t="s">
        <v>65</v>
      </c>
      <c r="AF22" s="588" t="s">
        <v>64</v>
      </c>
      <c r="AG22" s="557"/>
      <c r="AH22" s="558" t="s">
        <v>8</v>
      </c>
      <c r="AI22" s="559" t="s">
        <v>9</v>
      </c>
      <c r="AJ22" s="559" t="s">
        <v>10</v>
      </c>
      <c r="AK22" s="560" t="s">
        <v>66</v>
      </c>
      <c r="AL22" s="561"/>
      <c r="AM22" s="562" t="s">
        <v>64</v>
      </c>
      <c r="AN22" s="563" t="s">
        <v>106</v>
      </c>
    </row>
    <row r="23" spans="2:40" ht="15" customHeight="1">
      <c r="B23" s="538" t="s">
        <v>107</v>
      </c>
      <c r="C23" s="539" t="s">
        <v>720</v>
      </c>
      <c r="D23" s="540">
        <v>91064651118</v>
      </c>
      <c r="E23" s="565" t="s">
        <v>78</v>
      </c>
      <c r="F23" s="566" t="s">
        <v>52</v>
      </c>
      <c r="G23" s="566" t="s">
        <v>53</v>
      </c>
      <c r="H23" s="543" t="s">
        <v>54</v>
      </c>
      <c r="I23" s="544" t="s">
        <v>79</v>
      </c>
      <c r="J23" s="543" t="s">
        <v>80</v>
      </c>
      <c r="K23" s="567">
        <v>5</v>
      </c>
      <c r="L23" s="546">
        <v>5</v>
      </c>
      <c r="M23" s="568">
        <v>2</v>
      </c>
      <c r="N23" s="581" t="s">
        <v>108</v>
      </c>
      <c r="O23" s="574" t="s">
        <v>109</v>
      </c>
      <c r="P23" s="570" t="s">
        <v>110</v>
      </c>
      <c r="Q23" s="570" t="s">
        <v>111</v>
      </c>
      <c r="R23" s="570" t="s">
        <v>78</v>
      </c>
      <c r="S23" s="573">
        <v>3006</v>
      </c>
      <c r="T23" s="589" t="s">
        <v>112</v>
      </c>
      <c r="U23" s="570"/>
      <c r="V23" s="570" t="s">
        <v>113</v>
      </c>
      <c r="W23" s="570" t="s">
        <v>114</v>
      </c>
      <c r="X23" s="573">
        <v>8001</v>
      </c>
      <c r="Y23" s="574" t="s">
        <v>762</v>
      </c>
      <c r="Z23" s="590"/>
      <c r="AA23" s="590"/>
      <c r="AB23" s="587" t="s">
        <v>64</v>
      </c>
      <c r="AC23" s="588" t="s">
        <v>65</v>
      </c>
      <c r="AD23" s="588" t="s">
        <v>65</v>
      </c>
      <c r="AE23" s="588" t="s">
        <v>65</v>
      </c>
      <c r="AF23" s="588" t="s">
        <v>64</v>
      </c>
      <c r="AG23" s="585"/>
      <c r="AH23" s="558" t="s">
        <v>8</v>
      </c>
      <c r="AI23" s="559" t="s">
        <v>9</v>
      </c>
      <c r="AJ23" s="559" t="s">
        <v>10</v>
      </c>
      <c r="AK23" s="560" t="s">
        <v>66</v>
      </c>
      <c r="AL23" s="576"/>
      <c r="AM23" s="562" t="s">
        <v>65</v>
      </c>
      <c r="AN23" s="563" t="s">
        <v>107</v>
      </c>
    </row>
    <row r="24" spans="2:40" ht="15" customHeight="1">
      <c r="B24" s="564" t="s">
        <v>118</v>
      </c>
      <c r="C24" s="539" t="s">
        <v>119</v>
      </c>
      <c r="D24" s="540" t="s">
        <v>721</v>
      </c>
      <c r="E24" s="541" t="s">
        <v>78</v>
      </c>
      <c r="F24" s="542" t="s">
        <v>70</v>
      </c>
      <c r="G24" s="542" t="s">
        <v>53</v>
      </c>
      <c r="H24" s="583" t="s">
        <v>71</v>
      </c>
      <c r="I24" s="544" t="s">
        <v>79</v>
      </c>
      <c r="J24" s="543" t="s">
        <v>80</v>
      </c>
      <c r="K24" s="545">
        <v>5</v>
      </c>
      <c r="L24" s="546">
        <v>5</v>
      </c>
      <c r="M24" s="547" t="s">
        <v>120</v>
      </c>
      <c r="N24" s="584"/>
      <c r="O24" s="553" t="s">
        <v>91</v>
      </c>
      <c r="P24" s="549" t="s">
        <v>92</v>
      </c>
      <c r="Q24" s="549" t="s">
        <v>93</v>
      </c>
      <c r="R24" s="549" t="s">
        <v>94</v>
      </c>
      <c r="S24" s="552">
        <v>2000</v>
      </c>
      <c r="T24" s="591" t="s">
        <v>100</v>
      </c>
      <c r="U24" s="549"/>
      <c r="V24" s="549" t="s">
        <v>101</v>
      </c>
      <c r="W24" s="549" t="s">
        <v>94</v>
      </c>
      <c r="X24" s="552">
        <v>1225</v>
      </c>
      <c r="Y24" s="553" t="s">
        <v>95</v>
      </c>
      <c r="Z24" s="592" t="s">
        <v>96</v>
      </c>
      <c r="AA24" s="592" t="s">
        <v>97</v>
      </c>
      <c r="AB24" s="555" t="s">
        <v>64</v>
      </c>
      <c r="AC24" s="556" t="s">
        <v>64</v>
      </c>
      <c r="AD24" s="556" t="s">
        <v>64</v>
      </c>
      <c r="AE24" s="556" t="s">
        <v>64</v>
      </c>
      <c r="AF24" s="556" t="s">
        <v>64</v>
      </c>
      <c r="AG24" s="557"/>
      <c r="AH24" s="558" t="s">
        <v>8</v>
      </c>
      <c r="AI24" s="559" t="s">
        <v>9</v>
      </c>
      <c r="AJ24" s="559" t="s">
        <v>10</v>
      </c>
      <c r="AK24" s="560" t="s">
        <v>66</v>
      </c>
      <c r="AL24" s="561"/>
      <c r="AM24" s="562" t="s">
        <v>64</v>
      </c>
      <c r="AN24" s="577" t="s">
        <v>118</v>
      </c>
    </row>
    <row r="25" spans="2:40">
      <c r="B25" s="538" t="s">
        <v>121</v>
      </c>
      <c r="C25" s="593" t="s">
        <v>722</v>
      </c>
      <c r="D25" s="594">
        <v>48116124362</v>
      </c>
      <c r="E25" s="565" t="s">
        <v>78</v>
      </c>
      <c r="F25" s="566" t="s">
        <v>52</v>
      </c>
      <c r="G25" s="566" t="s">
        <v>89</v>
      </c>
      <c r="H25" s="543" t="s">
        <v>54</v>
      </c>
      <c r="I25" s="544" t="s">
        <v>55</v>
      </c>
      <c r="J25" s="543" t="s">
        <v>122</v>
      </c>
      <c r="K25" s="567">
        <v>5</v>
      </c>
      <c r="L25" s="595">
        <v>5</v>
      </c>
      <c r="M25" s="568">
        <v>2</v>
      </c>
      <c r="N25" s="566" t="s">
        <v>123</v>
      </c>
      <c r="O25" s="574" t="s">
        <v>109</v>
      </c>
      <c r="P25" s="570" t="s">
        <v>110</v>
      </c>
      <c r="Q25" s="570" t="s">
        <v>111</v>
      </c>
      <c r="R25" s="570" t="s">
        <v>78</v>
      </c>
      <c r="S25" s="573">
        <v>3006</v>
      </c>
      <c r="T25" s="574" t="s">
        <v>112</v>
      </c>
      <c r="U25" s="570"/>
      <c r="V25" s="570" t="s">
        <v>113</v>
      </c>
      <c r="W25" s="570" t="s">
        <v>78</v>
      </c>
      <c r="X25" s="573">
        <v>8001</v>
      </c>
      <c r="Y25" s="574" t="s">
        <v>124</v>
      </c>
      <c r="Z25" s="590" t="s">
        <v>125</v>
      </c>
      <c r="AA25" s="590" t="s">
        <v>126</v>
      </c>
      <c r="AB25" s="555" t="s">
        <v>64</v>
      </c>
      <c r="AC25" s="556" t="s">
        <v>64</v>
      </c>
      <c r="AD25" s="556" t="s">
        <v>64</v>
      </c>
      <c r="AE25" s="556" t="s">
        <v>64</v>
      </c>
      <c r="AF25" s="556" t="s">
        <v>64</v>
      </c>
      <c r="AG25" s="557"/>
      <c r="AH25" s="558" t="s">
        <v>8</v>
      </c>
      <c r="AI25" s="559" t="s">
        <v>9</v>
      </c>
      <c r="AJ25" s="559" t="s">
        <v>10</v>
      </c>
      <c r="AK25" s="560" t="s">
        <v>66</v>
      </c>
      <c r="AL25" s="576"/>
      <c r="AM25" s="562" t="s">
        <v>64</v>
      </c>
      <c r="AN25" s="563" t="s">
        <v>121</v>
      </c>
    </row>
    <row r="26" spans="2:40">
      <c r="B26" s="596" t="s">
        <v>127</v>
      </c>
      <c r="C26" s="597" t="s">
        <v>127</v>
      </c>
      <c r="D26" s="598">
        <v>11222333444</v>
      </c>
      <c r="E26" s="599" t="s">
        <v>128</v>
      </c>
      <c r="F26" s="600" t="s">
        <v>52</v>
      </c>
      <c r="G26" s="600" t="s">
        <v>53</v>
      </c>
      <c r="H26" s="600" t="s">
        <v>54</v>
      </c>
      <c r="I26" s="601" t="s">
        <v>55</v>
      </c>
      <c r="J26" s="600" t="s">
        <v>56</v>
      </c>
      <c r="K26" s="602">
        <v>5</v>
      </c>
      <c r="L26" s="603">
        <v>5</v>
      </c>
      <c r="M26" s="604">
        <v>2</v>
      </c>
      <c r="N26" s="600" t="s">
        <v>68</v>
      </c>
      <c r="O26" s="605" t="s">
        <v>129</v>
      </c>
      <c r="P26" s="606"/>
      <c r="Q26" s="606" t="s">
        <v>93</v>
      </c>
      <c r="R26" s="607" t="s">
        <v>94</v>
      </c>
      <c r="S26" s="608">
        <v>2000</v>
      </c>
      <c r="T26" s="605" t="s">
        <v>130</v>
      </c>
      <c r="U26" s="606"/>
      <c r="V26" s="606" t="s">
        <v>93</v>
      </c>
      <c r="W26" s="606" t="s">
        <v>94</v>
      </c>
      <c r="X26" s="608">
        <v>2000</v>
      </c>
      <c r="Y26" s="605" t="s">
        <v>131</v>
      </c>
      <c r="Z26" s="606" t="s">
        <v>132</v>
      </c>
      <c r="AA26" s="606" t="s">
        <v>133</v>
      </c>
      <c r="AB26" s="587" t="s">
        <v>65</v>
      </c>
      <c r="AC26" s="588" t="s">
        <v>65</v>
      </c>
      <c r="AD26" s="588" t="s">
        <v>65</v>
      </c>
      <c r="AE26" s="588" t="s">
        <v>65</v>
      </c>
      <c r="AF26" s="588" t="s">
        <v>64</v>
      </c>
      <c r="AG26" s="557"/>
      <c r="AH26" s="558" t="s">
        <v>8</v>
      </c>
      <c r="AI26" s="559" t="s">
        <v>9</v>
      </c>
      <c r="AJ26" s="559" t="s">
        <v>10</v>
      </c>
      <c r="AK26" s="560" t="s">
        <v>66</v>
      </c>
      <c r="AL26" s="561"/>
      <c r="AM26" s="562" t="s">
        <v>65</v>
      </c>
      <c r="AN26" s="609" t="s">
        <v>127</v>
      </c>
    </row>
    <row r="27" spans="2:40">
      <c r="B27" s="596" t="s">
        <v>723</v>
      </c>
      <c r="C27" s="597" t="s">
        <v>724</v>
      </c>
      <c r="D27" s="598">
        <v>11222333444</v>
      </c>
      <c r="E27" s="599" t="s">
        <v>78</v>
      </c>
      <c r="F27" s="600" t="s">
        <v>52</v>
      </c>
      <c r="G27" s="600" t="s">
        <v>53</v>
      </c>
      <c r="H27" s="600" t="s">
        <v>54</v>
      </c>
      <c r="I27" s="601" t="s">
        <v>79</v>
      </c>
      <c r="J27" s="600" t="s">
        <v>80</v>
      </c>
      <c r="K27" s="602">
        <v>5</v>
      </c>
      <c r="L27" s="603">
        <v>5</v>
      </c>
      <c r="M27" s="604">
        <v>2</v>
      </c>
      <c r="N27" s="600" t="s">
        <v>68</v>
      </c>
      <c r="O27" s="605" t="s">
        <v>129</v>
      </c>
      <c r="P27" s="606"/>
      <c r="Q27" s="606" t="s">
        <v>137</v>
      </c>
      <c r="R27" s="607" t="s">
        <v>78</v>
      </c>
      <c r="S27" s="608">
        <v>3000</v>
      </c>
      <c r="T27" s="605" t="s">
        <v>130</v>
      </c>
      <c r="U27" s="606"/>
      <c r="V27" s="606" t="s">
        <v>137</v>
      </c>
      <c r="W27" s="606" t="s">
        <v>114</v>
      </c>
      <c r="X27" s="608">
        <v>3000</v>
      </c>
      <c r="Y27" s="605" t="s">
        <v>131</v>
      </c>
      <c r="Z27" s="606" t="s">
        <v>132</v>
      </c>
      <c r="AA27" s="606" t="s">
        <v>133</v>
      </c>
      <c r="AB27" s="555" t="s">
        <v>64</v>
      </c>
      <c r="AC27" s="556" t="s">
        <v>64</v>
      </c>
      <c r="AD27" s="556" t="s">
        <v>64</v>
      </c>
      <c r="AE27" s="556" t="s">
        <v>64</v>
      </c>
      <c r="AF27" s="588" t="s">
        <v>64</v>
      </c>
      <c r="AG27" s="557"/>
      <c r="AH27" s="558" t="s">
        <v>8</v>
      </c>
      <c r="AI27" s="559" t="s">
        <v>9</v>
      </c>
      <c r="AJ27" s="559" t="s">
        <v>10</v>
      </c>
      <c r="AK27" s="560" t="s">
        <v>66</v>
      </c>
      <c r="AL27" s="576"/>
      <c r="AM27" s="562" t="s">
        <v>65</v>
      </c>
      <c r="AN27" s="609" t="s">
        <v>723</v>
      </c>
    </row>
    <row r="28" spans="2:40">
      <c r="B28" s="596" t="s">
        <v>763</v>
      </c>
      <c r="C28" s="597" t="s">
        <v>764</v>
      </c>
      <c r="D28" s="598">
        <v>11222333444</v>
      </c>
      <c r="E28" s="599" t="s">
        <v>94</v>
      </c>
      <c r="F28" s="600" t="s">
        <v>70</v>
      </c>
      <c r="G28" s="600" t="s">
        <v>53</v>
      </c>
      <c r="H28" s="600" t="s">
        <v>71</v>
      </c>
      <c r="I28" s="601" t="s">
        <v>55</v>
      </c>
      <c r="J28" s="600" t="s">
        <v>56</v>
      </c>
      <c r="K28" s="602">
        <v>5</v>
      </c>
      <c r="L28" s="603">
        <v>5</v>
      </c>
      <c r="M28" s="604"/>
      <c r="N28" s="600"/>
      <c r="O28" s="605" t="s">
        <v>129</v>
      </c>
      <c r="P28" s="606"/>
      <c r="Q28" s="606" t="s">
        <v>93</v>
      </c>
      <c r="R28" s="607" t="s">
        <v>94</v>
      </c>
      <c r="S28" s="608">
        <v>2000</v>
      </c>
      <c r="T28" s="605" t="s">
        <v>130</v>
      </c>
      <c r="U28" s="606"/>
      <c r="V28" s="606" t="s">
        <v>93</v>
      </c>
      <c r="W28" s="606" t="s">
        <v>94</v>
      </c>
      <c r="X28" s="608">
        <v>2000</v>
      </c>
      <c r="Y28" s="605" t="s">
        <v>131</v>
      </c>
      <c r="Z28" s="606" t="s">
        <v>132</v>
      </c>
      <c r="AA28" s="606" t="s">
        <v>133</v>
      </c>
      <c r="AB28" s="555" t="s">
        <v>64</v>
      </c>
      <c r="AC28" s="556" t="s">
        <v>64</v>
      </c>
      <c r="AD28" s="556" t="s">
        <v>64</v>
      </c>
      <c r="AE28" s="556" t="s">
        <v>64</v>
      </c>
      <c r="AF28" s="588" t="s">
        <v>64</v>
      </c>
      <c r="AG28" s="557"/>
      <c r="AH28" s="558" t="s">
        <v>8</v>
      </c>
      <c r="AI28" s="559" t="s">
        <v>9</v>
      </c>
      <c r="AJ28" s="559" t="s">
        <v>10</v>
      </c>
      <c r="AK28" s="560" t="s">
        <v>66</v>
      </c>
      <c r="AL28" s="576"/>
      <c r="AM28" s="562" t="s">
        <v>64</v>
      </c>
      <c r="AN28" s="609" t="s">
        <v>723</v>
      </c>
    </row>
    <row r="29" spans="2:40">
      <c r="B29" s="596" t="s">
        <v>134</v>
      </c>
      <c r="C29" s="597" t="s">
        <v>134</v>
      </c>
      <c r="D29" s="598">
        <v>11222333444</v>
      </c>
      <c r="E29" s="599" t="s">
        <v>128</v>
      </c>
      <c r="F29" s="600" t="s">
        <v>52</v>
      </c>
      <c r="G29" s="600" t="s">
        <v>89</v>
      </c>
      <c r="H29" s="610" t="s">
        <v>54</v>
      </c>
      <c r="I29" s="611" t="s">
        <v>55</v>
      </c>
      <c r="J29" s="610" t="s">
        <v>56</v>
      </c>
      <c r="K29" s="601">
        <v>5</v>
      </c>
      <c r="L29" s="612">
        <v>5</v>
      </c>
      <c r="M29" s="604">
        <v>5</v>
      </c>
      <c r="N29" s="600" t="s">
        <v>123</v>
      </c>
      <c r="O29" s="605" t="s">
        <v>129</v>
      </c>
      <c r="P29" s="606"/>
      <c r="Q29" s="606" t="s">
        <v>93</v>
      </c>
      <c r="R29" s="607" t="s">
        <v>94</v>
      </c>
      <c r="S29" s="608">
        <v>2000</v>
      </c>
      <c r="T29" s="605" t="s">
        <v>130</v>
      </c>
      <c r="U29" s="606"/>
      <c r="V29" s="606" t="s">
        <v>93</v>
      </c>
      <c r="W29" s="606" t="s">
        <v>94</v>
      </c>
      <c r="X29" s="608">
        <v>2000</v>
      </c>
      <c r="Y29" s="605" t="s">
        <v>131</v>
      </c>
      <c r="Z29" s="606" t="s">
        <v>132</v>
      </c>
      <c r="AA29" s="606" t="s">
        <v>133</v>
      </c>
      <c r="AB29" s="555" t="s">
        <v>64</v>
      </c>
      <c r="AC29" s="556" t="s">
        <v>64</v>
      </c>
      <c r="AD29" s="556" t="s">
        <v>64</v>
      </c>
      <c r="AE29" s="556" t="s">
        <v>64</v>
      </c>
      <c r="AF29" s="588" t="s">
        <v>64</v>
      </c>
      <c r="AG29" s="557"/>
      <c r="AH29" s="558" t="s">
        <v>8</v>
      </c>
      <c r="AI29" s="559" t="s">
        <v>9</v>
      </c>
      <c r="AJ29" s="559" t="s">
        <v>10</v>
      </c>
      <c r="AK29" s="560" t="s">
        <v>66</v>
      </c>
      <c r="AL29" s="561"/>
      <c r="AM29" s="562" t="s">
        <v>64</v>
      </c>
      <c r="AN29" s="609" t="s">
        <v>134</v>
      </c>
    </row>
    <row r="30" spans="2:40">
      <c r="B30" s="538" t="s">
        <v>765</v>
      </c>
      <c r="C30" s="539" t="s">
        <v>766</v>
      </c>
      <c r="D30" s="540">
        <v>108218355</v>
      </c>
      <c r="E30" s="565" t="s">
        <v>94</v>
      </c>
      <c r="F30" s="566" t="s">
        <v>70</v>
      </c>
      <c r="G30" s="566" t="s">
        <v>53</v>
      </c>
      <c r="H30" s="543" t="s">
        <v>71</v>
      </c>
      <c r="I30" s="544" t="s">
        <v>55</v>
      </c>
      <c r="J30" s="543" t="s">
        <v>56</v>
      </c>
      <c r="K30" s="567">
        <v>15</v>
      </c>
      <c r="L30" s="546">
        <v>5</v>
      </c>
      <c r="M30" s="568">
        <v>5</v>
      </c>
      <c r="N30" s="581" t="s">
        <v>68</v>
      </c>
      <c r="O30" s="574" t="s">
        <v>734</v>
      </c>
      <c r="P30" s="570" t="s">
        <v>92</v>
      </c>
      <c r="Q30" s="570" t="s">
        <v>93</v>
      </c>
      <c r="R30" s="570" t="s">
        <v>94</v>
      </c>
      <c r="S30" s="573">
        <v>2000</v>
      </c>
      <c r="T30" s="574" t="s">
        <v>100</v>
      </c>
      <c r="U30" s="570"/>
      <c r="V30" s="570" t="s">
        <v>101</v>
      </c>
      <c r="W30" s="570" t="s">
        <v>94</v>
      </c>
      <c r="X30" s="575">
        <v>1225</v>
      </c>
      <c r="Y30" s="574" t="s">
        <v>725</v>
      </c>
      <c r="Z30" s="570" t="s">
        <v>726</v>
      </c>
      <c r="AA30" s="570" t="s">
        <v>727</v>
      </c>
      <c r="AB30" s="555" t="s">
        <v>64</v>
      </c>
      <c r="AC30" s="556" t="s">
        <v>64</v>
      </c>
      <c r="AD30" s="556" t="s">
        <v>64</v>
      </c>
      <c r="AE30" s="556" t="s">
        <v>64</v>
      </c>
      <c r="AF30" s="556" t="s">
        <v>64</v>
      </c>
      <c r="AG30" s="585"/>
      <c r="AH30" s="558" t="s">
        <v>8</v>
      </c>
      <c r="AI30" s="559" t="s">
        <v>9</v>
      </c>
      <c r="AJ30" s="559" t="s">
        <v>10</v>
      </c>
      <c r="AK30" s="560" t="s">
        <v>66</v>
      </c>
      <c r="AL30" s="576"/>
      <c r="AM30" s="562" t="s">
        <v>64</v>
      </c>
      <c r="AN30" s="563"/>
    </row>
    <row r="31" spans="2:40">
      <c r="B31" s="538" t="s">
        <v>767</v>
      </c>
      <c r="C31" s="539" t="s">
        <v>766</v>
      </c>
      <c r="D31" s="540">
        <v>108218355</v>
      </c>
      <c r="E31" s="565" t="s">
        <v>94</v>
      </c>
      <c r="F31" s="566" t="s">
        <v>70</v>
      </c>
      <c r="G31" s="566" t="s">
        <v>53</v>
      </c>
      <c r="H31" s="543" t="s">
        <v>71</v>
      </c>
      <c r="I31" s="544" t="s">
        <v>55</v>
      </c>
      <c r="J31" s="543" t="s">
        <v>56</v>
      </c>
      <c r="K31" s="567">
        <v>14</v>
      </c>
      <c r="L31" s="546">
        <v>5</v>
      </c>
      <c r="M31" s="568">
        <v>5</v>
      </c>
      <c r="N31" s="581" t="s">
        <v>123</v>
      </c>
      <c r="O31" s="574" t="s">
        <v>734</v>
      </c>
      <c r="P31" s="570" t="s">
        <v>92</v>
      </c>
      <c r="Q31" s="570" t="s">
        <v>93</v>
      </c>
      <c r="R31" s="570" t="s">
        <v>94</v>
      </c>
      <c r="S31" s="573">
        <v>2000</v>
      </c>
      <c r="T31" s="574" t="s">
        <v>100</v>
      </c>
      <c r="U31" s="570"/>
      <c r="V31" s="570" t="s">
        <v>101</v>
      </c>
      <c r="W31" s="570" t="s">
        <v>94</v>
      </c>
      <c r="X31" s="575">
        <v>1225</v>
      </c>
      <c r="Y31" s="574" t="s">
        <v>725</v>
      </c>
      <c r="Z31" s="570" t="s">
        <v>726</v>
      </c>
      <c r="AA31" s="570" t="s">
        <v>727</v>
      </c>
      <c r="AB31" s="555" t="s">
        <v>64</v>
      </c>
      <c r="AC31" s="556" t="s">
        <v>64</v>
      </c>
      <c r="AD31" s="556" t="s">
        <v>64</v>
      </c>
      <c r="AE31" s="556" t="s">
        <v>64</v>
      </c>
      <c r="AF31" s="556" t="s">
        <v>64</v>
      </c>
      <c r="AG31" s="585"/>
      <c r="AH31" s="558" t="s">
        <v>8</v>
      </c>
      <c r="AI31" s="559" t="s">
        <v>9</v>
      </c>
      <c r="AJ31" s="559" t="s">
        <v>10</v>
      </c>
      <c r="AK31" s="560" t="s">
        <v>66</v>
      </c>
      <c r="AL31" s="576"/>
      <c r="AM31" s="562" t="s">
        <v>64</v>
      </c>
      <c r="AN31" s="563"/>
    </row>
    <row r="32" spans="2:40">
      <c r="B32" s="538" t="s">
        <v>135</v>
      </c>
      <c r="C32" s="539" t="s">
        <v>135</v>
      </c>
      <c r="D32" s="540">
        <v>76064651056</v>
      </c>
      <c r="E32" s="565" t="s">
        <v>78</v>
      </c>
      <c r="F32" s="566" t="s">
        <v>52</v>
      </c>
      <c r="G32" s="566" t="s">
        <v>53</v>
      </c>
      <c r="H32" s="543" t="s">
        <v>54</v>
      </c>
      <c r="I32" s="544" t="s">
        <v>79</v>
      </c>
      <c r="J32" s="543" t="s">
        <v>80</v>
      </c>
      <c r="K32" s="567">
        <v>5</v>
      </c>
      <c r="L32" s="546">
        <v>5</v>
      </c>
      <c r="M32" s="568">
        <v>2</v>
      </c>
      <c r="N32" s="581" t="s">
        <v>108</v>
      </c>
      <c r="O32" s="574" t="s">
        <v>136</v>
      </c>
      <c r="P32" s="570"/>
      <c r="Q32" s="570" t="s">
        <v>137</v>
      </c>
      <c r="R32" s="570" t="s">
        <v>78</v>
      </c>
      <c r="S32" s="573">
        <v>3000</v>
      </c>
      <c r="T32" s="574" t="s">
        <v>138</v>
      </c>
      <c r="U32" s="570"/>
      <c r="V32" s="570" t="s">
        <v>137</v>
      </c>
      <c r="W32" s="570" t="s">
        <v>114</v>
      </c>
      <c r="X32" s="575">
        <v>8001</v>
      </c>
      <c r="Y32" s="574" t="s">
        <v>115</v>
      </c>
      <c r="Z32" s="570" t="s">
        <v>116</v>
      </c>
      <c r="AA32" s="570" t="s">
        <v>117</v>
      </c>
      <c r="AB32" s="587" t="s">
        <v>65</v>
      </c>
      <c r="AC32" s="588" t="s">
        <v>65</v>
      </c>
      <c r="AD32" s="588" t="s">
        <v>64</v>
      </c>
      <c r="AE32" s="588" t="s">
        <v>64</v>
      </c>
      <c r="AF32" s="588" t="s">
        <v>64</v>
      </c>
      <c r="AG32" s="585"/>
      <c r="AH32" s="558" t="s">
        <v>8</v>
      </c>
      <c r="AI32" s="559" t="s">
        <v>9</v>
      </c>
      <c r="AJ32" s="559" t="s">
        <v>10</v>
      </c>
      <c r="AK32" s="560" t="s">
        <v>66</v>
      </c>
      <c r="AL32" s="576"/>
      <c r="AM32" s="562" t="s">
        <v>65</v>
      </c>
      <c r="AN32" s="563" t="s">
        <v>135</v>
      </c>
    </row>
    <row r="33" spans="2:40">
      <c r="B33" s="538" t="s">
        <v>139</v>
      </c>
      <c r="C33" s="539" t="s">
        <v>139</v>
      </c>
      <c r="D33" s="540">
        <v>16779340889</v>
      </c>
      <c r="E33" s="541" t="s">
        <v>140</v>
      </c>
      <c r="F33" s="542" t="s">
        <v>52</v>
      </c>
      <c r="G33" s="542" t="s">
        <v>89</v>
      </c>
      <c r="H33" s="543" t="s">
        <v>54</v>
      </c>
      <c r="I33" s="544" t="s">
        <v>55</v>
      </c>
      <c r="J33" s="543" t="s">
        <v>56</v>
      </c>
      <c r="K33" s="545">
        <v>5</v>
      </c>
      <c r="L33" s="578">
        <v>5</v>
      </c>
      <c r="M33" s="547">
        <v>5</v>
      </c>
      <c r="N33" s="542" t="s">
        <v>123</v>
      </c>
      <c r="O33" s="553" t="s">
        <v>91</v>
      </c>
      <c r="P33" s="549" t="s">
        <v>92</v>
      </c>
      <c r="Q33" s="549" t="s">
        <v>93</v>
      </c>
      <c r="R33" s="613" t="s">
        <v>94</v>
      </c>
      <c r="S33" s="552">
        <v>2000</v>
      </c>
      <c r="T33" s="553" t="s">
        <v>100</v>
      </c>
      <c r="U33" s="549"/>
      <c r="V33" s="549" t="s">
        <v>101</v>
      </c>
      <c r="W33" s="549" t="s">
        <v>94</v>
      </c>
      <c r="X33" s="552">
        <v>1225</v>
      </c>
      <c r="Y33" s="553" t="s">
        <v>725</v>
      </c>
      <c r="Z33" s="549" t="s">
        <v>726</v>
      </c>
      <c r="AA33" s="549" t="s">
        <v>727</v>
      </c>
      <c r="AB33" s="555" t="s">
        <v>64</v>
      </c>
      <c r="AC33" s="556" t="s">
        <v>64</v>
      </c>
      <c r="AD33" s="556" t="s">
        <v>64</v>
      </c>
      <c r="AE33" s="556" t="s">
        <v>64</v>
      </c>
      <c r="AF33" s="556" t="s">
        <v>64</v>
      </c>
      <c r="AG33" s="557"/>
      <c r="AH33" s="558" t="s">
        <v>8</v>
      </c>
      <c r="AI33" s="559" t="s">
        <v>9</v>
      </c>
      <c r="AJ33" s="559" t="s">
        <v>10</v>
      </c>
      <c r="AK33" s="560" t="s">
        <v>66</v>
      </c>
      <c r="AL33" s="561"/>
      <c r="AM33" s="562" t="s">
        <v>64</v>
      </c>
      <c r="AN33" s="563" t="s">
        <v>139</v>
      </c>
    </row>
    <row r="34" spans="2:40">
      <c r="B34" s="538" t="s">
        <v>141</v>
      </c>
      <c r="C34" s="539" t="s">
        <v>141</v>
      </c>
      <c r="D34" s="540">
        <v>41094482416</v>
      </c>
      <c r="E34" s="565" t="s">
        <v>82</v>
      </c>
      <c r="F34" s="566" t="s">
        <v>52</v>
      </c>
      <c r="G34" s="566" t="s">
        <v>89</v>
      </c>
      <c r="H34" s="543" t="s">
        <v>54</v>
      </c>
      <c r="I34" s="544" t="s">
        <v>55</v>
      </c>
      <c r="J34" s="543" t="s">
        <v>56</v>
      </c>
      <c r="K34" s="567">
        <v>5</v>
      </c>
      <c r="L34" s="595">
        <v>5</v>
      </c>
      <c r="M34" s="568">
        <v>5</v>
      </c>
      <c r="N34" s="566" t="s">
        <v>123</v>
      </c>
      <c r="O34" s="574" t="s">
        <v>142</v>
      </c>
      <c r="P34" s="570" t="s">
        <v>143</v>
      </c>
      <c r="Q34" s="570" t="s">
        <v>81</v>
      </c>
      <c r="R34" s="582" t="s">
        <v>82</v>
      </c>
      <c r="S34" s="573">
        <v>5000</v>
      </c>
      <c r="T34" s="574" t="s">
        <v>144</v>
      </c>
      <c r="U34" s="570" t="s">
        <v>145</v>
      </c>
      <c r="V34" s="570" t="s">
        <v>81</v>
      </c>
      <c r="W34" s="570" t="s">
        <v>82</v>
      </c>
      <c r="X34" s="575">
        <v>5000</v>
      </c>
      <c r="Y34" s="574" t="s">
        <v>146</v>
      </c>
      <c r="Z34" s="570" t="s">
        <v>147</v>
      </c>
      <c r="AA34" s="570" t="s">
        <v>148</v>
      </c>
      <c r="AB34" s="555" t="s">
        <v>64</v>
      </c>
      <c r="AC34" s="556" t="s">
        <v>64</v>
      </c>
      <c r="AD34" s="556" t="s">
        <v>64</v>
      </c>
      <c r="AE34" s="556" t="s">
        <v>64</v>
      </c>
      <c r="AF34" s="556" t="s">
        <v>64</v>
      </c>
      <c r="AG34" s="557"/>
      <c r="AH34" s="558" t="s">
        <v>8</v>
      </c>
      <c r="AI34" s="559" t="s">
        <v>9</v>
      </c>
      <c r="AJ34" s="559" t="s">
        <v>10</v>
      </c>
      <c r="AK34" s="560" t="s">
        <v>66</v>
      </c>
      <c r="AL34" s="576"/>
      <c r="AM34" s="562" t="s">
        <v>64</v>
      </c>
      <c r="AN34" s="563" t="s">
        <v>141</v>
      </c>
    </row>
    <row r="35" spans="2:40">
      <c r="B35" s="538" t="s">
        <v>149</v>
      </c>
      <c r="C35" s="539" t="s">
        <v>149</v>
      </c>
      <c r="D35" s="540">
        <v>11247365823</v>
      </c>
      <c r="E35" s="541" t="s">
        <v>94</v>
      </c>
      <c r="F35" s="542" t="s">
        <v>52</v>
      </c>
      <c r="G35" s="542" t="s">
        <v>53</v>
      </c>
      <c r="H35" s="543" t="s">
        <v>54</v>
      </c>
      <c r="I35" s="544" t="s">
        <v>55</v>
      </c>
      <c r="J35" s="543" t="s">
        <v>56</v>
      </c>
      <c r="K35" s="545">
        <v>5</v>
      </c>
      <c r="L35" s="546">
        <v>5</v>
      </c>
      <c r="M35" s="547">
        <v>5</v>
      </c>
      <c r="N35" s="584" t="s">
        <v>57</v>
      </c>
      <c r="O35" s="553" t="s">
        <v>150</v>
      </c>
      <c r="P35" s="549"/>
      <c r="Q35" s="549" t="s">
        <v>151</v>
      </c>
      <c r="R35" s="579" t="s">
        <v>94</v>
      </c>
      <c r="S35" s="552">
        <v>2148</v>
      </c>
      <c r="T35" s="553" t="s">
        <v>152</v>
      </c>
      <c r="U35" s="549"/>
      <c r="V35" s="549" t="s">
        <v>153</v>
      </c>
      <c r="W35" s="549" t="s">
        <v>94</v>
      </c>
      <c r="X35" s="554">
        <v>1730</v>
      </c>
      <c r="Y35" s="553" t="s">
        <v>154</v>
      </c>
      <c r="Z35" s="592" t="s">
        <v>155</v>
      </c>
      <c r="AA35" s="592" t="s">
        <v>156</v>
      </c>
      <c r="AB35" s="587" t="s">
        <v>64</v>
      </c>
      <c r="AC35" s="588" t="s">
        <v>65</v>
      </c>
      <c r="AD35" s="588" t="s">
        <v>65</v>
      </c>
      <c r="AE35" s="588" t="s">
        <v>65</v>
      </c>
      <c r="AF35" s="588" t="s">
        <v>64</v>
      </c>
      <c r="AG35" s="585"/>
      <c r="AH35" s="558" t="s">
        <v>8</v>
      </c>
      <c r="AI35" s="559" t="s">
        <v>9</v>
      </c>
      <c r="AJ35" s="559" t="s">
        <v>10</v>
      </c>
      <c r="AK35" s="560" t="s">
        <v>66</v>
      </c>
      <c r="AL35" s="561"/>
      <c r="AM35" s="562" t="s">
        <v>65</v>
      </c>
      <c r="AN35" s="563" t="s">
        <v>149</v>
      </c>
    </row>
    <row r="36" spans="2:40">
      <c r="B36" s="538" t="s">
        <v>157</v>
      </c>
      <c r="C36" s="539" t="s">
        <v>157</v>
      </c>
      <c r="D36" s="540">
        <v>40078849055</v>
      </c>
      <c r="E36" s="565" t="s">
        <v>140</v>
      </c>
      <c r="F36" s="566" t="s">
        <v>52</v>
      </c>
      <c r="G36" s="566" t="s">
        <v>53</v>
      </c>
      <c r="H36" s="566" t="s">
        <v>54</v>
      </c>
      <c r="I36" s="567" t="s">
        <v>55</v>
      </c>
      <c r="J36" s="566" t="s">
        <v>56</v>
      </c>
      <c r="K36" s="567">
        <v>5</v>
      </c>
      <c r="L36" s="546">
        <v>5</v>
      </c>
      <c r="M36" s="568">
        <v>5</v>
      </c>
      <c r="N36" s="581" t="s">
        <v>158</v>
      </c>
      <c r="O36" s="574" t="s">
        <v>159</v>
      </c>
      <c r="P36" s="570"/>
      <c r="Q36" s="570" t="s">
        <v>160</v>
      </c>
      <c r="R36" s="570" t="s">
        <v>140</v>
      </c>
      <c r="S36" s="573">
        <v>4006</v>
      </c>
      <c r="T36" s="574" t="s">
        <v>159</v>
      </c>
      <c r="U36" s="570"/>
      <c r="V36" s="570" t="s">
        <v>160</v>
      </c>
      <c r="W36" s="570" t="s">
        <v>161</v>
      </c>
      <c r="X36" s="575">
        <v>4006</v>
      </c>
      <c r="Y36" s="553" t="s">
        <v>167</v>
      </c>
      <c r="Z36" s="549" t="s">
        <v>168</v>
      </c>
      <c r="AA36" s="559" t="s">
        <v>169</v>
      </c>
      <c r="AB36" s="587" t="s">
        <v>65</v>
      </c>
      <c r="AC36" s="588" t="s">
        <v>65</v>
      </c>
      <c r="AD36" s="588" t="s">
        <v>65</v>
      </c>
      <c r="AE36" s="588" t="s">
        <v>64</v>
      </c>
      <c r="AF36" s="588" t="s">
        <v>64</v>
      </c>
      <c r="AG36" s="585"/>
      <c r="AH36" s="558" t="s">
        <v>8</v>
      </c>
      <c r="AI36" s="559" t="s">
        <v>9</v>
      </c>
      <c r="AJ36" s="559" t="s">
        <v>10</v>
      </c>
      <c r="AK36" s="560" t="s">
        <v>66</v>
      </c>
      <c r="AL36" s="576"/>
      <c r="AM36" s="562" t="s">
        <v>65</v>
      </c>
      <c r="AN36" s="563" t="s">
        <v>157</v>
      </c>
    </row>
    <row r="37" spans="2:40">
      <c r="B37" s="538" t="s">
        <v>162</v>
      </c>
      <c r="C37" s="539" t="s">
        <v>162</v>
      </c>
      <c r="D37" s="540">
        <v>50087646062</v>
      </c>
      <c r="E37" s="541" t="s">
        <v>140</v>
      </c>
      <c r="F37" s="542" t="s">
        <v>52</v>
      </c>
      <c r="G37" s="542" t="s">
        <v>53</v>
      </c>
      <c r="H37" s="542" t="s">
        <v>54</v>
      </c>
      <c r="I37" s="545" t="s">
        <v>55</v>
      </c>
      <c r="J37" s="542" t="s">
        <v>56</v>
      </c>
      <c r="K37" s="545">
        <v>5</v>
      </c>
      <c r="L37" s="546">
        <v>5</v>
      </c>
      <c r="M37" s="547">
        <v>5</v>
      </c>
      <c r="N37" s="584" t="s">
        <v>158</v>
      </c>
      <c r="O37" s="553" t="s">
        <v>163</v>
      </c>
      <c r="P37" s="549"/>
      <c r="Q37" s="549" t="s">
        <v>164</v>
      </c>
      <c r="R37" s="549" t="s">
        <v>140</v>
      </c>
      <c r="S37" s="552">
        <v>4810</v>
      </c>
      <c r="T37" s="553" t="s">
        <v>165</v>
      </c>
      <c r="U37" s="549"/>
      <c r="V37" s="549" t="s">
        <v>166</v>
      </c>
      <c r="W37" s="549" t="s">
        <v>161</v>
      </c>
      <c r="X37" s="554">
        <v>4006</v>
      </c>
      <c r="Y37" s="553" t="s">
        <v>167</v>
      </c>
      <c r="Z37" s="549" t="s">
        <v>168</v>
      </c>
      <c r="AA37" s="559" t="s">
        <v>169</v>
      </c>
      <c r="AB37" s="587" t="s">
        <v>64</v>
      </c>
      <c r="AC37" s="588" t="s">
        <v>65</v>
      </c>
      <c r="AD37" s="588" t="s">
        <v>65</v>
      </c>
      <c r="AE37" s="588" t="s">
        <v>65</v>
      </c>
      <c r="AF37" s="588" t="s">
        <v>64</v>
      </c>
      <c r="AG37" s="585"/>
      <c r="AH37" s="558" t="s">
        <v>8</v>
      </c>
      <c r="AI37" s="559" t="s">
        <v>9</v>
      </c>
      <c r="AJ37" s="559" t="s">
        <v>10</v>
      </c>
      <c r="AK37" s="560" t="s">
        <v>66</v>
      </c>
      <c r="AL37" s="561"/>
      <c r="AM37" s="562" t="s">
        <v>65</v>
      </c>
      <c r="AN37" s="563" t="s">
        <v>162</v>
      </c>
    </row>
    <row r="38" spans="2:40">
      <c r="B38" s="538" t="s">
        <v>170</v>
      </c>
      <c r="C38" s="539" t="s">
        <v>170</v>
      </c>
      <c r="D38" s="540">
        <v>37428185226</v>
      </c>
      <c r="E38" s="565" t="s">
        <v>94</v>
      </c>
      <c r="F38" s="566" t="s">
        <v>52</v>
      </c>
      <c r="G38" s="566" t="s">
        <v>53</v>
      </c>
      <c r="H38" s="566" t="s">
        <v>54</v>
      </c>
      <c r="I38" s="567" t="s">
        <v>55</v>
      </c>
      <c r="J38" s="566" t="s">
        <v>56</v>
      </c>
      <c r="K38" s="567">
        <v>5</v>
      </c>
      <c r="L38" s="546">
        <v>5</v>
      </c>
      <c r="M38" s="568">
        <v>5</v>
      </c>
      <c r="N38" s="581" t="s">
        <v>57</v>
      </c>
      <c r="O38" s="574" t="s">
        <v>171</v>
      </c>
      <c r="P38" s="570"/>
      <c r="Q38" s="570" t="s">
        <v>172</v>
      </c>
      <c r="R38" s="582" t="s">
        <v>94</v>
      </c>
      <c r="S38" s="573">
        <v>2444</v>
      </c>
      <c r="T38" s="574" t="s">
        <v>173</v>
      </c>
      <c r="U38" s="570"/>
      <c r="V38" s="570" t="s">
        <v>172</v>
      </c>
      <c r="W38" s="570" t="s">
        <v>94</v>
      </c>
      <c r="X38" s="575">
        <v>2444</v>
      </c>
      <c r="Y38" s="574" t="s">
        <v>174</v>
      </c>
      <c r="Z38" s="570" t="s">
        <v>175</v>
      </c>
      <c r="AA38" s="570" t="s">
        <v>176</v>
      </c>
      <c r="AB38" s="587" t="s">
        <v>64</v>
      </c>
      <c r="AC38" s="588" t="s">
        <v>64</v>
      </c>
      <c r="AD38" s="588" t="s">
        <v>65</v>
      </c>
      <c r="AE38" s="588" t="s">
        <v>65</v>
      </c>
      <c r="AF38" s="588" t="s">
        <v>64</v>
      </c>
      <c r="AG38" s="585"/>
      <c r="AH38" s="558" t="s">
        <v>8</v>
      </c>
      <c r="AI38" s="559" t="s">
        <v>9</v>
      </c>
      <c r="AJ38" s="559" t="s">
        <v>10</v>
      </c>
      <c r="AK38" s="560" t="s">
        <v>66</v>
      </c>
      <c r="AL38" s="576"/>
      <c r="AM38" s="562" t="s">
        <v>65</v>
      </c>
      <c r="AN38" s="563" t="s">
        <v>170</v>
      </c>
    </row>
    <row r="39" spans="2:40">
      <c r="B39" s="538" t="s">
        <v>177</v>
      </c>
      <c r="C39" s="539" t="s">
        <v>177</v>
      </c>
      <c r="D39" s="540">
        <v>82064651083</v>
      </c>
      <c r="E39" s="541" t="s">
        <v>78</v>
      </c>
      <c r="F39" s="542" t="s">
        <v>52</v>
      </c>
      <c r="G39" s="542" t="s">
        <v>53</v>
      </c>
      <c r="H39" s="543" t="s">
        <v>54</v>
      </c>
      <c r="I39" s="544" t="s">
        <v>79</v>
      </c>
      <c r="J39" s="543" t="s">
        <v>80</v>
      </c>
      <c r="K39" s="545">
        <v>5</v>
      </c>
      <c r="L39" s="546">
        <v>5</v>
      </c>
      <c r="M39" s="547">
        <v>2</v>
      </c>
      <c r="N39" s="584" t="s">
        <v>108</v>
      </c>
      <c r="O39" s="553" t="s">
        <v>178</v>
      </c>
      <c r="P39" s="549" t="s">
        <v>179</v>
      </c>
      <c r="Q39" s="549" t="s">
        <v>137</v>
      </c>
      <c r="R39" s="579" t="s">
        <v>114</v>
      </c>
      <c r="S39" s="552">
        <v>3000</v>
      </c>
      <c r="T39" s="553" t="s">
        <v>180</v>
      </c>
      <c r="U39" s="549"/>
      <c r="V39" s="549" t="s">
        <v>137</v>
      </c>
      <c r="W39" s="549" t="s">
        <v>114</v>
      </c>
      <c r="X39" s="554">
        <v>8001</v>
      </c>
      <c r="Y39" s="553" t="s">
        <v>728</v>
      </c>
      <c r="Z39" s="549" t="s">
        <v>729</v>
      </c>
      <c r="AA39" s="549" t="s">
        <v>730</v>
      </c>
      <c r="AB39" s="587" t="s">
        <v>64</v>
      </c>
      <c r="AC39" s="588" t="s">
        <v>65</v>
      </c>
      <c r="AD39" s="588" t="s">
        <v>65</v>
      </c>
      <c r="AE39" s="588" t="s">
        <v>64</v>
      </c>
      <c r="AF39" s="588" t="s">
        <v>64</v>
      </c>
      <c r="AG39" s="585"/>
      <c r="AH39" s="558" t="s">
        <v>8</v>
      </c>
      <c r="AI39" s="559" t="s">
        <v>9</v>
      </c>
      <c r="AJ39" s="559" t="s">
        <v>10</v>
      </c>
      <c r="AK39" s="560" t="s">
        <v>66</v>
      </c>
      <c r="AL39" s="561"/>
      <c r="AM39" s="562" t="s">
        <v>65</v>
      </c>
      <c r="AN39" s="563" t="s">
        <v>177</v>
      </c>
    </row>
    <row r="40" spans="2:40">
      <c r="B40" s="564" t="s">
        <v>181</v>
      </c>
      <c r="C40" s="539" t="s">
        <v>731</v>
      </c>
      <c r="D40" s="540" t="s">
        <v>732</v>
      </c>
      <c r="E40" s="565" t="s">
        <v>94</v>
      </c>
      <c r="F40" s="566" t="s">
        <v>70</v>
      </c>
      <c r="G40" s="566" t="s">
        <v>53</v>
      </c>
      <c r="H40" s="580" t="s">
        <v>71</v>
      </c>
      <c r="I40" s="544" t="s">
        <v>55</v>
      </c>
      <c r="J40" s="543" t="s">
        <v>56</v>
      </c>
      <c r="K40" s="567">
        <v>5</v>
      </c>
      <c r="L40" s="546">
        <v>5</v>
      </c>
      <c r="M40" s="568"/>
      <c r="N40" s="581"/>
      <c r="O40" s="574"/>
      <c r="P40" s="570"/>
      <c r="Q40" s="570"/>
      <c r="R40" s="582"/>
      <c r="S40" s="573"/>
      <c r="T40" s="574"/>
      <c r="U40" s="570"/>
      <c r="V40" s="570"/>
      <c r="W40" s="570"/>
      <c r="X40" s="575"/>
      <c r="Y40" s="574" t="s">
        <v>762</v>
      </c>
      <c r="Z40" s="590"/>
      <c r="AA40" s="590"/>
      <c r="AB40" s="555" t="s">
        <v>64</v>
      </c>
      <c r="AC40" s="556" t="s">
        <v>64</v>
      </c>
      <c r="AD40" s="556" t="s">
        <v>64</v>
      </c>
      <c r="AE40" s="556" t="s">
        <v>64</v>
      </c>
      <c r="AF40" s="556" t="s">
        <v>64</v>
      </c>
      <c r="AG40" s="585"/>
      <c r="AH40" s="558" t="s">
        <v>8</v>
      </c>
      <c r="AI40" s="559" t="s">
        <v>9</v>
      </c>
      <c r="AJ40" s="559" t="s">
        <v>10</v>
      </c>
      <c r="AK40" s="560" t="s">
        <v>66</v>
      </c>
      <c r="AL40" s="576"/>
      <c r="AM40" s="562" t="s">
        <v>64</v>
      </c>
      <c r="AN40" s="577" t="s">
        <v>181</v>
      </c>
    </row>
    <row r="41" spans="2:40">
      <c r="B41" s="564" t="s">
        <v>182</v>
      </c>
      <c r="C41" s="539" t="s">
        <v>183</v>
      </c>
      <c r="D41" s="540" t="s">
        <v>733</v>
      </c>
      <c r="E41" s="541" t="s">
        <v>78</v>
      </c>
      <c r="F41" s="542" t="s">
        <v>70</v>
      </c>
      <c r="G41" s="542" t="s">
        <v>53</v>
      </c>
      <c r="H41" s="583" t="s">
        <v>71</v>
      </c>
      <c r="I41" s="544" t="s">
        <v>79</v>
      </c>
      <c r="J41" s="543" t="s">
        <v>80</v>
      </c>
      <c r="K41" s="545">
        <v>5</v>
      </c>
      <c r="L41" s="546">
        <v>5</v>
      </c>
      <c r="M41" s="547" t="s">
        <v>72</v>
      </c>
      <c r="N41" s="584"/>
      <c r="O41" s="553" t="s">
        <v>768</v>
      </c>
      <c r="P41" s="549"/>
      <c r="Q41" s="549" t="s">
        <v>769</v>
      </c>
      <c r="R41" s="549" t="s">
        <v>78</v>
      </c>
      <c r="S41" s="552">
        <v>3149</v>
      </c>
      <c r="T41" s="553"/>
      <c r="U41" s="549"/>
      <c r="V41" s="549"/>
      <c r="W41" s="549"/>
      <c r="X41" s="552"/>
      <c r="Y41" s="553" t="s">
        <v>770</v>
      </c>
      <c r="Z41" s="592" t="s">
        <v>771</v>
      </c>
      <c r="AA41" s="592" t="s">
        <v>772</v>
      </c>
      <c r="AB41" s="555" t="s">
        <v>64</v>
      </c>
      <c r="AC41" s="556" t="s">
        <v>64</v>
      </c>
      <c r="AD41" s="556" t="s">
        <v>64</v>
      </c>
      <c r="AE41" s="556" t="s">
        <v>64</v>
      </c>
      <c r="AF41" s="556" t="s">
        <v>64</v>
      </c>
      <c r="AG41" s="557"/>
      <c r="AH41" s="558" t="s">
        <v>8</v>
      </c>
      <c r="AI41" s="559" t="s">
        <v>9</v>
      </c>
      <c r="AJ41" s="559" t="s">
        <v>10</v>
      </c>
      <c r="AK41" s="560" t="s">
        <v>66</v>
      </c>
      <c r="AL41" s="561"/>
      <c r="AM41" s="562" t="s">
        <v>64</v>
      </c>
      <c r="AN41" s="577" t="s">
        <v>182</v>
      </c>
    </row>
    <row r="42" spans="2:40">
      <c r="B42" s="538" t="s">
        <v>184</v>
      </c>
      <c r="C42" s="539" t="s">
        <v>184</v>
      </c>
      <c r="D42" s="540">
        <v>79181207909</v>
      </c>
      <c r="E42" s="565" t="s">
        <v>82</v>
      </c>
      <c r="F42" s="566" t="s">
        <v>52</v>
      </c>
      <c r="G42" s="566" t="s">
        <v>89</v>
      </c>
      <c r="H42" s="543" t="s">
        <v>54</v>
      </c>
      <c r="I42" s="544" t="s">
        <v>55</v>
      </c>
      <c r="J42" s="543" t="s">
        <v>56</v>
      </c>
      <c r="K42" s="567">
        <v>5</v>
      </c>
      <c r="L42" s="595">
        <v>5</v>
      </c>
      <c r="M42" s="568">
        <v>5</v>
      </c>
      <c r="N42" s="566" t="s">
        <v>123</v>
      </c>
      <c r="O42" s="574" t="s">
        <v>734</v>
      </c>
      <c r="P42" s="570" t="s">
        <v>92</v>
      </c>
      <c r="Q42" s="570" t="s">
        <v>93</v>
      </c>
      <c r="R42" s="614" t="s">
        <v>94</v>
      </c>
      <c r="S42" s="573">
        <v>2000</v>
      </c>
      <c r="T42" s="574" t="s">
        <v>100</v>
      </c>
      <c r="U42" s="570"/>
      <c r="V42" s="570" t="s">
        <v>101</v>
      </c>
      <c r="W42" s="570" t="s">
        <v>94</v>
      </c>
      <c r="X42" s="573">
        <v>1225</v>
      </c>
      <c r="Y42" s="574" t="s">
        <v>725</v>
      </c>
      <c r="Z42" s="570" t="s">
        <v>726</v>
      </c>
      <c r="AA42" s="570" t="s">
        <v>727</v>
      </c>
      <c r="AB42" s="555" t="s">
        <v>64</v>
      </c>
      <c r="AC42" s="556" t="s">
        <v>64</v>
      </c>
      <c r="AD42" s="556" t="s">
        <v>64</v>
      </c>
      <c r="AE42" s="556" t="s">
        <v>64</v>
      </c>
      <c r="AF42" s="556" t="s">
        <v>64</v>
      </c>
      <c r="AG42" s="557"/>
      <c r="AH42" s="558" t="s">
        <v>8</v>
      </c>
      <c r="AI42" s="559" t="s">
        <v>9</v>
      </c>
      <c r="AJ42" s="559" t="s">
        <v>10</v>
      </c>
      <c r="AK42" s="560" t="s">
        <v>66</v>
      </c>
      <c r="AL42" s="576"/>
      <c r="AM42" s="562" t="s">
        <v>64</v>
      </c>
      <c r="AN42" s="563" t="s">
        <v>184</v>
      </c>
    </row>
    <row r="43" spans="2:40">
      <c r="B43" s="538" t="s">
        <v>185</v>
      </c>
      <c r="C43" s="539" t="s">
        <v>186</v>
      </c>
      <c r="D43" s="540">
        <v>15947352360</v>
      </c>
      <c r="E43" s="565" t="s">
        <v>88</v>
      </c>
      <c r="F43" s="542" t="s">
        <v>52</v>
      </c>
      <c r="G43" s="542" t="s">
        <v>53</v>
      </c>
      <c r="H43" s="543" t="s">
        <v>54</v>
      </c>
      <c r="I43" s="544" t="s">
        <v>55</v>
      </c>
      <c r="J43" s="543" t="s">
        <v>56</v>
      </c>
      <c r="K43" s="545">
        <v>5</v>
      </c>
      <c r="L43" s="578">
        <v>5</v>
      </c>
      <c r="M43" s="547" t="s">
        <v>72</v>
      </c>
      <c r="N43" s="542" t="s">
        <v>68</v>
      </c>
      <c r="O43" s="553" t="s">
        <v>187</v>
      </c>
      <c r="P43" s="549"/>
      <c r="Q43" s="549" t="s">
        <v>188</v>
      </c>
      <c r="R43" s="579" t="s">
        <v>88</v>
      </c>
      <c r="S43" s="552">
        <v>801</v>
      </c>
      <c r="T43" s="553" t="s">
        <v>187</v>
      </c>
      <c r="U43" s="549"/>
      <c r="V43" s="549" t="s">
        <v>188</v>
      </c>
      <c r="W43" s="579" t="s">
        <v>88</v>
      </c>
      <c r="X43" s="552">
        <v>801</v>
      </c>
      <c r="Y43" s="553" t="s">
        <v>735</v>
      </c>
      <c r="Z43" s="592" t="s">
        <v>736</v>
      </c>
      <c r="AA43" s="549" t="s">
        <v>737</v>
      </c>
      <c r="AB43" s="587" t="s">
        <v>65</v>
      </c>
      <c r="AC43" s="588" t="s">
        <v>65</v>
      </c>
      <c r="AD43" s="588" t="s">
        <v>65</v>
      </c>
      <c r="AE43" s="588" t="s">
        <v>65</v>
      </c>
      <c r="AF43" s="588" t="s">
        <v>64</v>
      </c>
      <c r="AG43" s="557"/>
      <c r="AH43" s="558" t="s">
        <v>8</v>
      </c>
      <c r="AI43" s="559" t="s">
        <v>9</v>
      </c>
      <c r="AJ43" s="559" t="s">
        <v>10</v>
      </c>
      <c r="AK43" s="560" t="s">
        <v>66</v>
      </c>
      <c r="AL43" s="561"/>
      <c r="AM43" s="562" t="s">
        <v>64</v>
      </c>
      <c r="AN43" s="538" t="s">
        <v>185</v>
      </c>
    </row>
    <row r="44" spans="2:40">
      <c r="B44" s="538" t="s">
        <v>189</v>
      </c>
      <c r="C44" s="539" t="s">
        <v>189</v>
      </c>
      <c r="D44" s="540">
        <v>89064651109</v>
      </c>
      <c r="E44" s="565" t="s">
        <v>78</v>
      </c>
      <c r="F44" s="566" t="s">
        <v>52</v>
      </c>
      <c r="G44" s="566" t="s">
        <v>53</v>
      </c>
      <c r="H44" s="543" t="s">
        <v>54</v>
      </c>
      <c r="I44" s="544" t="s">
        <v>79</v>
      </c>
      <c r="J44" s="543" t="s">
        <v>80</v>
      </c>
      <c r="K44" s="567">
        <v>5</v>
      </c>
      <c r="L44" s="546">
        <v>5</v>
      </c>
      <c r="M44" s="568">
        <v>2</v>
      </c>
      <c r="N44" s="581" t="s">
        <v>108</v>
      </c>
      <c r="O44" s="574" t="s">
        <v>136</v>
      </c>
      <c r="P44" s="570"/>
      <c r="Q44" s="570" t="s">
        <v>137</v>
      </c>
      <c r="R44" s="582" t="s">
        <v>78</v>
      </c>
      <c r="S44" s="573">
        <v>3000</v>
      </c>
      <c r="T44" s="574" t="s">
        <v>190</v>
      </c>
      <c r="U44" s="570"/>
      <c r="V44" s="570" t="s">
        <v>137</v>
      </c>
      <c r="W44" s="570" t="s">
        <v>114</v>
      </c>
      <c r="X44" s="573">
        <v>8001</v>
      </c>
      <c r="Y44" s="574" t="s">
        <v>115</v>
      </c>
      <c r="Z44" s="570" t="s">
        <v>116</v>
      </c>
      <c r="AA44" s="570" t="s">
        <v>117</v>
      </c>
      <c r="AB44" s="555" t="s">
        <v>64</v>
      </c>
      <c r="AC44" s="556" t="s">
        <v>64</v>
      </c>
      <c r="AD44" s="588" t="s">
        <v>65</v>
      </c>
      <c r="AE44" s="588" t="s">
        <v>65</v>
      </c>
      <c r="AF44" s="588" t="s">
        <v>64</v>
      </c>
      <c r="AG44" s="585"/>
      <c r="AH44" s="558" t="s">
        <v>8</v>
      </c>
      <c r="AI44" s="559" t="s">
        <v>9</v>
      </c>
      <c r="AJ44" s="559" t="s">
        <v>10</v>
      </c>
      <c r="AK44" s="560" t="s">
        <v>66</v>
      </c>
      <c r="AL44" s="576"/>
      <c r="AM44" s="562" t="s">
        <v>65</v>
      </c>
      <c r="AN44" s="563" t="s">
        <v>189</v>
      </c>
    </row>
    <row r="45" spans="2:40" ht="28.5">
      <c r="B45" s="538" t="s">
        <v>191</v>
      </c>
      <c r="C45" s="615" t="s">
        <v>192</v>
      </c>
      <c r="D45" s="540">
        <v>82078849233</v>
      </c>
      <c r="E45" s="541" t="s">
        <v>140</v>
      </c>
      <c r="F45" s="542" t="s">
        <v>52</v>
      </c>
      <c r="G45" s="542" t="s">
        <v>89</v>
      </c>
      <c r="H45" s="543" t="s">
        <v>54</v>
      </c>
      <c r="I45" s="544" t="s">
        <v>55</v>
      </c>
      <c r="J45" s="543" t="s">
        <v>56</v>
      </c>
      <c r="K45" s="545">
        <v>5</v>
      </c>
      <c r="L45" s="578">
        <v>5</v>
      </c>
      <c r="M45" s="547">
        <v>5</v>
      </c>
      <c r="N45" s="542" t="s">
        <v>123</v>
      </c>
      <c r="O45" s="553" t="s">
        <v>193</v>
      </c>
      <c r="P45" s="549"/>
      <c r="Q45" s="549" t="s">
        <v>194</v>
      </c>
      <c r="R45" s="549" t="s">
        <v>140</v>
      </c>
      <c r="S45" s="552">
        <v>4014</v>
      </c>
      <c r="T45" s="553" t="s">
        <v>195</v>
      </c>
      <c r="U45" s="549"/>
      <c r="V45" s="549" t="s">
        <v>194</v>
      </c>
      <c r="W45" s="549" t="s">
        <v>161</v>
      </c>
      <c r="X45" s="552">
        <v>4014</v>
      </c>
      <c r="Y45" s="553" t="s">
        <v>196</v>
      </c>
      <c r="Z45" s="549" t="s">
        <v>197</v>
      </c>
      <c r="AA45" s="549" t="s">
        <v>198</v>
      </c>
      <c r="AB45" s="555" t="s">
        <v>64</v>
      </c>
      <c r="AC45" s="556" t="s">
        <v>64</v>
      </c>
      <c r="AD45" s="556" t="s">
        <v>64</v>
      </c>
      <c r="AE45" s="556" t="s">
        <v>64</v>
      </c>
      <c r="AF45" s="556" t="s">
        <v>64</v>
      </c>
      <c r="AG45" s="557"/>
      <c r="AH45" s="558" t="s">
        <v>8</v>
      </c>
      <c r="AI45" s="559" t="s">
        <v>9</v>
      </c>
      <c r="AJ45" s="559" t="s">
        <v>10</v>
      </c>
      <c r="AK45" s="560" t="s">
        <v>66</v>
      </c>
      <c r="AL45" s="561"/>
      <c r="AM45" s="562" t="s">
        <v>64</v>
      </c>
      <c r="AN45" s="563" t="s">
        <v>191</v>
      </c>
    </row>
    <row r="46" spans="2:40">
      <c r="B46" s="564" t="s">
        <v>199</v>
      </c>
      <c r="C46" s="539" t="s">
        <v>200</v>
      </c>
      <c r="D46" s="540" t="s">
        <v>201</v>
      </c>
      <c r="E46" s="565" t="s">
        <v>140</v>
      </c>
      <c r="F46" s="566" t="s">
        <v>70</v>
      </c>
      <c r="G46" s="566" t="s">
        <v>89</v>
      </c>
      <c r="H46" s="580" t="s">
        <v>71</v>
      </c>
      <c r="I46" s="544" t="s">
        <v>55</v>
      </c>
      <c r="J46" s="543" t="s">
        <v>56</v>
      </c>
      <c r="K46" s="567">
        <v>5</v>
      </c>
      <c r="L46" s="546">
        <v>5</v>
      </c>
      <c r="M46" s="568" t="s">
        <v>72</v>
      </c>
      <c r="N46" s="581" t="s">
        <v>90</v>
      </c>
      <c r="O46" s="574" t="s">
        <v>92</v>
      </c>
      <c r="P46" s="570"/>
      <c r="Q46" s="570" t="s">
        <v>93</v>
      </c>
      <c r="R46" s="570" t="s">
        <v>94</v>
      </c>
      <c r="S46" s="616">
        <v>2000</v>
      </c>
      <c r="T46" s="574" t="s">
        <v>100</v>
      </c>
      <c r="U46" s="570"/>
      <c r="V46" s="570" t="s">
        <v>101</v>
      </c>
      <c r="W46" s="570" t="s">
        <v>94</v>
      </c>
      <c r="X46" s="573">
        <v>1225</v>
      </c>
      <c r="Y46" s="574" t="s">
        <v>738</v>
      </c>
      <c r="Z46" s="570" t="s">
        <v>739</v>
      </c>
      <c r="AA46" s="570" t="s">
        <v>740</v>
      </c>
      <c r="AB46" s="555" t="s">
        <v>64</v>
      </c>
      <c r="AC46" s="556" t="s">
        <v>64</v>
      </c>
      <c r="AD46" s="556" t="s">
        <v>64</v>
      </c>
      <c r="AE46" s="556" t="s">
        <v>64</v>
      </c>
      <c r="AF46" s="556" t="s">
        <v>64</v>
      </c>
      <c r="AG46" s="557"/>
      <c r="AH46" s="558" t="s">
        <v>8</v>
      </c>
      <c r="AI46" s="559" t="s">
        <v>9</v>
      </c>
      <c r="AJ46" s="559" t="s">
        <v>10</v>
      </c>
      <c r="AK46" s="560" t="s">
        <v>66</v>
      </c>
      <c r="AL46" s="576"/>
      <c r="AM46" s="562" t="s">
        <v>64</v>
      </c>
      <c r="AN46" s="577" t="s">
        <v>199</v>
      </c>
    </row>
    <row r="47" spans="2:40">
      <c r="B47" s="538" t="s">
        <v>202</v>
      </c>
      <c r="C47" s="539" t="s">
        <v>202</v>
      </c>
      <c r="D47" s="540">
        <v>13332330749</v>
      </c>
      <c r="E47" s="541" t="s">
        <v>82</v>
      </c>
      <c r="F47" s="542" t="s">
        <v>52</v>
      </c>
      <c r="G47" s="542" t="s">
        <v>53</v>
      </c>
      <c r="H47" s="543" t="s">
        <v>54</v>
      </c>
      <c r="I47" s="544" t="s">
        <v>55</v>
      </c>
      <c r="J47" s="543" t="s">
        <v>56</v>
      </c>
      <c r="K47" s="545">
        <v>5</v>
      </c>
      <c r="L47" s="546">
        <v>5</v>
      </c>
      <c r="M47" s="547">
        <v>5</v>
      </c>
      <c r="N47" s="584" t="s">
        <v>158</v>
      </c>
      <c r="O47" s="553" t="s">
        <v>203</v>
      </c>
      <c r="P47" s="549"/>
      <c r="Q47" s="549" t="s">
        <v>204</v>
      </c>
      <c r="R47" s="549" t="s">
        <v>82</v>
      </c>
      <c r="S47" s="617">
        <v>5035</v>
      </c>
      <c r="T47" s="553" t="s">
        <v>205</v>
      </c>
      <c r="U47" s="549"/>
      <c r="V47" s="549" t="s">
        <v>81</v>
      </c>
      <c r="W47" s="549" t="s">
        <v>82</v>
      </c>
      <c r="X47" s="552">
        <v>5000</v>
      </c>
      <c r="Y47" s="553" t="s">
        <v>741</v>
      </c>
      <c r="Z47" s="549" t="s">
        <v>742</v>
      </c>
      <c r="AA47" s="549" t="s">
        <v>743</v>
      </c>
      <c r="AB47" s="587" t="s">
        <v>64</v>
      </c>
      <c r="AC47" s="588" t="s">
        <v>64</v>
      </c>
      <c r="AD47" s="588" t="s">
        <v>65</v>
      </c>
      <c r="AE47" s="588" t="s">
        <v>65</v>
      </c>
      <c r="AF47" s="588" t="s">
        <v>64</v>
      </c>
      <c r="AG47" s="585"/>
      <c r="AH47" s="558" t="s">
        <v>8</v>
      </c>
      <c r="AI47" s="559" t="s">
        <v>9</v>
      </c>
      <c r="AJ47" s="559" t="s">
        <v>10</v>
      </c>
      <c r="AK47" s="560" t="s">
        <v>66</v>
      </c>
      <c r="AL47" s="561"/>
      <c r="AM47" s="562" t="s">
        <v>64</v>
      </c>
      <c r="AN47" s="563" t="s">
        <v>202</v>
      </c>
    </row>
    <row r="48" spans="2:40">
      <c r="B48" s="538" t="s">
        <v>5</v>
      </c>
      <c r="C48" s="538" t="s">
        <v>5</v>
      </c>
      <c r="D48" s="540">
        <v>24167357299</v>
      </c>
      <c r="E48" s="565" t="s">
        <v>206</v>
      </c>
      <c r="F48" s="566" t="s">
        <v>52</v>
      </c>
      <c r="G48" s="566" t="s">
        <v>53</v>
      </c>
      <c r="H48" s="543" t="s">
        <v>54</v>
      </c>
      <c r="I48" s="544" t="s">
        <v>55</v>
      </c>
      <c r="J48" s="543" t="s">
        <v>56</v>
      </c>
      <c r="K48" s="567">
        <v>5</v>
      </c>
      <c r="L48" s="546">
        <v>5</v>
      </c>
      <c r="M48" s="568">
        <v>5</v>
      </c>
      <c r="N48" s="566" t="s">
        <v>68</v>
      </c>
      <c r="O48" s="574" t="s">
        <v>212</v>
      </c>
      <c r="P48" s="570"/>
      <c r="Q48" s="570" t="s">
        <v>213</v>
      </c>
      <c r="R48" s="582" t="s">
        <v>206</v>
      </c>
      <c r="S48" s="616">
        <v>7008</v>
      </c>
      <c r="T48" s="574" t="s">
        <v>214</v>
      </c>
      <c r="U48" s="570"/>
      <c r="V48" s="570" t="s">
        <v>215</v>
      </c>
      <c r="W48" s="570" t="s">
        <v>206</v>
      </c>
      <c r="X48" s="573">
        <v>7009</v>
      </c>
      <c r="Y48" s="574" t="s">
        <v>744</v>
      </c>
      <c r="Z48" s="570" t="s">
        <v>745</v>
      </c>
      <c r="AA48" s="570" t="s">
        <v>746</v>
      </c>
      <c r="AB48" s="587" t="s">
        <v>65</v>
      </c>
      <c r="AC48" s="588" t="s">
        <v>65</v>
      </c>
      <c r="AD48" s="588" t="s">
        <v>65</v>
      </c>
      <c r="AE48" s="588" t="s">
        <v>65</v>
      </c>
      <c r="AF48" s="588" t="s">
        <v>65</v>
      </c>
      <c r="AG48" s="585"/>
      <c r="AH48" s="618" t="s">
        <v>207</v>
      </c>
      <c r="AI48" s="619" t="s">
        <v>208</v>
      </c>
      <c r="AJ48" s="619" t="s">
        <v>9</v>
      </c>
      <c r="AK48" s="619" t="s">
        <v>209</v>
      </c>
      <c r="AL48" s="620" t="s">
        <v>210</v>
      </c>
      <c r="AM48" s="562" t="s">
        <v>65</v>
      </c>
      <c r="AN48" s="563" t="s">
        <v>5</v>
      </c>
    </row>
    <row r="49" spans="2:40">
      <c r="B49" s="538" t="s">
        <v>211</v>
      </c>
      <c r="C49" s="539" t="s">
        <v>211</v>
      </c>
      <c r="D49" s="540">
        <v>24167357299</v>
      </c>
      <c r="E49" s="541" t="s">
        <v>206</v>
      </c>
      <c r="F49" s="542" t="s">
        <v>52</v>
      </c>
      <c r="G49" s="542" t="s">
        <v>89</v>
      </c>
      <c r="H49" s="543" t="s">
        <v>54</v>
      </c>
      <c r="I49" s="544" t="s">
        <v>55</v>
      </c>
      <c r="J49" s="543" t="s">
        <v>56</v>
      </c>
      <c r="K49" s="545">
        <v>5</v>
      </c>
      <c r="L49" s="578">
        <v>5</v>
      </c>
      <c r="M49" s="547">
        <v>5</v>
      </c>
      <c r="N49" s="542" t="s">
        <v>123</v>
      </c>
      <c r="O49" s="553" t="s">
        <v>212</v>
      </c>
      <c r="P49" s="549"/>
      <c r="Q49" s="549" t="s">
        <v>213</v>
      </c>
      <c r="R49" s="579" t="s">
        <v>206</v>
      </c>
      <c r="S49" s="617">
        <v>7008</v>
      </c>
      <c r="T49" s="553" t="s">
        <v>214</v>
      </c>
      <c r="U49" s="549"/>
      <c r="V49" s="549" t="s">
        <v>215</v>
      </c>
      <c r="W49" s="549" t="s">
        <v>206</v>
      </c>
      <c r="X49" s="552">
        <v>7009</v>
      </c>
      <c r="Y49" s="553" t="s">
        <v>744</v>
      </c>
      <c r="Z49" s="549" t="s">
        <v>745</v>
      </c>
      <c r="AA49" s="549" t="s">
        <v>746</v>
      </c>
      <c r="AB49" s="555" t="s">
        <v>64</v>
      </c>
      <c r="AC49" s="556" t="s">
        <v>64</v>
      </c>
      <c r="AD49" s="556" t="s">
        <v>64</v>
      </c>
      <c r="AE49" s="556" t="s">
        <v>64</v>
      </c>
      <c r="AF49" s="556" t="s">
        <v>64</v>
      </c>
      <c r="AG49" s="557"/>
      <c r="AH49" s="558" t="s">
        <v>8</v>
      </c>
      <c r="AI49" s="559" t="s">
        <v>9</v>
      </c>
      <c r="AJ49" s="559" t="s">
        <v>10</v>
      </c>
      <c r="AK49" s="560" t="s">
        <v>66</v>
      </c>
      <c r="AL49" s="561"/>
      <c r="AM49" s="562" t="s">
        <v>64</v>
      </c>
      <c r="AN49" s="563" t="s">
        <v>211</v>
      </c>
    </row>
    <row r="50" spans="2:40">
      <c r="B50" s="538" t="s">
        <v>216</v>
      </c>
      <c r="C50" s="539" t="s">
        <v>217</v>
      </c>
      <c r="D50" s="540" t="s">
        <v>773</v>
      </c>
      <c r="E50" s="565" t="s">
        <v>94</v>
      </c>
      <c r="F50" s="566" t="s">
        <v>52</v>
      </c>
      <c r="G50" s="566" t="s">
        <v>89</v>
      </c>
      <c r="H50" s="543" t="s">
        <v>54</v>
      </c>
      <c r="I50" s="544" t="s">
        <v>55</v>
      </c>
      <c r="J50" s="543" t="s">
        <v>56</v>
      </c>
      <c r="K50" s="567">
        <v>4</v>
      </c>
      <c r="L50" s="595">
        <v>5</v>
      </c>
      <c r="M50" s="568">
        <v>5</v>
      </c>
      <c r="N50" s="566" t="s">
        <v>123</v>
      </c>
      <c r="O50" s="574" t="s">
        <v>218</v>
      </c>
      <c r="P50" s="570"/>
      <c r="Q50" s="570" t="s">
        <v>93</v>
      </c>
      <c r="R50" s="582" t="s">
        <v>94</v>
      </c>
      <c r="S50" s="573">
        <v>2000</v>
      </c>
      <c r="T50" s="574" t="s">
        <v>219</v>
      </c>
      <c r="U50" s="570"/>
      <c r="V50" s="570" t="s">
        <v>220</v>
      </c>
      <c r="W50" s="570" t="s">
        <v>94</v>
      </c>
      <c r="X50" s="573">
        <v>1235</v>
      </c>
      <c r="Y50" s="574" t="s">
        <v>221</v>
      </c>
      <c r="Z50" s="590" t="s">
        <v>222</v>
      </c>
      <c r="AA50" s="590" t="s">
        <v>223</v>
      </c>
      <c r="AB50" s="555" t="s">
        <v>64</v>
      </c>
      <c r="AC50" s="556" t="s">
        <v>64</v>
      </c>
      <c r="AD50" s="556" t="s">
        <v>64</v>
      </c>
      <c r="AE50" s="556" t="s">
        <v>64</v>
      </c>
      <c r="AF50" s="556" t="s">
        <v>64</v>
      </c>
      <c r="AG50" s="557"/>
      <c r="AH50" s="621" t="s">
        <v>8</v>
      </c>
      <c r="AI50" s="622" t="s">
        <v>9</v>
      </c>
      <c r="AJ50" s="622" t="s">
        <v>10</v>
      </c>
      <c r="AK50" s="623" t="s">
        <v>66</v>
      </c>
      <c r="AL50" s="576"/>
      <c r="AM50" s="562" t="s">
        <v>64</v>
      </c>
      <c r="AN50" s="563" t="s">
        <v>216</v>
      </c>
    </row>
    <row r="51" spans="2:40" ht="15.75" thickBot="1">
      <c r="B51" s="624" t="s">
        <v>224</v>
      </c>
      <c r="C51" s="625" t="s">
        <v>224</v>
      </c>
      <c r="D51" s="626">
        <v>70064651029</v>
      </c>
      <c r="E51" s="627" t="s">
        <v>78</v>
      </c>
      <c r="F51" s="628" t="s">
        <v>52</v>
      </c>
      <c r="G51" s="628" t="s">
        <v>53</v>
      </c>
      <c r="H51" s="629" t="s">
        <v>54</v>
      </c>
      <c r="I51" s="630" t="s">
        <v>79</v>
      </c>
      <c r="J51" s="629" t="s">
        <v>80</v>
      </c>
      <c r="K51" s="631">
        <v>5</v>
      </c>
      <c r="L51" s="632">
        <v>5</v>
      </c>
      <c r="M51" s="633">
        <v>2</v>
      </c>
      <c r="N51" s="634" t="s">
        <v>108</v>
      </c>
      <c r="O51" s="635" t="s">
        <v>225</v>
      </c>
      <c r="P51" s="636" t="s">
        <v>226</v>
      </c>
      <c r="Q51" s="636" t="s">
        <v>227</v>
      </c>
      <c r="R51" s="636" t="s">
        <v>78</v>
      </c>
      <c r="S51" s="637">
        <v>3149</v>
      </c>
      <c r="T51" s="635" t="s">
        <v>228</v>
      </c>
      <c r="U51" s="636"/>
      <c r="V51" s="636" t="s">
        <v>229</v>
      </c>
      <c r="W51" s="636" t="s">
        <v>114</v>
      </c>
      <c r="X51" s="637">
        <v>3170</v>
      </c>
      <c r="Y51" s="635" t="s">
        <v>230</v>
      </c>
      <c r="Z51" s="636" t="s">
        <v>231</v>
      </c>
      <c r="AA51" s="636" t="s">
        <v>232</v>
      </c>
      <c r="AB51" s="638" t="s">
        <v>64</v>
      </c>
      <c r="AC51" s="639" t="s">
        <v>64</v>
      </c>
      <c r="AD51" s="639" t="s">
        <v>65</v>
      </c>
      <c r="AE51" s="639" t="s">
        <v>64</v>
      </c>
      <c r="AF51" s="639" t="s">
        <v>64</v>
      </c>
      <c r="AG51" s="640"/>
      <c r="AH51" s="641" t="s">
        <v>8</v>
      </c>
      <c r="AI51" s="642" t="s">
        <v>9</v>
      </c>
      <c r="AJ51" s="642" t="s">
        <v>10</v>
      </c>
      <c r="AK51" s="643" t="s">
        <v>66</v>
      </c>
      <c r="AL51" s="644"/>
      <c r="AM51" s="645" t="s">
        <v>65</v>
      </c>
      <c r="AN51" s="646" t="s">
        <v>224</v>
      </c>
    </row>
    <row r="52" spans="2:40">
      <c r="C52" s="7"/>
      <c r="X52" s="2"/>
      <c r="AB52" s="1"/>
    </row>
    <row r="53" spans="2:40" ht="15.75" thickBot="1">
      <c r="C53" s="7"/>
      <c r="X53" s="2"/>
      <c r="AB53" s="1"/>
      <c r="AD53" s="467"/>
    </row>
    <row r="54" spans="2:40" thickBot="1">
      <c r="X54" s="2"/>
      <c r="Y54" s="2"/>
      <c r="Z54" s="1153" t="s">
        <v>233</v>
      </c>
      <c r="AA54" s="1154"/>
      <c r="AB54" s="1154"/>
      <c r="AC54" s="1154"/>
      <c r="AD54" s="1155"/>
      <c r="AE54" s="1156" t="s">
        <v>747</v>
      </c>
      <c r="AF54" s="1157"/>
      <c r="AG54" s="1157"/>
      <c r="AH54" s="1158"/>
    </row>
    <row r="55" spans="2:40" ht="53.25" customHeight="1" thickBot="1">
      <c r="B55" s="1177" t="s">
        <v>234</v>
      </c>
      <c r="C55" s="1178"/>
      <c r="D55" s="1178"/>
      <c r="E55" s="1178"/>
      <c r="F55" s="1179"/>
      <c r="G55" s="10"/>
      <c r="H55" s="11"/>
      <c r="N55" s="12" t="s">
        <v>235</v>
      </c>
      <c r="O55" s="1159" t="s">
        <v>236</v>
      </c>
      <c r="P55" s="1159"/>
      <c r="Q55" s="1159"/>
      <c r="R55" s="1159"/>
      <c r="S55" s="1159"/>
      <c r="T55" s="1159"/>
      <c r="U55" s="1159"/>
      <c r="V55" s="1159"/>
      <c r="W55" s="465"/>
      <c r="X55" s="465"/>
      <c r="Y55" s="465"/>
      <c r="Z55" s="1160" t="s">
        <v>237</v>
      </c>
      <c r="AA55" s="1161"/>
      <c r="AB55" s="1161"/>
      <c r="AC55" s="1161"/>
      <c r="AD55" s="1162"/>
      <c r="AE55" s="1163" t="s">
        <v>748</v>
      </c>
      <c r="AF55" s="1164"/>
      <c r="AG55" s="1164"/>
      <c r="AH55" s="1165"/>
    </row>
    <row r="56" spans="2:40" s="2" customFormat="1" ht="42" customHeight="1" thickBot="1">
      <c r="B56" s="647" t="s">
        <v>241</v>
      </c>
      <c r="C56" s="648" t="s">
        <v>774</v>
      </c>
      <c r="D56" s="649"/>
      <c r="E56" s="650" t="s">
        <v>242</v>
      </c>
      <c r="F56" s="650"/>
      <c r="G56" s="651"/>
      <c r="H56" s="652"/>
      <c r="I56"/>
      <c r="J56" s="16"/>
      <c r="K56" s="16"/>
      <c r="L56" s="17"/>
      <c r="N56" s="653" t="s">
        <v>243</v>
      </c>
      <c r="O56" s="18" t="s">
        <v>244</v>
      </c>
      <c r="P56" s="19" t="s">
        <v>245</v>
      </c>
      <c r="Q56" s="19" t="s">
        <v>246</v>
      </c>
      <c r="R56" s="19" t="s">
        <v>247</v>
      </c>
      <c r="S56" s="19" t="s">
        <v>248</v>
      </c>
      <c r="T56" s="19" t="s">
        <v>249</v>
      </c>
      <c r="U56" s="19" t="s">
        <v>775</v>
      </c>
      <c r="V56" s="19" t="s">
        <v>776</v>
      </c>
      <c r="W56" s="19" t="s">
        <v>777</v>
      </c>
      <c r="X56" s="19" t="s">
        <v>250</v>
      </c>
      <c r="Y56" s="20" t="s">
        <v>251</v>
      </c>
      <c r="Z56" s="654" t="s">
        <v>252</v>
      </c>
      <c r="AA56" s="655" t="s">
        <v>253</v>
      </c>
      <c r="AB56" s="655" t="s">
        <v>254</v>
      </c>
      <c r="AC56" s="655" t="s">
        <v>255</v>
      </c>
      <c r="AD56" s="656" t="s">
        <v>256</v>
      </c>
      <c r="AE56" s="21" t="s">
        <v>749</v>
      </c>
      <c r="AF56" s="22" t="s">
        <v>750</v>
      </c>
      <c r="AG56" s="22"/>
      <c r="AH56" s="23"/>
    </row>
    <row r="57" spans="2:40" ht="30">
      <c r="B57" s="657" t="s">
        <v>259</v>
      </c>
      <c r="C57" s="658" t="s">
        <v>260</v>
      </c>
      <c r="D57" s="659"/>
      <c r="E57" s="660" t="str">
        <f ca="1">LEFT(dms_SingleYear_FinalYear_Result,2)&amp;RIGHT(dms_SingleYear_FinalYear_Result,2)</f>
        <v>noIN</v>
      </c>
      <c r="F57" s="661" t="s">
        <v>261</v>
      </c>
      <c r="G57" s="662"/>
      <c r="H57" s="663" t="s">
        <v>262</v>
      </c>
      <c r="I57"/>
      <c r="N57" s="27" t="s">
        <v>263</v>
      </c>
      <c r="O57" s="664" t="s">
        <v>264</v>
      </c>
      <c r="P57" s="28" t="s">
        <v>265</v>
      </c>
      <c r="Q57" s="28" t="s">
        <v>265</v>
      </c>
      <c r="R57" s="28" t="s">
        <v>265</v>
      </c>
      <c r="S57" s="28" t="s">
        <v>265</v>
      </c>
      <c r="T57" s="29" t="s">
        <v>265</v>
      </c>
      <c r="U57" s="29" t="s">
        <v>270</v>
      </c>
      <c r="V57" s="29" t="s">
        <v>270</v>
      </c>
      <c r="W57" s="665" t="s">
        <v>778</v>
      </c>
      <c r="X57" s="666" t="s">
        <v>265</v>
      </c>
      <c r="Y57" s="667" t="s">
        <v>266</v>
      </c>
      <c r="Z57" s="30" t="s">
        <v>267</v>
      </c>
      <c r="AA57" s="31" t="s">
        <v>267</v>
      </c>
      <c r="AB57" s="32" t="s">
        <v>268</v>
      </c>
      <c r="AC57" s="32" t="s">
        <v>269</v>
      </c>
      <c r="AD57" s="33" t="s">
        <v>270</v>
      </c>
      <c r="AE57" s="668" t="s">
        <v>353</v>
      </c>
      <c r="AF57" s="32" t="s">
        <v>353</v>
      </c>
      <c r="AG57" s="70"/>
      <c r="AH57" s="71"/>
    </row>
    <row r="58" spans="2:40" ht="30.75" customHeight="1">
      <c r="B58" s="669" t="s">
        <v>273</v>
      </c>
      <c r="C58" s="670" t="s">
        <v>274</v>
      </c>
      <c r="D58" s="671"/>
      <c r="E58" s="672" t="str">
        <f ca="1">LEFT(dms_SingleYear_FinalYear_Result,2)&amp;RIGHT(dms_SingleYear_FinalYear_Result,2)</f>
        <v>noIN</v>
      </c>
      <c r="F58" s="673" t="s">
        <v>261</v>
      </c>
      <c r="G58" s="674"/>
      <c r="H58" s="675" t="s">
        <v>262</v>
      </c>
      <c r="I58"/>
      <c r="N58" s="35" t="s">
        <v>275</v>
      </c>
      <c r="O58" s="676" t="s">
        <v>264</v>
      </c>
      <c r="P58" s="36" t="s">
        <v>265</v>
      </c>
      <c r="Q58" s="36" t="s">
        <v>265</v>
      </c>
      <c r="R58" s="36" t="s">
        <v>265</v>
      </c>
      <c r="S58" s="36" t="s">
        <v>265</v>
      </c>
      <c r="T58" s="677" t="s">
        <v>265</v>
      </c>
      <c r="U58" s="677" t="s">
        <v>265</v>
      </c>
      <c r="V58" s="677" t="s">
        <v>265</v>
      </c>
      <c r="W58" s="678" t="s">
        <v>779</v>
      </c>
      <c r="X58" s="679" t="s">
        <v>265</v>
      </c>
      <c r="Y58" s="680" t="s">
        <v>265</v>
      </c>
      <c r="Z58" s="681" t="s">
        <v>267</v>
      </c>
      <c r="AA58" s="37" t="s">
        <v>267</v>
      </c>
      <c r="AB58" s="37" t="s">
        <v>276</v>
      </c>
      <c r="AC58" s="37" t="s">
        <v>277</v>
      </c>
      <c r="AD58" s="38"/>
      <c r="AE58" s="681" t="s">
        <v>353</v>
      </c>
      <c r="AF58" s="37" t="s">
        <v>353</v>
      </c>
      <c r="AG58" s="70"/>
      <c r="AH58" s="71"/>
    </row>
    <row r="59" spans="2:40" ht="30">
      <c r="B59" s="669" t="s">
        <v>279</v>
      </c>
      <c r="C59" s="670" t="s">
        <v>279</v>
      </c>
      <c r="D59" s="671"/>
      <c r="E59" s="672"/>
      <c r="F59" s="673"/>
      <c r="G59" s="674"/>
      <c r="H59" s="682"/>
      <c r="I59"/>
      <c r="J59" s="1"/>
      <c r="N59" s="35" t="s">
        <v>280</v>
      </c>
      <c r="O59" s="676" t="s">
        <v>264</v>
      </c>
      <c r="P59" s="36" t="s">
        <v>281</v>
      </c>
      <c r="Q59" s="36" t="s">
        <v>281</v>
      </c>
      <c r="R59" s="36" t="s">
        <v>281</v>
      </c>
      <c r="S59" s="36" t="s">
        <v>281</v>
      </c>
      <c r="T59" s="677" t="s">
        <v>265</v>
      </c>
      <c r="U59" s="677" t="s">
        <v>270</v>
      </c>
      <c r="V59" s="677" t="s">
        <v>270</v>
      </c>
      <c r="W59" s="678" t="s">
        <v>780</v>
      </c>
      <c r="X59" s="679" t="s">
        <v>265</v>
      </c>
      <c r="Y59" s="680" t="s">
        <v>282</v>
      </c>
      <c r="Z59" s="681" t="s">
        <v>283</v>
      </c>
      <c r="AA59" s="37" t="s">
        <v>283</v>
      </c>
      <c r="AB59" s="37" t="s">
        <v>284</v>
      </c>
      <c r="AC59" s="37" t="s">
        <v>277</v>
      </c>
      <c r="AD59" s="38"/>
      <c r="AE59" s="681" t="s">
        <v>353</v>
      </c>
      <c r="AF59" s="37" t="s">
        <v>353</v>
      </c>
      <c r="AG59" s="70"/>
      <c r="AH59" s="71"/>
    </row>
    <row r="60" spans="2:40" ht="30">
      <c r="B60" s="669" t="s">
        <v>287</v>
      </c>
      <c r="C60" s="670" t="s">
        <v>288</v>
      </c>
      <c r="D60" s="671"/>
      <c r="E60" s="683" t="str">
        <f ca="1">LEFT(dms_SingleYear_FinalYear_Result,2)&amp;RIGHT(dms_SingleYear_FinalYear_Result,2)</f>
        <v>noIN</v>
      </c>
      <c r="F60" s="684" t="s">
        <v>261</v>
      </c>
      <c r="G60" s="674"/>
      <c r="H60" s="675" t="s">
        <v>262</v>
      </c>
      <c r="I60"/>
      <c r="J60" s="1"/>
      <c r="N60" s="35" t="s">
        <v>289</v>
      </c>
      <c r="O60" s="676" t="s">
        <v>264</v>
      </c>
      <c r="P60" s="36" t="s">
        <v>265</v>
      </c>
      <c r="Q60" s="36" t="s">
        <v>265</v>
      </c>
      <c r="R60" s="36" t="s">
        <v>265</v>
      </c>
      <c r="S60" s="36" t="s">
        <v>265</v>
      </c>
      <c r="T60" s="677" t="s">
        <v>265</v>
      </c>
      <c r="U60" s="677" t="s">
        <v>270</v>
      </c>
      <c r="V60" s="677" t="s">
        <v>270</v>
      </c>
      <c r="W60" s="678" t="s">
        <v>781</v>
      </c>
      <c r="X60" s="679" t="s">
        <v>282</v>
      </c>
      <c r="Y60" s="680" t="s">
        <v>265</v>
      </c>
      <c r="Z60" s="681" t="s">
        <v>283</v>
      </c>
      <c r="AA60" s="37" t="s">
        <v>283</v>
      </c>
      <c r="AB60" s="8"/>
      <c r="AC60" s="37" t="s">
        <v>277</v>
      </c>
      <c r="AD60" s="38"/>
      <c r="AE60" s="681" t="s">
        <v>353</v>
      </c>
      <c r="AF60" s="37" t="s">
        <v>353</v>
      </c>
      <c r="AG60" s="70"/>
      <c r="AH60" s="71"/>
    </row>
    <row r="61" spans="2:40">
      <c r="B61" s="669" t="s">
        <v>292</v>
      </c>
      <c r="C61" s="685" t="s">
        <v>293</v>
      </c>
      <c r="D61" s="671"/>
      <c r="E61" s="683" t="str">
        <f ca="1">LEFT(dms_MultiYear_FinalYear_Result,2)&amp;RIGHT(dms_MultiYear_FinalYear_Result,2)</f>
        <v>2025</v>
      </c>
      <c r="F61" s="684" t="s">
        <v>294</v>
      </c>
      <c r="G61" s="674"/>
      <c r="H61" s="682"/>
      <c r="I61"/>
      <c r="J61" s="1"/>
      <c r="N61" s="35" t="s">
        <v>295</v>
      </c>
      <c r="O61" s="686" t="s">
        <v>296</v>
      </c>
      <c r="P61" s="36" t="s">
        <v>297</v>
      </c>
      <c r="Q61" s="36" t="s">
        <v>297</v>
      </c>
      <c r="R61" s="36" t="s">
        <v>297</v>
      </c>
      <c r="S61" s="36" t="s">
        <v>297</v>
      </c>
      <c r="T61" s="677" t="s">
        <v>298</v>
      </c>
      <c r="U61" s="677" t="s">
        <v>265</v>
      </c>
      <c r="V61" s="677" t="s">
        <v>265</v>
      </c>
      <c r="W61" s="678" t="s">
        <v>782</v>
      </c>
      <c r="X61" s="41"/>
      <c r="Y61" s="42"/>
      <c r="Z61" s="43"/>
      <c r="AA61" s="8"/>
      <c r="AB61" s="8"/>
      <c r="AC61" s="37" t="s">
        <v>277</v>
      </c>
      <c r="AD61" s="38"/>
      <c r="AE61" s="681" t="s">
        <v>353</v>
      </c>
      <c r="AF61" s="37" t="s">
        <v>298</v>
      </c>
      <c r="AG61" s="70"/>
      <c r="AH61" s="71"/>
    </row>
    <row r="62" spans="2:40">
      <c r="B62" s="669" t="s">
        <v>301</v>
      </c>
      <c r="C62" s="670" t="s">
        <v>302</v>
      </c>
      <c r="D62" s="671"/>
      <c r="E62" s="683" t="str">
        <f ca="1">LEFT(dms_MultiYear_FinalYear_Result,2)&amp;RIGHT(dms_MultiYear_FinalYear_Result,2)</f>
        <v>2025</v>
      </c>
      <c r="F62" s="684" t="s">
        <v>294</v>
      </c>
      <c r="G62" s="674"/>
      <c r="H62" s="675" t="s">
        <v>262</v>
      </c>
      <c r="I62"/>
      <c r="J62" s="1"/>
      <c r="N62" s="35" t="s">
        <v>303</v>
      </c>
      <c r="O62" s="686" t="s">
        <v>296</v>
      </c>
      <c r="P62" s="36" t="s">
        <v>304</v>
      </c>
      <c r="Q62" s="36" t="s">
        <v>304</v>
      </c>
      <c r="R62" s="36" t="s">
        <v>304</v>
      </c>
      <c r="S62" s="36" t="s">
        <v>304</v>
      </c>
      <c r="T62" s="44"/>
      <c r="U62" s="677" t="s">
        <v>783</v>
      </c>
      <c r="V62" s="677" t="s">
        <v>783</v>
      </c>
      <c r="W62" s="678" t="s">
        <v>784</v>
      </c>
      <c r="X62" s="41"/>
      <c r="Y62" s="42"/>
      <c r="Z62" s="43"/>
      <c r="AA62" s="8"/>
      <c r="AB62" s="8"/>
      <c r="AC62" s="37" t="s">
        <v>305</v>
      </c>
      <c r="AD62" s="38"/>
      <c r="AE62" s="681" t="s">
        <v>353</v>
      </c>
      <c r="AF62" s="70"/>
      <c r="AG62" s="70"/>
      <c r="AH62" s="71"/>
    </row>
    <row r="63" spans="2:40">
      <c r="B63" s="669" t="s">
        <v>308</v>
      </c>
      <c r="C63" s="670" t="s">
        <v>309</v>
      </c>
      <c r="D63" s="671"/>
      <c r="E63" s="683" t="str">
        <f>LEFT(dms_CRCP_FinalYear_Result,2)&amp;RIGHT(dms_CRCP_FinalYear_Result,2)</f>
        <v>2020</v>
      </c>
      <c r="F63" s="684" t="s">
        <v>310</v>
      </c>
      <c r="G63" s="674"/>
      <c r="H63" s="682"/>
      <c r="I63"/>
      <c r="J63" s="1"/>
      <c r="N63" s="35" t="s">
        <v>311</v>
      </c>
      <c r="O63" s="686" t="s">
        <v>296</v>
      </c>
      <c r="P63" s="36" t="s">
        <v>297</v>
      </c>
      <c r="Q63" s="36" t="s">
        <v>297</v>
      </c>
      <c r="R63" s="36" t="s">
        <v>297</v>
      </c>
      <c r="S63" s="36" t="s">
        <v>297</v>
      </c>
      <c r="T63" s="44"/>
      <c r="U63" s="44"/>
      <c r="V63" s="44"/>
      <c r="W63" s="44"/>
      <c r="X63" s="41"/>
      <c r="Y63" s="42"/>
      <c r="Z63" s="43"/>
      <c r="AA63" s="8"/>
      <c r="AB63" s="8"/>
      <c r="AC63" s="37" t="s">
        <v>305</v>
      </c>
      <c r="AD63" s="38"/>
      <c r="AE63" s="681" t="s">
        <v>353</v>
      </c>
      <c r="AF63" s="70"/>
      <c r="AG63" s="70"/>
      <c r="AH63" s="71"/>
    </row>
    <row r="64" spans="2:40" ht="15.75" thickBot="1">
      <c r="B64" s="687" t="s">
        <v>314</v>
      </c>
      <c r="C64" s="688" t="s">
        <v>315</v>
      </c>
      <c r="D64" s="689"/>
      <c r="E64" s="690" t="str">
        <f ca="1">LEFT(dms_MultiYear_FinalYear_Result,2)&amp;RIGHT(dms_MultiYear_FinalYear_Result,2)</f>
        <v>2025</v>
      </c>
      <c r="F64" s="691" t="s">
        <v>294</v>
      </c>
      <c r="G64" s="692"/>
      <c r="H64" s="693"/>
      <c r="I64"/>
      <c r="J64" s="1"/>
      <c r="N64" s="46" t="s">
        <v>278</v>
      </c>
      <c r="O64" s="47"/>
      <c r="P64" s="36" t="s">
        <v>304</v>
      </c>
      <c r="Q64" s="36" t="s">
        <v>304</v>
      </c>
      <c r="R64" s="36" t="s">
        <v>304</v>
      </c>
      <c r="S64" s="36" t="s">
        <v>304</v>
      </c>
      <c r="T64" s="44"/>
      <c r="U64" s="44"/>
      <c r="V64" s="44"/>
      <c r="W64" s="44"/>
      <c r="X64" s="41"/>
      <c r="Y64" s="42"/>
      <c r="Z64" s="48"/>
      <c r="AA64" s="8"/>
      <c r="AB64" s="8"/>
      <c r="AC64" s="37" t="s">
        <v>316</v>
      </c>
      <c r="AD64" s="38"/>
      <c r="AE64" s="681" t="s">
        <v>353</v>
      </c>
      <c r="AF64" s="70"/>
      <c r="AG64" s="70"/>
      <c r="AH64" s="71"/>
    </row>
    <row r="65" spans="2:34" thickBot="1">
      <c r="C65" s="7"/>
      <c r="H65" s="1"/>
      <c r="I65" s="26"/>
      <c r="J65" s="1"/>
      <c r="O65" s="47"/>
      <c r="P65" s="36" t="s">
        <v>297</v>
      </c>
      <c r="Q65" s="36" t="s">
        <v>297</v>
      </c>
      <c r="R65" s="36" t="s">
        <v>297</v>
      </c>
      <c r="S65" s="36" t="s">
        <v>297</v>
      </c>
      <c r="T65" s="44"/>
      <c r="U65" s="44"/>
      <c r="V65" s="44"/>
      <c r="W65" s="44"/>
      <c r="X65" s="41"/>
      <c r="Y65" s="42"/>
      <c r="Z65" s="48"/>
      <c r="AA65" s="8"/>
      <c r="AB65" s="8"/>
      <c r="AC65" s="37" t="s">
        <v>316</v>
      </c>
      <c r="AD65" s="38"/>
      <c r="AE65" s="681" t="s">
        <v>353</v>
      </c>
      <c r="AF65" s="70"/>
      <c r="AG65" s="70"/>
      <c r="AH65" s="71"/>
    </row>
    <row r="66" spans="2:34" ht="15.75" thickBot="1">
      <c r="B66" s="52" t="s">
        <v>320</v>
      </c>
      <c r="C66" s="7"/>
      <c r="O66" s="47"/>
      <c r="P66" s="36" t="s">
        <v>265</v>
      </c>
      <c r="Q66" s="44"/>
      <c r="R66" s="36" t="s">
        <v>282</v>
      </c>
      <c r="S66" s="44"/>
      <c r="T66" s="44"/>
      <c r="U66" s="44"/>
      <c r="V66" s="44"/>
      <c r="W66" s="44"/>
      <c r="X66" s="41"/>
      <c r="Y66" s="42"/>
      <c r="Z66" s="48"/>
      <c r="AA66" s="8"/>
      <c r="AB66" s="8"/>
      <c r="AC66" s="37" t="s">
        <v>321</v>
      </c>
      <c r="AD66" s="38"/>
      <c r="AE66" s="681" t="s">
        <v>353</v>
      </c>
      <c r="AF66" s="70"/>
      <c r="AG66" s="70"/>
      <c r="AH66" s="71"/>
    </row>
    <row r="67" spans="2:34" ht="14.25">
      <c r="B67" s="54" t="s">
        <v>323</v>
      </c>
      <c r="C67" s="7"/>
      <c r="O67" s="47"/>
      <c r="P67" s="36" t="s">
        <v>265</v>
      </c>
      <c r="Q67" s="44"/>
      <c r="R67" s="44"/>
      <c r="S67" s="44"/>
      <c r="T67" s="44"/>
      <c r="U67" s="44"/>
      <c r="V67" s="44"/>
      <c r="W67" s="44"/>
      <c r="X67" s="41"/>
      <c r="Y67" s="42"/>
      <c r="Z67" s="48"/>
      <c r="AA67" s="8"/>
      <c r="AB67" s="8"/>
      <c r="AC67" s="37" t="s">
        <v>321</v>
      </c>
      <c r="AD67" s="38"/>
      <c r="AE67" s="681" t="s">
        <v>353</v>
      </c>
      <c r="AF67" s="70"/>
      <c r="AG67" s="70"/>
      <c r="AH67" s="71"/>
    </row>
    <row r="68" spans="2:34" ht="14.25">
      <c r="B68" s="56" t="s">
        <v>326</v>
      </c>
      <c r="C68" s="7"/>
      <c r="O68" s="47"/>
      <c r="P68" s="36" t="s">
        <v>265</v>
      </c>
      <c r="Q68" s="44"/>
      <c r="R68" s="44"/>
      <c r="S68" s="44"/>
      <c r="T68" s="44"/>
      <c r="U68" s="44"/>
      <c r="V68" s="44"/>
      <c r="W68" s="44"/>
      <c r="X68" s="41"/>
      <c r="Y68" s="42"/>
      <c r="Z68" s="48"/>
      <c r="AA68" s="8"/>
      <c r="AB68" s="8"/>
      <c r="AC68" s="37" t="s">
        <v>327</v>
      </c>
      <c r="AD68" s="38"/>
      <c r="AE68" s="681" t="s">
        <v>353</v>
      </c>
      <c r="AF68" s="70"/>
      <c r="AG68" s="70"/>
      <c r="AH68" s="71"/>
    </row>
    <row r="69" spans="2:34" thickBot="1">
      <c r="B69" s="56" t="s">
        <v>330</v>
      </c>
      <c r="C69" s="7"/>
      <c r="O69" s="58"/>
      <c r="P69" s="59" t="s">
        <v>282</v>
      </c>
      <c r="Q69" s="60"/>
      <c r="R69" s="60"/>
      <c r="S69" s="60"/>
      <c r="T69" s="60"/>
      <c r="U69" s="60"/>
      <c r="V69" s="60"/>
      <c r="W69" s="60"/>
      <c r="X69" s="61"/>
      <c r="Y69" s="62"/>
      <c r="Z69" s="48"/>
      <c r="AA69" s="8"/>
      <c r="AB69" s="8"/>
      <c r="AC69" s="37" t="s">
        <v>270</v>
      </c>
      <c r="AD69" s="38"/>
      <c r="AE69" s="681" t="s">
        <v>298</v>
      </c>
      <c r="AF69" s="70"/>
      <c r="AG69" s="70"/>
      <c r="AH69" s="71"/>
    </row>
    <row r="70" spans="2:34" ht="15.75" thickBot="1">
      <c r="B70" s="56" t="s">
        <v>333</v>
      </c>
      <c r="C70" s="7"/>
      <c r="E70" s="467"/>
      <c r="T70" s="694"/>
      <c r="X70" s="2"/>
      <c r="Y70" s="2"/>
      <c r="Z70" s="63"/>
      <c r="AA70" s="64"/>
      <c r="AB70" s="64"/>
      <c r="AC70" s="65" t="s">
        <v>327</v>
      </c>
      <c r="AD70" s="66"/>
      <c r="AE70" s="695" t="s">
        <v>298</v>
      </c>
      <c r="AF70" s="70" t="s">
        <v>334</v>
      </c>
      <c r="AG70" s="70"/>
      <c r="AH70" s="71"/>
    </row>
    <row r="71" spans="2:34" ht="15.75" thickBot="1">
      <c r="B71" s="68" t="s">
        <v>336</v>
      </c>
      <c r="C71" s="7"/>
      <c r="E71" s="467"/>
      <c r="T71" s="696"/>
      <c r="X71" s="2"/>
      <c r="Y71" s="2"/>
      <c r="Z71" s="69"/>
      <c r="AA71" s="70"/>
      <c r="AB71" s="70"/>
      <c r="AC71" s="70"/>
      <c r="AD71" s="71"/>
      <c r="AE71" s="697"/>
      <c r="AF71" s="70"/>
      <c r="AG71" s="70"/>
      <c r="AH71" s="71"/>
    </row>
    <row r="72" spans="2:34" ht="15.75" thickBot="1">
      <c r="C72" s="7"/>
      <c r="E72" s="467"/>
      <c r="T72" s="698"/>
      <c r="X72" s="2"/>
      <c r="Y72" s="2"/>
      <c r="Z72" s="69"/>
      <c r="AA72" s="70"/>
      <c r="AB72" s="70"/>
      <c r="AC72" s="70"/>
      <c r="AD72" s="71"/>
      <c r="AE72" s="697"/>
      <c r="AF72" s="70"/>
      <c r="AG72" s="70"/>
      <c r="AH72" s="71"/>
    </row>
    <row r="73" spans="2:34" ht="58.5" customHeight="1" thickBot="1">
      <c r="B73" s="72" t="s">
        <v>340</v>
      </c>
      <c r="C73" s="72" t="s">
        <v>341</v>
      </c>
      <c r="E73" s="467"/>
      <c r="O73" s="1166" t="s">
        <v>342</v>
      </c>
      <c r="P73" s="1167"/>
      <c r="V73"/>
      <c r="W73"/>
      <c r="X73"/>
      <c r="Y73" s="2"/>
      <c r="Z73" s="1168" t="s">
        <v>343</v>
      </c>
      <c r="AA73" s="1169"/>
      <c r="AB73" s="1169"/>
      <c r="AC73" s="1170"/>
      <c r="AD73" s="71"/>
      <c r="AE73" s="697"/>
      <c r="AF73" s="70"/>
      <c r="AG73" s="70"/>
      <c r="AH73" s="71"/>
    </row>
    <row r="74" spans="2:34" ht="26.25" thickBot="1">
      <c r="B74" s="74" t="s">
        <v>345</v>
      </c>
      <c r="C74" s="74" t="s">
        <v>346</v>
      </c>
      <c r="E74" s="467"/>
      <c r="O74" s="699" t="s">
        <v>347</v>
      </c>
      <c r="V74"/>
      <c r="W74"/>
      <c r="X74"/>
      <c r="Y74" s="2"/>
      <c r="Z74" s="700" t="s">
        <v>252</v>
      </c>
      <c r="AA74" s="700"/>
      <c r="AB74" s="701" t="s">
        <v>254</v>
      </c>
      <c r="AC74" s="702" t="s">
        <v>255</v>
      </c>
      <c r="AD74" s="71"/>
      <c r="AE74" s="697"/>
      <c r="AF74" s="70"/>
      <c r="AG74" s="70"/>
      <c r="AH74" s="71"/>
    </row>
    <row r="75" spans="2:34" ht="15.75" thickBot="1">
      <c r="B75" s="76" t="s">
        <v>348</v>
      </c>
      <c r="C75" s="77" t="s">
        <v>54</v>
      </c>
      <c r="E75" s="467"/>
      <c r="O75" s="78" t="s">
        <v>349</v>
      </c>
      <c r="V75"/>
      <c r="W75"/>
      <c r="X75"/>
      <c r="Y75" s="2"/>
      <c r="Z75" s="79" t="s">
        <v>269</v>
      </c>
      <c r="AA75" s="80"/>
      <c r="AB75" s="81" t="s">
        <v>277</v>
      </c>
      <c r="AC75" s="82" t="s">
        <v>270</v>
      </c>
      <c r="AD75" s="71"/>
      <c r="AE75" s="697"/>
      <c r="AF75" s="70"/>
      <c r="AG75" s="70"/>
      <c r="AH75" s="71"/>
    </row>
    <row r="76" spans="2:34">
      <c r="B76" s="84" t="s">
        <v>351</v>
      </c>
      <c r="C76" s="85" t="s">
        <v>352</v>
      </c>
      <c r="E76" s="467"/>
      <c r="V76"/>
      <c r="W76"/>
      <c r="X76"/>
      <c r="Y76" s="2"/>
      <c r="Z76" s="86" t="s">
        <v>353</v>
      </c>
      <c r="AA76" s="8"/>
      <c r="AB76" s="37" t="s">
        <v>305</v>
      </c>
      <c r="AC76" s="87" t="s">
        <v>269</v>
      </c>
      <c r="AD76" s="71"/>
      <c r="AE76" s="697"/>
      <c r="AF76" s="70"/>
      <c r="AG76" s="70"/>
      <c r="AH76" s="71"/>
    </row>
    <row r="77" spans="2:34" ht="15.75" thickBot="1">
      <c r="B77" s="84" t="s">
        <v>355</v>
      </c>
      <c r="C77" s="89" t="s">
        <v>71</v>
      </c>
      <c r="E77" s="467"/>
      <c r="V77"/>
      <c r="W77"/>
      <c r="X77"/>
      <c r="Y77" s="2"/>
      <c r="Z77" s="86" t="s">
        <v>353</v>
      </c>
      <c r="AA77" s="8"/>
      <c r="AB77" s="37" t="s">
        <v>316</v>
      </c>
      <c r="AC77" s="87" t="s">
        <v>270</v>
      </c>
      <c r="AD77" s="71"/>
      <c r="AE77" s="697"/>
      <c r="AF77" s="70"/>
      <c r="AG77" s="70"/>
      <c r="AH77" s="71"/>
    </row>
    <row r="78" spans="2:34">
      <c r="B78" s="84" t="s">
        <v>357</v>
      </c>
      <c r="C78" s="1"/>
      <c r="E78" s="467"/>
      <c r="V78"/>
      <c r="W78"/>
      <c r="X78"/>
      <c r="Y78" s="2"/>
      <c r="Z78" s="86" t="s">
        <v>269</v>
      </c>
      <c r="AA78" s="8"/>
      <c r="AB78" s="37" t="s">
        <v>321</v>
      </c>
      <c r="AC78" s="87" t="s">
        <v>353</v>
      </c>
      <c r="AD78" s="71"/>
      <c r="AE78" s="697"/>
      <c r="AF78" s="70"/>
      <c r="AG78" s="70"/>
      <c r="AH78" s="71"/>
    </row>
    <row r="79" spans="2:34">
      <c r="B79" s="84" t="s">
        <v>359</v>
      </c>
      <c r="E79" s="467"/>
      <c r="V79"/>
      <c r="W79"/>
      <c r="X79"/>
      <c r="Y79" s="2"/>
      <c r="Z79" s="86" t="s">
        <v>353</v>
      </c>
      <c r="AA79" s="8"/>
      <c r="AB79" s="37" t="s">
        <v>277</v>
      </c>
      <c r="AC79" s="9"/>
      <c r="AD79" s="71"/>
      <c r="AE79" s="697"/>
      <c r="AF79" s="70"/>
      <c r="AG79" s="70"/>
      <c r="AH79" s="71"/>
    </row>
    <row r="80" spans="2:34">
      <c r="B80" s="84" t="s">
        <v>360</v>
      </c>
      <c r="E80" s="467"/>
      <c r="V80"/>
      <c r="W80"/>
      <c r="X80"/>
      <c r="Y80" s="2"/>
      <c r="Z80" s="86" t="s">
        <v>353</v>
      </c>
      <c r="AA80" s="8"/>
      <c r="AB80" s="37" t="s">
        <v>270</v>
      </c>
      <c r="AC80" s="9"/>
      <c r="AD80" s="71"/>
      <c r="AE80" s="697"/>
      <c r="AF80" s="70"/>
      <c r="AG80" s="70"/>
      <c r="AH80" s="71"/>
    </row>
    <row r="81" spans="1:34">
      <c r="B81" s="84" t="s">
        <v>361</v>
      </c>
      <c r="E81" s="467"/>
      <c r="V81"/>
      <c r="W81"/>
      <c r="X81"/>
      <c r="Y81" s="2"/>
      <c r="Z81" s="86" t="s">
        <v>269</v>
      </c>
      <c r="AA81" s="8"/>
      <c r="AB81" s="37" t="s">
        <v>270</v>
      </c>
      <c r="AC81" s="9"/>
      <c r="AD81" s="71"/>
      <c r="AE81" s="697"/>
      <c r="AF81" s="70"/>
      <c r="AG81" s="70"/>
      <c r="AH81" s="71"/>
    </row>
    <row r="82" spans="1:34">
      <c r="B82" s="84" t="s">
        <v>362</v>
      </c>
      <c r="E82" s="467"/>
      <c r="X82" s="2"/>
      <c r="Y82" s="2"/>
      <c r="Z82" s="86" t="s">
        <v>353</v>
      </c>
      <c r="AA82" s="8"/>
      <c r="AB82" s="37" t="s">
        <v>277</v>
      </c>
      <c r="AC82" s="9"/>
      <c r="AD82" s="71"/>
      <c r="AE82" s="697"/>
      <c r="AF82" s="70"/>
      <c r="AG82" s="70"/>
      <c r="AH82" s="71"/>
    </row>
    <row r="83" spans="1:34">
      <c r="B83" s="84" t="s">
        <v>363</v>
      </c>
      <c r="E83" s="467"/>
      <c r="X83" s="2"/>
      <c r="Y83" s="2"/>
      <c r="Z83" s="86" t="s">
        <v>353</v>
      </c>
      <c r="AA83" s="8"/>
      <c r="AB83" s="8"/>
      <c r="AC83" s="9"/>
      <c r="AD83" s="71"/>
      <c r="AE83" s="697"/>
      <c r="AF83" s="70"/>
      <c r="AG83" s="70"/>
      <c r="AH83" s="71"/>
    </row>
    <row r="84" spans="1:34">
      <c r="B84" s="84" t="s">
        <v>364</v>
      </c>
      <c r="E84" s="467"/>
      <c r="X84" s="2"/>
      <c r="Y84" s="2"/>
      <c r="Z84" s="86" t="s">
        <v>269</v>
      </c>
      <c r="AA84" s="8"/>
      <c r="AB84" s="8"/>
      <c r="AC84" s="9"/>
      <c r="AD84" s="71"/>
      <c r="AE84" s="697"/>
      <c r="AF84" s="70"/>
      <c r="AG84" s="70"/>
      <c r="AH84" s="71"/>
    </row>
    <row r="85" spans="1:34">
      <c r="B85" s="84" t="s">
        <v>365</v>
      </c>
      <c r="E85" s="467"/>
      <c r="X85" s="2"/>
      <c r="Y85" s="2"/>
      <c r="Z85" s="86" t="s">
        <v>353</v>
      </c>
      <c r="AA85" s="8"/>
      <c r="AB85" s="8"/>
      <c r="AC85" s="9"/>
      <c r="AD85" s="71"/>
      <c r="AE85" s="697"/>
      <c r="AF85" s="70"/>
      <c r="AG85" s="70"/>
      <c r="AH85" s="71"/>
    </row>
    <row r="86" spans="1:34">
      <c r="B86" s="94" t="s">
        <v>366</v>
      </c>
      <c r="E86" s="467"/>
      <c r="X86" s="2"/>
      <c r="Y86" s="2"/>
      <c r="Z86" s="86" t="s">
        <v>269</v>
      </c>
      <c r="AA86" s="8"/>
      <c r="AB86" s="8"/>
      <c r="AC86" s="9"/>
      <c r="AD86" s="71"/>
      <c r="AE86" s="697"/>
      <c r="AF86" s="70"/>
      <c r="AG86" s="70"/>
      <c r="AH86" s="71"/>
    </row>
    <row r="87" spans="1:34" ht="15.75" thickBot="1">
      <c r="B87" s="95" t="s">
        <v>367</v>
      </c>
      <c r="E87" s="467"/>
      <c r="X87" s="2"/>
      <c r="Y87" s="2"/>
      <c r="Z87" s="86" t="s">
        <v>353</v>
      </c>
      <c r="AA87" s="8"/>
      <c r="AB87" s="8"/>
      <c r="AC87" s="9"/>
      <c r="AD87" s="71"/>
      <c r="AE87" s="697"/>
      <c r="AF87" s="70"/>
      <c r="AG87" s="70"/>
      <c r="AH87" s="71"/>
    </row>
    <row r="88" spans="1:34">
      <c r="B88" s="467"/>
      <c r="E88" s="467"/>
      <c r="X88" s="2"/>
      <c r="Y88" s="2"/>
      <c r="Z88" s="86" t="s">
        <v>269</v>
      </c>
      <c r="AA88" s="8"/>
      <c r="AB88" s="8"/>
      <c r="AC88" s="9"/>
      <c r="AD88" s="71"/>
      <c r="AE88" s="697"/>
      <c r="AF88" s="70"/>
      <c r="AG88" s="70"/>
      <c r="AH88" s="71"/>
    </row>
    <row r="89" spans="1:34" ht="15.75" thickBot="1">
      <c r="B89" s="467"/>
      <c r="E89" s="467"/>
      <c r="X89" s="2"/>
      <c r="Y89" s="2"/>
      <c r="Z89" s="96" t="s">
        <v>353</v>
      </c>
      <c r="AA89" s="97"/>
      <c r="AB89" s="97"/>
      <c r="AC89" s="98"/>
      <c r="AD89" s="99"/>
      <c r="AE89" s="703"/>
      <c r="AF89" s="427"/>
      <c r="AG89" s="427"/>
      <c r="AH89" s="99"/>
    </row>
    <row r="90" spans="1:34">
      <c r="A90" s="467"/>
      <c r="B90" s="704"/>
      <c r="C90" s="705"/>
      <c r="D90" s="706"/>
      <c r="E90" s="705"/>
      <c r="F90" s="707"/>
      <c r="G90" s="706"/>
      <c r="H90" s="706"/>
      <c r="I90" s="704"/>
      <c r="J90" s="5"/>
      <c r="X90" s="2"/>
      <c r="Y90" s="2"/>
      <c r="Z90" s="2"/>
      <c r="AB90" s="1"/>
      <c r="AC90" s="1"/>
      <c r="AE90" s="467"/>
      <c r="AF90" s="467"/>
    </row>
    <row r="91" spans="1:34">
      <c r="A91" s="467"/>
      <c r="C91" s="467"/>
      <c r="E91" s="467"/>
      <c r="X91" s="2"/>
      <c r="Y91" s="2"/>
      <c r="Z91" s="2"/>
      <c r="AA91" s="2"/>
      <c r="AB91" s="1"/>
      <c r="AC91" s="1"/>
      <c r="AF91" s="467"/>
      <c r="AG91" s="467"/>
    </row>
    <row r="92" spans="1:34" ht="15.75" thickBot="1">
      <c r="A92" s="467"/>
      <c r="C92" s="467"/>
      <c r="E92" s="467"/>
      <c r="X92" s="2"/>
      <c r="Y92" s="2"/>
      <c r="Z92" s="2"/>
      <c r="AA92" s="2"/>
      <c r="AB92" s="1"/>
      <c r="AC92" s="1"/>
      <c r="AF92" s="467"/>
      <c r="AG92" s="467"/>
    </row>
    <row r="93" spans="1:34" ht="30.75" thickBot="1">
      <c r="A93" s="467"/>
      <c r="B93" s="13" t="s">
        <v>238</v>
      </c>
      <c r="C93" s="14" t="s">
        <v>239</v>
      </c>
      <c r="D93" s="15" t="s">
        <v>240</v>
      </c>
      <c r="E93" s="708" t="s">
        <v>785</v>
      </c>
      <c r="F93" s="708" t="s">
        <v>786</v>
      </c>
      <c r="G93" s="708" t="s">
        <v>787</v>
      </c>
      <c r="H93" s="1"/>
      <c r="X93" s="2"/>
      <c r="Y93" s="2"/>
      <c r="Z93" s="2"/>
      <c r="AA93" s="2"/>
      <c r="AB93" s="1"/>
      <c r="AC93" s="1"/>
      <c r="AF93" s="467"/>
      <c r="AG93" s="467"/>
    </row>
    <row r="94" spans="1:34">
      <c r="A94" s="467"/>
      <c r="B94" s="1171" t="s">
        <v>257</v>
      </c>
      <c r="C94" s="25" t="s">
        <v>258</v>
      </c>
      <c r="D94" s="709" t="s">
        <v>257</v>
      </c>
      <c r="E94" s="710" t="s">
        <v>319</v>
      </c>
      <c r="F94" s="711" t="s">
        <v>788</v>
      </c>
      <c r="G94" s="712" t="s">
        <v>263</v>
      </c>
      <c r="H94" s="2"/>
      <c r="X94" s="2"/>
      <c r="Y94" s="2"/>
      <c r="Z94" s="2"/>
      <c r="AA94" s="2"/>
      <c r="AB94" s="1"/>
      <c r="AC94" s="1"/>
      <c r="AF94" s="467"/>
      <c r="AG94" s="467"/>
    </row>
    <row r="95" spans="1:34">
      <c r="A95" s="467"/>
      <c r="B95" s="1172"/>
      <c r="C95" s="34" t="s">
        <v>271</v>
      </c>
      <c r="D95" s="713" t="s">
        <v>272</v>
      </c>
      <c r="E95" s="714" t="s">
        <v>789</v>
      </c>
      <c r="F95" s="715" t="s">
        <v>790</v>
      </c>
      <c r="G95" s="716" t="s">
        <v>275</v>
      </c>
      <c r="H95" s="1"/>
      <c r="X95" s="2"/>
      <c r="Y95" s="2"/>
      <c r="Z95" s="2"/>
      <c r="AA95" s="2"/>
      <c r="AB95" s="1"/>
      <c r="AC95" s="1"/>
      <c r="AF95" s="467"/>
      <c r="AG95" s="467"/>
    </row>
    <row r="96" spans="1:34" ht="15.75" thickBot="1">
      <c r="A96" s="467"/>
      <c r="B96" s="1173"/>
      <c r="C96" s="39" t="s">
        <v>278</v>
      </c>
      <c r="D96" s="713" t="s">
        <v>278</v>
      </c>
      <c r="E96" s="714" t="s">
        <v>791</v>
      </c>
      <c r="F96" s="715" t="s">
        <v>792</v>
      </c>
      <c r="G96" s="716" t="s">
        <v>280</v>
      </c>
      <c r="H96" s="1"/>
      <c r="X96" s="2"/>
      <c r="Y96" s="2"/>
      <c r="Z96" s="2"/>
      <c r="AA96" s="2"/>
      <c r="AB96" s="1"/>
      <c r="AC96" s="1"/>
      <c r="AF96" s="467"/>
      <c r="AG96" s="467"/>
    </row>
    <row r="97" spans="1:33" ht="15.75" thickBot="1">
      <c r="A97" s="467"/>
      <c r="B97" s="1171" t="s">
        <v>272</v>
      </c>
      <c r="C97" s="40" t="s">
        <v>285</v>
      </c>
      <c r="D97" s="713" t="s">
        <v>286</v>
      </c>
      <c r="E97" s="714" t="s">
        <v>318</v>
      </c>
      <c r="F97" s="717" t="s">
        <v>278</v>
      </c>
      <c r="G97" s="716" t="s">
        <v>289</v>
      </c>
      <c r="H97" s="1"/>
      <c r="X97" s="2"/>
      <c r="Y97" s="2"/>
      <c r="Z97" s="2"/>
      <c r="AA97" s="2"/>
      <c r="AB97" s="1"/>
      <c r="AC97" s="1"/>
      <c r="AF97" s="467"/>
      <c r="AG97" s="467"/>
    </row>
    <row r="98" spans="1:33">
      <c r="A98" s="467"/>
      <c r="B98" s="1172"/>
      <c r="C98" s="34" t="s">
        <v>290</v>
      </c>
      <c r="D98" s="713" t="s">
        <v>291</v>
      </c>
      <c r="E98" s="714" t="s">
        <v>793</v>
      </c>
      <c r="G98" s="716" t="s">
        <v>295</v>
      </c>
      <c r="H98" s="1"/>
      <c r="X98" s="2"/>
      <c r="Y98" s="2"/>
      <c r="Z98" s="2"/>
      <c r="AA98" s="2"/>
      <c r="AB98" s="1"/>
      <c r="AC98" s="1"/>
      <c r="AF98" s="467"/>
      <c r="AG98" s="467"/>
    </row>
    <row r="99" spans="1:33">
      <c r="A99" s="467"/>
      <c r="B99" s="1172"/>
      <c r="C99" s="34" t="s">
        <v>299</v>
      </c>
      <c r="D99" s="713" t="s">
        <v>300</v>
      </c>
      <c r="E99" s="714" t="s">
        <v>794</v>
      </c>
      <c r="G99" s="716" t="s">
        <v>303</v>
      </c>
      <c r="H99" s="1"/>
      <c r="X99" s="2"/>
      <c r="Y99" s="2"/>
      <c r="Z99" s="2"/>
      <c r="AA99" s="2"/>
      <c r="AB99" s="1"/>
      <c r="AC99" s="1"/>
      <c r="AF99" s="467"/>
      <c r="AG99" s="467"/>
    </row>
    <row r="100" spans="1:33">
      <c r="A100" s="467"/>
      <c r="B100" s="1172"/>
      <c r="C100" s="34" t="s">
        <v>306</v>
      </c>
      <c r="D100" s="713" t="s">
        <v>307</v>
      </c>
      <c r="E100" s="714" t="s">
        <v>795</v>
      </c>
      <c r="G100" s="716" t="s">
        <v>311</v>
      </c>
      <c r="H100" s="1"/>
      <c r="X100" s="2"/>
      <c r="Y100" s="2"/>
      <c r="Z100" s="2"/>
      <c r="AA100" s="2"/>
      <c r="AB100" s="1"/>
      <c r="AC100" s="1"/>
      <c r="AF100" s="467"/>
      <c r="AG100" s="467"/>
    </row>
    <row r="101" spans="1:33" ht="15.75" thickBot="1">
      <c r="A101" s="467"/>
      <c r="B101" s="1173"/>
      <c r="C101" s="45" t="s">
        <v>312</v>
      </c>
      <c r="D101" s="713" t="s">
        <v>313</v>
      </c>
      <c r="E101" s="714" t="s">
        <v>796</v>
      </c>
      <c r="G101" s="716" t="s">
        <v>797</v>
      </c>
      <c r="H101" s="1"/>
      <c r="X101" s="2"/>
      <c r="Y101" s="2"/>
      <c r="Z101" s="2"/>
      <c r="AA101" s="2"/>
      <c r="AB101" s="1"/>
      <c r="AC101" s="1"/>
      <c r="AF101" s="467"/>
      <c r="AG101" s="467"/>
    </row>
    <row r="102" spans="1:33">
      <c r="A102" s="467"/>
      <c r="B102" s="49" t="s">
        <v>278</v>
      </c>
      <c r="C102" s="50" t="s">
        <v>317</v>
      </c>
      <c r="D102" s="713" t="s">
        <v>318</v>
      </c>
      <c r="E102" s="714" t="s">
        <v>798</v>
      </c>
      <c r="G102" s="716" t="s">
        <v>799</v>
      </c>
      <c r="H102" s="1"/>
      <c r="X102" s="2"/>
      <c r="Y102" s="2"/>
      <c r="Z102" s="2"/>
      <c r="AA102" s="2"/>
      <c r="AB102" s="1"/>
      <c r="AC102" s="1"/>
      <c r="AF102" s="467"/>
      <c r="AG102" s="467"/>
    </row>
    <row r="103" spans="1:33" ht="15.75" thickBot="1">
      <c r="A103" s="467"/>
      <c r="B103" s="49" t="s">
        <v>286</v>
      </c>
      <c r="C103" s="51" t="s">
        <v>128</v>
      </c>
      <c r="D103" s="713" t="s">
        <v>319</v>
      </c>
      <c r="E103" s="718" t="s">
        <v>278</v>
      </c>
      <c r="G103" s="716" t="s">
        <v>800</v>
      </c>
      <c r="H103" s="1"/>
      <c r="X103" s="2"/>
      <c r="Y103" s="2"/>
      <c r="Z103" s="2"/>
      <c r="AA103" s="2"/>
      <c r="AB103" s="1"/>
      <c r="AC103" s="1"/>
      <c r="AF103" s="467"/>
      <c r="AG103" s="467"/>
    </row>
    <row r="104" spans="1:33" ht="15.75" thickBot="1">
      <c r="A104" s="467"/>
      <c r="B104" s="49" t="s">
        <v>291</v>
      </c>
      <c r="C104" s="53" t="s">
        <v>128</v>
      </c>
      <c r="D104" s="719" t="s">
        <v>322</v>
      </c>
      <c r="E104" s="720"/>
      <c r="G104" s="716" t="s">
        <v>801</v>
      </c>
      <c r="H104" s="1"/>
      <c r="X104" s="2"/>
      <c r="Y104" s="2"/>
      <c r="Z104" s="2"/>
      <c r="AA104" s="2"/>
      <c r="AB104" s="1"/>
      <c r="AC104" s="1"/>
      <c r="AF104" s="467"/>
      <c r="AG104" s="467"/>
    </row>
    <row r="105" spans="1:33">
      <c r="A105" s="467"/>
      <c r="B105" s="1171" t="s">
        <v>300</v>
      </c>
      <c r="C105" s="55" t="s">
        <v>324</v>
      </c>
      <c r="D105" s="719" t="s">
        <v>325</v>
      </c>
      <c r="G105" s="716" t="s">
        <v>802</v>
      </c>
      <c r="H105" s="1"/>
      <c r="X105" s="2"/>
      <c r="Y105" s="2"/>
      <c r="Z105" s="2"/>
      <c r="AA105" s="2"/>
      <c r="AB105" s="1"/>
      <c r="AC105" s="1"/>
      <c r="AF105" s="467"/>
      <c r="AG105" s="467"/>
    </row>
    <row r="106" spans="1:33" ht="15.75" thickBot="1">
      <c r="A106" s="467"/>
      <c r="B106" s="1172"/>
      <c r="C106" s="57" t="s">
        <v>328</v>
      </c>
      <c r="D106" s="719" t="s">
        <v>329</v>
      </c>
      <c r="G106" s="721" t="s">
        <v>278</v>
      </c>
      <c r="H106" s="1"/>
      <c r="X106" s="2"/>
      <c r="Y106" s="2"/>
      <c r="Z106" s="2"/>
      <c r="AA106" s="2"/>
      <c r="AB106" s="1"/>
      <c r="AC106" s="1"/>
      <c r="AF106" s="467"/>
      <c r="AG106" s="467"/>
    </row>
    <row r="107" spans="1:33">
      <c r="A107" s="467"/>
      <c r="B107" s="462" t="s">
        <v>307</v>
      </c>
      <c r="C107" s="40" t="s">
        <v>331</v>
      </c>
      <c r="D107" s="719" t="s">
        <v>332</v>
      </c>
      <c r="H107" s="1"/>
      <c r="X107" s="2"/>
      <c r="Y107" s="2"/>
      <c r="Z107" s="2"/>
      <c r="AB107" s="1"/>
      <c r="AC107" s="1"/>
      <c r="AE107" s="467"/>
      <c r="AF107" s="467"/>
    </row>
    <row r="108" spans="1:33">
      <c r="A108" s="467"/>
      <c r="B108" s="463"/>
      <c r="C108" s="67" t="s">
        <v>278</v>
      </c>
      <c r="D108" s="719" t="s">
        <v>335</v>
      </c>
      <c r="H108" s="1"/>
      <c r="X108" s="2"/>
      <c r="Y108" s="2"/>
      <c r="Z108" s="2"/>
      <c r="AB108" s="1"/>
      <c r="AC108" s="1"/>
      <c r="AE108" s="467"/>
      <c r="AF108" s="467"/>
    </row>
    <row r="109" spans="1:33" ht="15.75" thickBot="1">
      <c r="A109" s="467"/>
      <c r="B109" s="463"/>
      <c r="C109" s="67" t="s">
        <v>337</v>
      </c>
      <c r="D109" s="722" t="s">
        <v>338</v>
      </c>
      <c r="H109" s="1"/>
      <c r="X109" s="2"/>
      <c r="Y109" s="2"/>
      <c r="Z109" s="2"/>
      <c r="AB109" s="1"/>
      <c r="AC109" s="1"/>
      <c r="AE109" s="467"/>
      <c r="AF109" s="467"/>
    </row>
    <row r="110" spans="1:33">
      <c r="A110" s="467"/>
      <c r="B110" s="463"/>
      <c r="C110" s="67" t="s">
        <v>339</v>
      </c>
      <c r="D110" s="723"/>
      <c r="H110" s="1"/>
      <c r="X110" s="2"/>
      <c r="Y110" s="2"/>
      <c r="Z110" s="2"/>
      <c r="AB110" s="1"/>
      <c r="AC110" s="1"/>
      <c r="AE110" s="467"/>
      <c r="AF110" s="467"/>
    </row>
    <row r="111" spans="1:33" ht="15.75" thickBot="1">
      <c r="A111" s="467"/>
      <c r="B111" s="464"/>
      <c r="C111" s="73" t="s">
        <v>344</v>
      </c>
      <c r="D111" s="723"/>
      <c r="H111" s="1"/>
      <c r="X111" s="2"/>
      <c r="Y111" s="2"/>
      <c r="Z111" s="2"/>
      <c r="AB111" s="1"/>
      <c r="AC111" s="1"/>
      <c r="AE111" s="467"/>
      <c r="AF111" s="467"/>
    </row>
    <row r="112" spans="1:33" ht="15.75" thickBot="1">
      <c r="A112" s="467"/>
      <c r="B112" s="49" t="s">
        <v>313</v>
      </c>
      <c r="C112" s="75" t="s">
        <v>313</v>
      </c>
      <c r="D112" s="723"/>
      <c r="H112" s="1"/>
      <c r="X112" s="2"/>
      <c r="Y112" s="2"/>
      <c r="Z112" s="2"/>
      <c r="AB112" s="1"/>
      <c r="AC112" s="1"/>
      <c r="AE112" s="467"/>
      <c r="AF112" s="467"/>
    </row>
    <row r="113" spans="1:32">
      <c r="A113" s="467"/>
      <c r="B113" s="83" t="s">
        <v>318</v>
      </c>
      <c r="C113" s="55" t="s">
        <v>350</v>
      </c>
      <c r="D113" s="723"/>
      <c r="H113" s="1"/>
      <c r="X113" s="2"/>
      <c r="Y113" s="2"/>
      <c r="Z113" s="2"/>
      <c r="AB113" s="1"/>
      <c r="AC113" s="1"/>
      <c r="AE113" s="467"/>
      <c r="AF113" s="467"/>
    </row>
    <row r="114" spans="1:32">
      <c r="A114" s="467"/>
      <c r="B114" s="88"/>
      <c r="C114" s="67" t="s">
        <v>354</v>
      </c>
      <c r="D114" s="723"/>
      <c r="H114" s="1"/>
      <c r="X114" s="2"/>
      <c r="Y114" s="2"/>
      <c r="Z114" s="2"/>
      <c r="AB114" s="1"/>
      <c r="AC114" s="1"/>
      <c r="AE114" s="467"/>
      <c r="AF114" s="467"/>
    </row>
    <row r="115" spans="1:32">
      <c r="A115" s="467"/>
      <c r="B115" s="88"/>
      <c r="C115" s="67" t="s">
        <v>356</v>
      </c>
      <c r="D115" s="723"/>
      <c r="H115" s="1"/>
      <c r="X115" s="2"/>
      <c r="Y115" s="2"/>
      <c r="Z115" s="2"/>
      <c r="AB115" s="1"/>
      <c r="AC115" s="1"/>
      <c r="AE115" s="467"/>
      <c r="AF115" s="467"/>
    </row>
    <row r="116" spans="1:32" ht="15.75" thickBot="1">
      <c r="A116" s="467"/>
      <c r="B116" s="88"/>
      <c r="C116" s="73" t="s">
        <v>358</v>
      </c>
      <c r="D116" s="723"/>
      <c r="H116" s="1"/>
      <c r="X116" s="2"/>
      <c r="Y116" s="2"/>
      <c r="Z116" s="2"/>
      <c r="AB116" s="1"/>
      <c r="AC116" s="1"/>
      <c r="AE116" s="467"/>
      <c r="AF116" s="467"/>
    </row>
    <row r="117" spans="1:32">
      <c r="A117" s="467"/>
      <c r="B117" s="90" t="s">
        <v>319</v>
      </c>
      <c r="C117" s="467"/>
      <c r="D117" s="723"/>
      <c r="H117" s="1"/>
      <c r="X117" s="2"/>
      <c r="Y117" s="2"/>
      <c r="Z117" s="2"/>
      <c r="AB117" s="1"/>
      <c r="AC117" s="1"/>
      <c r="AE117" s="467"/>
      <c r="AF117" s="467"/>
    </row>
    <row r="118" spans="1:32">
      <c r="A118" s="467"/>
      <c r="B118" s="91" t="s">
        <v>322</v>
      </c>
      <c r="C118" s="467"/>
      <c r="D118" s="723"/>
      <c r="H118" s="1"/>
      <c r="X118" s="2"/>
      <c r="Y118" s="2"/>
      <c r="Z118" s="2"/>
      <c r="AB118" s="1"/>
      <c r="AC118" s="1"/>
      <c r="AE118" s="467"/>
      <c r="AF118" s="467"/>
    </row>
    <row r="119" spans="1:32">
      <c r="A119" s="467"/>
      <c r="B119" s="92" t="s">
        <v>325</v>
      </c>
      <c r="C119" s="467"/>
      <c r="D119" s="467"/>
      <c r="H119" s="1"/>
      <c r="X119" s="2"/>
      <c r="Y119" s="2"/>
      <c r="Z119" s="2"/>
      <c r="AB119" s="1"/>
      <c r="AC119" s="1"/>
      <c r="AE119" s="467"/>
      <c r="AF119" s="467"/>
    </row>
    <row r="120" spans="1:32">
      <c r="A120" s="467"/>
      <c r="B120" s="92" t="s">
        <v>329</v>
      </c>
      <c r="C120" s="467"/>
      <c r="D120" s="467"/>
      <c r="H120" s="1"/>
      <c r="X120" s="2"/>
      <c r="Y120" s="2"/>
      <c r="Z120" s="2"/>
      <c r="AB120" s="1"/>
      <c r="AC120" s="1"/>
      <c r="AE120" s="467"/>
      <c r="AF120" s="467"/>
    </row>
    <row r="121" spans="1:32">
      <c r="A121" s="467"/>
      <c r="B121" s="92" t="s">
        <v>332</v>
      </c>
      <c r="C121" s="467"/>
      <c r="D121" s="467"/>
      <c r="H121" s="1"/>
      <c r="X121" s="2"/>
      <c r="Y121" s="2"/>
      <c r="Z121" s="2"/>
      <c r="AB121" s="1"/>
      <c r="AC121" s="1"/>
      <c r="AE121" s="467"/>
      <c r="AF121" s="467"/>
    </row>
    <row r="122" spans="1:32">
      <c r="A122" s="467"/>
      <c r="B122" s="92" t="s">
        <v>335</v>
      </c>
      <c r="C122" s="467"/>
      <c r="D122" s="467"/>
      <c r="H122" s="1"/>
      <c r="X122" s="2"/>
      <c r="Y122" s="2"/>
      <c r="Z122" s="2"/>
      <c r="AB122" s="1"/>
      <c r="AC122" s="1"/>
      <c r="AE122" s="467"/>
      <c r="AF122" s="467"/>
    </row>
    <row r="123" spans="1:32" ht="15.75" thickBot="1">
      <c r="A123" s="467"/>
      <c r="B123" s="93" t="s">
        <v>338</v>
      </c>
      <c r="C123" s="467"/>
      <c r="D123" s="467"/>
      <c r="H123" s="1"/>
      <c r="X123" s="2"/>
      <c r="Y123" s="2"/>
      <c r="Z123" s="2"/>
      <c r="AB123" s="1"/>
      <c r="AC123" s="1"/>
      <c r="AE123" s="467"/>
      <c r="AF123" s="467"/>
    </row>
    <row r="124" spans="1:32">
      <c r="A124" s="467"/>
      <c r="C124" s="467"/>
      <c r="E124" s="467"/>
      <c r="X124" s="2"/>
      <c r="Y124" s="2"/>
      <c r="Z124" s="2"/>
      <c r="AB124" s="1"/>
      <c r="AC124" s="1"/>
      <c r="AE124" s="467"/>
      <c r="AF124" s="467"/>
    </row>
    <row r="125" spans="1:32">
      <c r="A125" s="467"/>
      <c r="C125" s="467"/>
      <c r="E125" s="467"/>
      <c r="X125" s="2"/>
      <c r="Y125" s="2"/>
      <c r="Z125" s="2"/>
      <c r="AB125" s="1"/>
      <c r="AC125" s="1"/>
      <c r="AE125" s="467"/>
      <c r="AF125" s="467"/>
    </row>
    <row r="126" spans="1:32">
      <c r="A126" s="467"/>
      <c r="C126" s="467"/>
      <c r="E126" s="467"/>
      <c r="X126" s="2"/>
      <c r="Y126" s="2"/>
      <c r="Z126" s="2"/>
      <c r="AB126" s="1"/>
      <c r="AC126" s="1"/>
      <c r="AE126" s="467"/>
      <c r="AF126" s="467"/>
    </row>
    <row r="127" spans="1:32">
      <c r="A127" s="467"/>
      <c r="C127" s="467"/>
      <c r="E127" s="467"/>
      <c r="X127" s="2"/>
      <c r="Y127" s="2"/>
      <c r="Z127" s="2"/>
      <c r="AB127" s="1"/>
      <c r="AC127" s="1"/>
      <c r="AE127" s="467"/>
      <c r="AF127" s="467"/>
    </row>
    <row r="128" spans="1:32">
      <c r="A128" s="467"/>
      <c r="C128" s="467"/>
      <c r="E128" s="467"/>
      <c r="X128" s="2"/>
      <c r="Y128" s="2"/>
      <c r="Z128" s="2"/>
      <c r="AB128" s="1"/>
      <c r="AC128" s="1"/>
      <c r="AE128" s="467"/>
      <c r="AF128" s="467"/>
    </row>
    <row r="129" spans="1:32">
      <c r="A129" s="467"/>
      <c r="C129" s="467"/>
      <c r="E129" s="467"/>
      <c r="X129" s="2"/>
      <c r="Y129" s="2"/>
      <c r="Z129" s="2"/>
      <c r="AB129" s="1"/>
      <c r="AC129" s="1"/>
      <c r="AE129" s="467"/>
      <c r="AF129" s="467"/>
    </row>
    <row r="130" spans="1:32" ht="15.75" thickBot="1">
      <c r="A130" s="467"/>
      <c r="C130" s="467"/>
      <c r="E130" s="467"/>
    </row>
    <row r="131" spans="1:32" ht="15.75" thickBot="1">
      <c r="A131" s="467"/>
      <c r="B131" s="100" t="s">
        <v>368</v>
      </c>
      <c r="C131" s="724" t="str">
        <f>IF(dms_FifthFeeder_flag_NSP="NO","This NSP has only 4 feeder categories","This NSP has 5 feeder categories")</f>
        <v>This NSP has only 4 feeder categories</v>
      </c>
      <c r="D131" s="101"/>
      <c r="E131" s="102"/>
      <c r="F131" s="103"/>
      <c r="G131" s="102"/>
      <c r="H131" s="102"/>
      <c r="I131" s="104"/>
      <c r="J131" s="105"/>
      <c r="L131"/>
      <c r="M131"/>
      <c r="O131" s="106" t="s">
        <v>369</v>
      </c>
      <c r="P131" s="107"/>
      <c r="Q131" s="107"/>
      <c r="R131" s="108"/>
      <c r="S131" s="109"/>
    </row>
    <row r="132" spans="1:32" ht="26.25" thickBot="1">
      <c r="A132" s="467"/>
      <c r="B132" s="110" t="s">
        <v>370</v>
      </c>
      <c r="C132" s="111" t="s">
        <v>371</v>
      </c>
      <c r="D132" s="112" t="s">
        <v>372</v>
      </c>
      <c r="E132" s="111" t="s">
        <v>373</v>
      </c>
      <c r="F132" s="113" t="s">
        <v>374</v>
      </c>
      <c r="G132" s="114"/>
      <c r="H132" s="115" t="s">
        <v>375</v>
      </c>
      <c r="I132" s="115"/>
      <c r="J132" s="116" t="s">
        <v>376</v>
      </c>
      <c r="L132" s="725" t="s">
        <v>803</v>
      </c>
      <c r="M132" s="726" t="s">
        <v>804</v>
      </c>
      <c r="O132" s="117" t="s">
        <v>377</v>
      </c>
      <c r="P132" s="118" t="s">
        <v>378</v>
      </c>
      <c r="Q132" s="119" t="s">
        <v>379</v>
      </c>
      <c r="R132" s="120" t="s">
        <v>380</v>
      </c>
      <c r="S132" s="121" t="s">
        <v>381</v>
      </c>
    </row>
    <row r="133" spans="1:32">
      <c r="A133" s="467"/>
      <c r="B133" s="122">
        <v>1</v>
      </c>
      <c r="C133" s="123" t="s">
        <v>382</v>
      </c>
      <c r="D133" s="124">
        <v>1</v>
      </c>
      <c r="E133" s="123" t="s">
        <v>383</v>
      </c>
      <c r="F133" s="125" t="str">
        <f>FRCP_y1</f>
        <v>2020-21</v>
      </c>
      <c r="G133" s="126" t="s">
        <v>382</v>
      </c>
      <c r="H133" s="127" t="str">
        <f>IF(dms_RPT="financial",VALUE(LEFT(dms_FRCP_y1,4)-1)&amp;"-"&amp;TEXT(VALUE(MID(dms_FRCP_y1,3,2)),"00"),VALUE(LEFT(dms_FRCP_y1,4)-1))</f>
        <v>2019-20</v>
      </c>
      <c r="I133" s="128" t="s">
        <v>384</v>
      </c>
      <c r="J133" s="129">
        <v>1</v>
      </c>
      <c r="L133" s="178" t="s">
        <v>532</v>
      </c>
      <c r="M133" s="179" t="s">
        <v>533</v>
      </c>
      <c r="O133" s="130" t="str">
        <f>CRY</f>
        <v>2018-19</v>
      </c>
      <c r="P133" s="131" t="str">
        <f>VALUE(LEFT(CRY,4))&amp;"-"&amp;TEXT(MID(CRY,3,2)+1,"00")</f>
        <v>2018-19</v>
      </c>
      <c r="Q133" s="132" t="s">
        <v>385</v>
      </c>
      <c r="R133" s="133">
        <f>VALUE(LEFT(CRY,4)+1)</f>
        <v>2019</v>
      </c>
      <c r="S133" s="134" t="s">
        <v>386</v>
      </c>
    </row>
    <row r="134" spans="1:32">
      <c r="A134" s="467"/>
      <c r="B134" s="135">
        <v>2</v>
      </c>
      <c r="C134" s="136" t="s">
        <v>387</v>
      </c>
      <c r="D134" s="137">
        <v>2</v>
      </c>
      <c r="E134" s="136" t="s">
        <v>388</v>
      </c>
      <c r="F134" s="138" t="str">
        <f>IF(dms_RPT="financial",VALUE(LEFT(dms_FRCP_y1,4)+1)&amp;"-"&amp;TEXT(VALUE(RIGHT(dms_FRCP_y1,2)+1),"00"),VALUE(LEFT(dms_FRCP_y1,4)+1))</f>
        <v>2021-22</v>
      </c>
      <c r="G134" s="139" t="s">
        <v>387</v>
      </c>
      <c r="H134" s="140" t="str">
        <f>IF(dms_RPT="financial",VALUE(LEFT(dms_CRCP_yZ,4)-1)&amp;"-"&amp;TEXT(VALUE(MID(dms_CRCP_yZ,3,2)),"00"),VALUE(LEFT(dms_CRCP_yZ,4)-1))</f>
        <v>2018-19</v>
      </c>
      <c r="I134" s="141" t="s">
        <v>389</v>
      </c>
      <c r="J134" s="142">
        <v>2</v>
      </c>
      <c r="L134" s="180" t="s">
        <v>472</v>
      </c>
      <c r="M134" s="181" t="s">
        <v>538</v>
      </c>
      <c r="O134" s="727"/>
      <c r="P134" s="143" t="str">
        <f>VALUE(LEFT(dms_CRYf_y1,4)+1)&amp;"-"&amp;TEXT(MID(dms_CRYf_y1,3,2)+2,"00")</f>
        <v>2019-20</v>
      </c>
      <c r="Q134" s="144" t="s">
        <v>390</v>
      </c>
      <c r="R134" s="133">
        <f>VALUE(LEFT(dms_CRYc_y1,4)+1)</f>
        <v>2020</v>
      </c>
      <c r="S134" s="134" t="s">
        <v>391</v>
      </c>
    </row>
    <row r="135" spans="1:32">
      <c r="A135" s="467"/>
      <c r="B135" s="135">
        <v>3</v>
      </c>
      <c r="C135" s="136" t="s">
        <v>392</v>
      </c>
      <c r="D135" s="137">
        <v>3</v>
      </c>
      <c r="E135" s="136" t="s">
        <v>393</v>
      </c>
      <c r="F135" s="138" t="str">
        <f>IF(dms_RPT="financial",VALUE(LEFT(dms_FRCP_y2,4)+1)&amp;"-"&amp;TEXT(VALUE(RIGHT(dms_FRCP_y2,2)+1),"00"),VALUE(LEFT(dms_FRCP_y2,4)+1))</f>
        <v>2022-23</v>
      </c>
      <c r="G135" s="139" t="s">
        <v>392</v>
      </c>
      <c r="H135" s="140" t="str">
        <f>IF(dms_RPT="financial",VALUE(LEFT(dms_CRCP_yY,4)-1)&amp;"-"&amp;TEXT(VALUE(MID(dms_CRCP_yY,3,2)),"00"),VALUE(LEFT(dms_CRCP_yY,4)-1))</f>
        <v>2017-18</v>
      </c>
      <c r="I135" s="141" t="s">
        <v>394</v>
      </c>
      <c r="J135" s="142">
        <v>3</v>
      </c>
      <c r="L135" s="180" t="s">
        <v>479</v>
      </c>
      <c r="M135" s="181" t="s">
        <v>480</v>
      </c>
      <c r="O135" s="145"/>
      <c r="P135" s="143" t="str">
        <f>VALUE(LEFT(dms_CRYf_y2,4)+1)&amp;"-"&amp;TEXT(MID(dms_CRYf_y2,3,2)+2,"00")</f>
        <v>2020-21</v>
      </c>
      <c r="Q135" s="144" t="s">
        <v>395</v>
      </c>
      <c r="R135" s="133">
        <f>VALUE(LEFT(dms_CRYc_y2,4)+1)</f>
        <v>2021</v>
      </c>
      <c r="S135" s="134" t="s">
        <v>396</v>
      </c>
    </row>
    <row r="136" spans="1:32">
      <c r="A136" s="467"/>
      <c r="B136" s="135">
        <v>4</v>
      </c>
      <c r="C136" s="136" t="s">
        <v>397</v>
      </c>
      <c r="D136" s="137">
        <v>4</v>
      </c>
      <c r="E136" s="136" t="s">
        <v>398</v>
      </c>
      <c r="F136" s="138" t="str">
        <f>IF(dms_RPT="financial",VALUE(LEFT(dms_FRCP_y3,4)+1)&amp;"-"&amp;TEXT(VALUE(RIGHT(dms_FRCP_y3,2)+1),"00"),VALUE(LEFT(dms_FRCP_y3,4)+1))</f>
        <v>2023-24</v>
      </c>
      <c r="G136" s="139" t="s">
        <v>397</v>
      </c>
      <c r="H136" s="140" t="str">
        <f>IF(dms_RPT="financial",VALUE(LEFT(dms_CRCP_yX,4)-1)&amp;"-"&amp;TEXT(VALUE(MID(dms_CRCP_yX,3,2)),"00"),VALUE(LEFT(dms_CRCP_yX,4)-1))</f>
        <v>2016-17</v>
      </c>
      <c r="I136" s="141" t="s">
        <v>399</v>
      </c>
      <c r="J136" s="142">
        <v>4</v>
      </c>
      <c r="L136" s="180" t="s">
        <v>487</v>
      </c>
      <c r="M136" s="181" t="s">
        <v>488</v>
      </c>
      <c r="O136" s="145"/>
      <c r="P136" s="143" t="str">
        <f>VALUE(LEFT(dms_CRYf_y3,4)+1)&amp;"-"&amp;TEXT(MID(dms_CRYf_y3,3,2)+2,"00")</f>
        <v>2021-22</v>
      </c>
      <c r="Q136" s="144" t="s">
        <v>400</v>
      </c>
      <c r="R136" s="133">
        <f>VALUE(LEFT(dms_CRYc_y3,4)+1)</f>
        <v>2022</v>
      </c>
      <c r="S136" s="134" t="s">
        <v>401</v>
      </c>
    </row>
    <row r="137" spans="1:32">
      <c r="A137" s="467"/>
      <c r="B137" s="135">
        <v>5</v>
      </c>
      <c r="C137" s="136" t="s">
        <v>402</v>
      </c>
      <c r="D137" s="137">
        <v>5</v>
      </c>
      <c r="E137" s="136" t="s">
        <v>403</v>
      </c>
      <c r="F137" s="138" t="str">
        <f>IF(dms_RPT="financial",VALUE(LEFT(dms_FRCP_y4,4)+1)&amp;"-"&amp;TEXT(VALUE(RIGHT(dms_FRCP_y4,2)+1),"00"),VALUE(LEFT(dms_FRCP_y4,4)+1))</f>
        <v>2024-25</v>
      </c>
      <c r="G137" s="139" t="s">
        <v>402</v>
      </c>
      <c r="H137" s="140" t="str">
        <f>IF(dms_RPT="financial",VALUE(LEFT(dms_CRCP_yW,4)-1)&amp;"-"&amp;TEXT(VALUE(MID(dms_CRCP_yW,3,2)),"00"),VALUE(LEFT(dms_CRCP_yW,4)-1))</f>
        <v>2015-16</v>
      </c>
      <c r="I137" s="141" t="s">
        <v>404</v>
      </c>
      <c r="J137" s="142">
        <v>5</v>
      </c>
      <c r="L137" s="180" t="s">
        <v>493</v>
      </c>
      <c r="M137" s="181">
        <v>2010</v>
      </c>
      <c r="O137" s="145"/>
      <c r="P137" s="143" t="str">
        <f>VALUE(LEFT(dms_CRYf_y4,4)+1)&amp;"-"&amp;TEXT(MID(dms_CRYf_y4,3,2)+2,"00")</f>
        <v>2022-23</v>
      </c>
      <c r="Q137" s="144" t="s">
        <v>405</v>
      </c>
      <c r="R137" s="133">
        <f>VALUE(LEFT(dms_CRYc_y4,4)+1)</f>
        <v>2023</v>
      </c>
      <c r="S137" s="134" t="s">
        <v>406</v>
      </c>
    </row>
    <row r="138" spans="1:32">
      <c r="A138" s="467"/>
      <c r="B138" s="135">
        <v>6</v>
      </c>
      <c r="C138" s="136" t="s">
        <v>407</v>
      </c>
      <c r="D138" s="137">
        <v>6</v>
      </c>
      <c r="E138" s="136" t="s">
        <v>408</v>
      </c>
      <c r="F138" s="138" t="str">
        <f>IF(dms_RPT="financial",VALUE(LEFT(dms_FRCP_y5,4)+1)&amp;"-"&amp;TEXT(VALUE(RIGHT(dms_FRCP_y5,2)+1),"00"),VALUE(LEFT(dms_FRCP_y5,4)+1))</f>
        <v>2025-26</v>
      </c>
      <c r="G138" s="139" t="s">
        <v>407</v>
      </c>
      <c r="H138" s="140" t="str">
        <f>IF(dms_RPT="financial",VALUE(LEFT(dms_CRCP_yV,4)-1)&amp;"-"&amp;TEXT(VALUE(MID(dms_CRCP_yV,3,2)),"00"),VALUE(LEFT(dms_CRCP_yV,4)-1))</f>
        <v>2014-15</v>
      </c>
      <c r="I138" s="141" t="s">
        <v>409</v>
      </c>
      <c r="J138" s="142">
        <v>6</v>
      </c>
      <c r="L138" s="180" t="s">
        <v>498</v>
      </c>
      <c r="M138" s="181">
        <v>2011</v>
      </c>
      <c r="O138" s="145"/>
      <c r="P138" s="143" t="str">
        <f>VALUE(LEFT(dms_CRYf_y5,4)+1)&amp;"-"&amp;TEXT(MID(dms_CRYf_y5,3,2)+2,"00")</f>
        <v>2023-24</v>
      </c>
      <c r="Q138" s="144" t="s">
        <v>410</v>
      </c>
      <c r="R138" s="133">
        <f>VALUE(LEFT(dms_CRYc_y5,4)+1)</f>
        <v>2024</v>
      </c>
      <c r="S138" s="134" t="s">
        <v>411</v>
      </c>
    </row>
    <row r="139" spans="1:32">
      <c r="A139" s="467"/>
      <c r="B139" s="135">
        <v>7</v>
      </c>
      <c r="C139" s="136" t="s">
        <v>412</v>
      </c>
      <c r="D139" s="137">
        <v>7</v>
      </c>
      <c r="E139" s="136" t="s">
        <v>413</v>
      </c>
      <c r="F139" s="138" t="str">
        <f>IF(dms_RPT="financial",VALUE(LEFT(dms_FRCP_y6,4)+1)&amp;"-"&amp;TEXT(VALUE(RIGHT(dms_FRCP_y6,2)+1),"00"),VALUE(LEFT(dms_FRCP_y6,4)+1))</f>
        <v>2026-27</v>
      </c>
      <c r="G139" s="139" t="s">
        <v>412</v>
      </c>
      <c r="H139" s="140" t="str">
        <f>IF(dms_RPT="financial",VALUE(LEFT(dms_CRCP_yU,4)-1)&amp;"-"&amp;TEXT(VALUE(MID(dms_CRCP_yU,3,2)),"00"),VALUE(LEFT(dms_CRCP_yU,4)-1))</f>
        <v>2013-14</v>
      </c>
      <c r="I139" s="141" t="s">
        <v>414</v>
      </c>
      <c r="J139" s="142">
        <v>7</v>
      </c>
      <c r="L139" s="180" t="s">
        <v>503</v>
      </c>
      <c r="M139" s="181">
        <v>2012</v>
      </c>
      <c r="O139" s="145"/>
      <c r="P139" s="143" t="str">
        <f>VALUE(LEFT(dms_CRYf_y6,4)+1)&amp;"-"&amp;TEXT(MID(dms_CRYf_y6,3,2)+2,"00")</f>
        <v>2024-25</v>
      </c>
      <c r="Q139" s="144" t="s">
        <v>415</v>
      </c>
      <c r="R139" s="133">
        <f>VALUE(LEFT(dms_CRYc_y6,4)+1)</f>
        <v>2025</v>
      </c>
      <c r="S139" s="134" t="s">
        <v>416</v>
      </c>
    </row>
    <row r="140" spans="1:32">
      <c r="A140" s="467"/>
      <c r="B140" s="135">
        <v>8</v>
      </c>
      <c r="C140" s="136" t="s">
        <v>417</v>
      </c>
      <c r="D140" s="137">
        <v>8</v>
      </c>
      <c r="E140" s="136" t="s">
        <v>418</v>
      </c>
      <c r="F140" s="138" t="str">
        <f>IF(dms_RPT="financial",VALUE(LEFT(dms_FRCP_y7,4)+1)&amp;"-"&amp;TEXT(VALUE(RIGHT(dms_FRCP_y7,2)+1),"00"),VALUE(LEFT(dms_FRCP_y7,4)+1))</f>
        <v>2027-28</v>
      </c>
      <c r="G140" s="139" t="s">
        <v>417</v>
      </c>
      <c r="H140" s="140" t="str">
        <f>IF(dms_RPT="financial",VALUE(LEFT(dms_CRCP_yT,4)-1)&amp;"-"&amp;TEXT(VALUE(MID(dms_CRCP_yT,3,2)),"00"),VALUE(LEFT(dms_CRCP_yT,4)-1))</f>
        <v>2012-13</v>
      </c>
      <c r="I140" s="141" t="s">
        <v>419</v>
      </c>
      <c r="J140" s="142">
        <v>8</v>
      </c>
      <c r="L140" s="180" t="s">
        <v>508</v>
      </c>
      <c r="M140" s="181">
        <v>2013</v>
      </c>
      <c r="O140" s="145"/>
      <c r="P140" s="143" t="str">
        <f>VALUE(LEFT(dms_CRYf_y7,4)+1)&amp;"-"&amp;TEXT(MID(dms_CRYf_y7,3,2)+2,"00")</f>
        <v>2025-26</v>
      </c>
      <c r="Q140" s="144" t="s">
        <v>420</v>
      </c>
      <c r="R140" s="133">
        <f>VALUE(LEFT(dms_CRYc_y7,4)+1)</f>
        <v>2026</v>
      </c>
      <c r="S140" s="134" t="s">
        <v>421</v>
      </c>
    </row>
    <row r="141" spans="1:32">
      <c r="A141" s="467"/>
      <c r="B141" s="135">
        <v>9</v>
      </c>
      <c r="C141" s="136" t="s">
        <v>422</v>
      </c>
      <c r="D141" s="137">
        <v>9</v>
      </c>
      <c r="E141" s="136" t="s">
        <v>423</v>
      </c>
      <c r="F141" s="138" t="str">
        <f>IF(dms_RPT="financial",VALUE(LEFT(dms_FRCP_y8,4)+1)&amp;"-"&amp;TEXT(VALUE(RIGHT(dms_FRCP_y8,2)+1),"00"),VALUE(LEFT(dms_FRCP_y8,4)+1))</f>
        <v>2028-29</v>
      </c>
      <c r="G141" s="139" t="s">
        <v>422</v>
      </c>
      <c r="H141" s="140" t="str">
        <f>IF(dms_RPT="financial",VALUE(LEFT(dms_CRCP_yS,4)-1)&amp;"-"&amp;TEXT(VALUE(MID(dms_CRCP_yS,3,2)),"00"),VALUE(LEFT(dms_CRCP_yS,4)-1))</f>
        <v>2011-12</v>
      </c>
      <c r="I141" s="141" t="s">
        <v>424</v>
      </c>
      <c r="J141" s="142">
        <v>9</v>
      </c>
      <c r="L141" s="180" t="s">
        <v>513</v>
      </c>
      <c r="M141" s="181">
        <v>2014</v>
      </c>
      <c r="O141" s="145"/>
      <c r="P141" s="143" t="str">
        <f>VALUE(LEFT(dms_CRYf_y8,4)+1)&amp;"-"&amp;TEXT(MID(dms_CRYf_y8,3,2)+2,"00")</f>
        <v>2026-27</v>
      </c>
      <c r="Q141" s="144" t="s">
        <v>425</v>
      </c>
      <c r="R141" s="133">
        <f>VALUE(LEFT(dms_CRYc_y8,4)+1)</f>
        <v>2027</v>
      </c>
      <c r="S141" s="134" t="s">
        <v>426</v>
      </c>
    </row>
    <row r="142" spans="1:32">
      <c r="A142" s="467"/>
      <c r="B142" s="146">
        <v>10</v>
      </c>
      <c r="C142" s="136" t="s">
        <v>427</v>
      </c>
      <c r="D142" s="148">
        <v>10</v>
      </c>
      <c r="E142" s="136" t="s">
        <v>428</v>
      </c>
      <c r="F142" s="138" t="str">
        <f>IF(dms_RPT="financial",VALUE(LEFT(dms_FRCP_y9,4)+1)&amp;"-"&amp;TEXT(VALUE(RIGHT(dms_FRCP_y9,2)+1),"00"),VALUE(LEFT(dms_FRCP_y9,4)+1))</f>
        <v>2029-30</v>
      </c>
      <c r="G142" s="139" t="s">
        <v>427</v>
      </c>
      <c r="H142" s="140" t="str">
        <f>IF(dms_RPT="financial",VALUE(LEFT(dms_CRCP_yR,4)-1)&amp;"-"&amp;TEXT(VALUE(MID(dms_CRCP_yR,3,2)),"00"),VALUE(LEFT(dms_CRCP_yR,4)-1))</f>
        <v>2010-11</v>
      </c>
      <c r="I142" s="141" t="s">
        <v>429</v>
      </c>
      <c r="J142" s="142">
        <v>10</v>
      </c>
      <c r="L142" s="180" t="s">
        <v>518</v>
      </c>
      <c r="M142" s="181">
        <v>2015</v>
      </c>
      <c r="O142" s="145"/>
      <c r="P142" s="143" t="str">
        <f>VALUE(LEFT(dms_CRYf_y9,4)+1)&amp;"-"&amp;TEXT(MID(dms_CRYf_y9,3,2)+2,"00")</f>
        <v>2027-28</v>
      </c>
      <c r="Q142" s="144" t="s">
        <v>430</v>
      </c>
      <c r="R142" s="133">
        <f>VALUE(LEFT(dms_CRYc_y9,4)+1)</f>
        <v>2028</v>
      </c>
      <c r="S142" s="134" t="s">
        <v>431</v>
      </c>
    </row>
    <row r="143" spans="1:32">
      <c r="A143" s="467"/>
      <c r="B143" s="135">
        <v>11</v>
      </c>
      <c r="C143" s="147" t="s">
        <v>432</v>
      </c>
      <c r="D143" s="137">
        <v>11</v>
      </c>
      <c r="E143" s="147" t="s">
        <v>433</v>
      </c>
      <c r="F143" s="138" t="str">
        <f>IF(dms_RPT="financial",VALUE(LEFT(dms_FRCP_y10,4)+1)&amp;"-"&amp;TEXT(VALUE(RIGHT(dms_FRCP_y10,2)+1),"00"),VALUE(LEFT(dms_FRCP_y10,4)+1))</f>
        <v>2030-31</v>
      </c>
      <c r="G143" s="139" t="s">
        <v>432</v>
      </c>
      <c r="H143" s="140" t="str">
        <f>IF(dms_RPT="financial",VALUE(LEFT(dms_CRCP_yQ,4)-1)&amp;"-"&amp;TEXT(VALUE(MID(dms_CRCP_yQ,3,2)),"00"),VALUE(LEFT(dms_CRCP_yQ,4)-1))</f>
        <v>2009-10</v>
      </c>
      <c r="I143" s="141" t="s">
        <v>434</v>
      </c>
      <c r="J143" s="142">
        <v>11</v>
      </c>
      <c r="L143" s="180" t="s">
        <v>523</v>
      </c>
      <c r="M143" s="181">
        <v>2016</v>
      </c>
      <c r="O143" s="145"/>
      <c r="P143" s="143" t="str">
        <f>VALUE(LEFT(dms_CRYf_y10,4)+1)&amp;"-"&amp;TEXT(MID(dms_CRYf_y10,3,2)+2,"00")</f>
        <v>2028-29</v>
      </c>
      <c r="Q143" s="144" t="s">
        <v>435</v>
      </c>
      <c r="R143" s="133">
        <f>VALUE(LEFT(dms_CRYc_y10,4)+1)</f>
        <v>2029</v>
      </c>
      <c r="S143" s="134" t="s">
        <v>436</v>
      </c>
    </row>
    <row r="144" spans="1:32">
      <c r="A144" s="467"/>
      <c r="B144" s="135">
        <v>12</v>
      </c>
      <c r="C144" s="147" t="s">
        <v>437</v>
      </c>
      <c r="D144" s="137">
        <v>12</v>
      </c>
      <c r="E144" s="147" t="s">
        <v>438</v>
      </c>
      <c r="F144" s="138" t="str">
        <f>IF(dms_RPT="financial",VALUE(LEFT(dms_FRCP_y11,4)+1)&amp;"-"&amp;TEXT(VALUE(RIGHT(dms_FRCP_y11,2)+1),"00"),VALUE(LEFT(dms_FRCP_y11,4)+1))</f>
        <v>2031-32</v>
      </c>
      <c r="G144" s="139" t="s">
        <v>437</v>
      </c>
      <c r="H144" s="140" t="str">
        <f>IF(dms_RPT="financial",VALUE(LEFT(dms_CRCP_yP,4)-1)&amp;"-"&amp;TEXT(VALUE(MID(dms_CRCP_yP,3,2)),"00"),VALUE(LEFT(dms_CRCP_yP,4)-1))</f>
        <v>2008-09</v>
      </c>
      <c r="I144" s="141" t="s">
        <v>439</v>
      </c>
      <c r="J144" s="142">
        <v>12</v>
      </c>
      <c r="L144" s="180" t="s">
        <v>475</v>
      </c>
      <c r="M144" s="181">
        <v>2017</v>
      </c>
      <c r="O144" s="145"/>
      <c r="P144" s="143" t="str">
        <f>VALUE(LEFT(dms_CRYf_y11,4)+1)&amp;"-"&amp;TEXT(MID(dms_CRYf_y11,3,2)+2,"00")</f>
        <v>2029-30</v>
      </c>
      <c r="Q144" s="144" t="s">
        <v>440</v>
      </c>
      <c r="R144" s="133">
        <f>VALUE(LEFT(dms_CRYc_y11,4)+1)</f>
        <v>2030</v>
      </c>
      <c r="S144" s="134" t="s">
        <v>441</v>
      </c>
    </row>
    <row r="145" spans="1:21">
      <c r="A145" s="467"/>
      <c r="B145" s="146">
        <v>13</v>
      </c>
      <c r="C145" s="147" t="s">
        <v>442</v>
      </c>
      <c r="D145" s="148">
        <v>13</v>
      </c>
      <c r="E145" s="147" t="s">
        <v>443</v>
      </c>
      <c r="F145" s="138" t="str">
        <f>IF(dms_RPT="financial",VALUE(LEFT(dms_FRCP_y12,4)+1)&amp;"-"&amp;TEXT(VALUE(RIGHT(dms_FRCP_y12,2)+1),"00"),VALUE(LEFT(dms_FRCP_y12,4)+1))</f>
        <v>2032-33</v>
      </c>
      <c r="G145" s="139" t="s">
        <v>442</v>
      </c>
      <c r="H145" s="140" t="str">
        <f>IF(dms_RPT="financial",VALUE(LEFT(dms_CRCP_yO,4)-1)&amp;"-"&amp;TEXT(VALUE(MID(dms_CRCP_yO,3,2)),"00"),VALUE(LEFT(dms_CRCP_yO,4)-1))</f>
        <v>2007-08</v>
      </c>
      <c r="I145" s="141" t="s">
        <v>444</v>
      </c>
      <c r="J145" s="142">
        <v>13</v>
      </c>
      <c r="L145" s="180" t="s">
        <v>483</v>
      </c>
      <c r="M145" s="181">
        <v>2018</v>
      </c>
      <c r="O145" s="145"/>
      <c r="P145" s="143" t="str">
        <f>VALUE(LEFT(dms_CRYf_y12,4)+1)&amp;"-"&amp;TEXT(MID(dms_CRYf_y12,3,2)+2,"00")</f>
        <v>2030-31</v>
      </c>
      <c r="Q145" s="144" t="s">
        <v>445</v>
      </c>
      <c r="R145" s="133">
        <f>VALUE(LEFT(dms_CRYc_y12,4)+1)</f>
        <v>2031</v>
      </c>
      <c r="S145" s="134" t="s">
        <v>446</v>
      </c>
    </row>
    <row r="146" spans="1:21">
      <c r="A146" s="467"/>
      <c r="B146" s="135">
        <v>14</v>
      </c>
      <c r="C146" s="147" t="s">
        <v>447</v>
      </c>
      <c r="D146" s="137">
        <v>14</v>
      </c>
      <c r="E146" s="147" t="s">
        <v>448</v>
      </c>
      <c r="F146" s="138" t="str">
        <f>IF(dms_RPT="financial",VALUE(LEFT(dms_FRCP_y13,4)+1)&amp;"-"&amp;TEXT(VALUE(RIGHT(dms_FRCP_y13,2)+1),"00"),VALUE(LEFT(dms_FRCP_y13,4)+1))</f>
        <v>2033-34</v>
      </c>
      <c r="G146" s="139" t="s">
        <v>447</v>
      </c>
      <c r="H146" s="140" t="str">
        <f>IF(dms_RPT="financial",VALUE(LEFT(dms_CRCP_yN,4)-1)&amp;"-"&amp;TEXT(VALUE(MID(dms_CRCP_yN,3,2)),"00"),VALUE(LEFT(dms_CRCP_yN,4)-1))</f>
        <v>2006-07</v>
      </c>
      <c r="I146" s="141" t="s">
        <v>449</v>
      </c>
      <c r="J146" s="142">
        <v>14</v>
      </c>
      <c r="L146" s="180" t="s">
        <v>491</v>
      </c>
      <c r="M146" s="181">
        <v>2019</v>
      </c>
      <c r="O146" s="145"/>
      <c r="P146" s="143" t="str">
        <f>VALUE(LEFT(dms_CRYf_y13,4)+1)&amp;"-"&amp;TEXT(MID(dms_CRYf_y13,3,2)+2,"00")</f>
        <v>2031-32</v>
      </c>
      <c r="Q146" s="144" t="s">
        <v>450</v>
      </c>
      <c r="R146" s="133">
        <f>VALUE(LEFT(dms_CRYc_y13,4)+1)</f>
        <v>2032</v>
      </c>
      <c r="S146" s="134" t="s">
        <v>451</v>
      </c>
      <c r="T146" s="467"/>
      <c r="U146" s="467"/>
    </row>
    <row r="147" spans="1:21">
      <c r="A147" s="467"/>
      <c r="B147" s="135">
        <v>15</v>
      </c>
      <c r="C147" s="147" t="s">
        <v>452</v>
      </c>
      <c r="D147" s="137">
        <v>15</v>
      </c>
      <c r="E147" s="147" t="s">
        <v>453</v>
      </c>
      <c r="F147" s="138" t="str">
        <f>IF(dms_RPT="financial",VALUE(LEFT(dms_FRCP_y14,4)+1)&amp;"-"&amp;TEXT(VALUE(RIGHT(dms_FRCP_y14,2)+1),"00"),VALUE(LEFT(dms_FRCP_y14,4)+1))</f>
        <v>2034-35</v>
      </c>
      <c r="G147" s="139" t="s">
        <v>452</v>
      </c>
      <c r="H147" s="140" t="str">
        <f>IF(dms_RPT="financial",VALUE(LEFT(dms_CRCP_yM,4)-1)&amp;"-"&amp;TEXT(VALUE(MID(dms_CRCP_yM,3,2)),"00"),VALUE(LEFT(dms_CRCP_yM,4)-1))</f>
        <v>2005-06</v>
      </c>
      <c r="I147" s="141" t="s">
        <v>454</v>
      </c>
      <c r="J147" s="142">
        <v>15</v>
      </c>
      <c r="K147" s="467"/>
      <c r="L147" s="180" t="s">
        <v>496</v>
      </c>
      <c r="M147" s="181">
        <v>2020</v>
      </c>
      <c r="O147" s="145"/>
      <c r="P147" s="143" t="str">
        <f>VALUE(LEFT(dms_CRYf_y14,4)+1)&amp;"-"&amp;TEXT(MID(dms_CRYf_y14,3,2)+2,"00")</f>
        <v>2032-33</v>
      </c>
      <c r="Q147" s="144" t="s">
        <v>455</v>
      </c>
      <c r="R147" s="133">
        <f>VALUE(LEFT(dms_CRYc_y14,4)+1)</f>
        <v>2033</v>
      </c>
      <c r="S147" s="134" t="s">
        <v>456</v>
      </c>
    </row>
    <row r="148" spans="1:21">
      <c r="A148" s="467"/>
      <c r="B148" s="150"/>
      <c r="C148" s="149"/>
      <c r="D148" s="149"/>
      <c r="E148" s="151"/>
      <c r="F148" s="152"/>
      <c r="G148" s="151"/>
      <c r="H148" s="151"/>
      <c r="I148" s="153"/>
      <c r="J148" s="154"/>
      <c r="K148" s="467"/>
      <c r="L148" s="180" t="s">
        <v>501</v>
      </c>
      <c r="M148" s="181">
        <v>2021</v>
      </c>
      <c r="O148" s="145"/>
      <c r="P148" s="143" t="str">
        <f>VALUE(LEFT(dms_CRYf_y15,4)+1)&amp;"-"&amp;TEXT(MID(dms_CRYf_y15,3,2)+2,"00")</f>
        <v>2033-34</v>
      </c>
      <c r="Q148" s="144" t="s">
        <v>457</v>
      </c>
      <c r="R148" s="133">
        <f>VALUE(LEFT(dms_CRYc_y15,4)+1)</f>
        <v>2034</v>
      </c>
      <c r="S148" s="134" t="s">
        <v>458</v>
      </c>
    </row>
    <row r="149" spans="1:21" ht="15.75" thickBot="1">
      <c r="A149" s="467"/>
      <c r="B149" s="1174" t="s">
        <v>459</v>
      </c>
      <c r="C149" s="1175"/>
      <c r="D149" s="1175"/>
      <c r="E149" s="1175"/>
      <c r="F149" s="1176"/>
      <c r="G149" s="1176"/>
      <c r="H149" s="1176"/>
      <c r="I149" s="1176"/>
      <c r="J149" s="154"/>
      <c r="K149" s="151"/>
      <c r="L149" s="180" t="s">
        <v>506</v>
      </c>
      <c r="M149" s="181">
        <v>2022</v>
      </c>
      <c r="O149" s="145"/>
      <c r="P149" s="143" t="str">
        <f>VALUE(LEFT(dms_CRYf_y16,4)+1)&amp;"-"&amp;TEXT(MID(dms_CRYf_y16,3,2)+2,"00")</f>
        <v>2034-35</v>
      </c>
      <c r="Q149" s="144" t="s">
        <v>460</v>
      </c>
      <c r="R149" s="133">
        <f>VALUE(LEFT(dms_CRYc_y16,4)+1)</f>
        <v>2035</v>
      </c>
      <c r="S149" s="134" t="s">
        <v>461</v>
      </c>
    </row>
    <row r="150" spans="1:21" ht="30.75" thickBot="1">
      <c r="A150" s="467"/>
      <c r="B150" s="155" t="s">
        <v>462</v>
      </c>
      <c r="C150" s="156" t="s">
        <v>463</v>
      </c>
      <c r="D150" s="156" t="s">
        <v>464</v>
      </c>
      <c r="E150" s="157" t="s">
        <v>465</v>
      </c>
      <c r="F150" s="158" t="s">
        <v>466</v>
      </c>
      <c r="G150" s="159" t="s">
        <v>467</v>
      </c>
      <c r="H150" s="160" t="s">
        <v>468</v>
      </c>
      <c r="I150" s="160" t="s">
        <v>469</v>
      </c>
      <c r="J150" s="154"/>
      <c r="K150" s="467"/>
      <c r="L150" s="180" t="s">
        <v>511</v>
      </c>
      <c r="M150" s="181">
        <v>2023</v>
      </c>
      <c r="O150" s="145"/>
      <c r="P150" s="143" t="str">
        <f>VALUE(LEFT(dms_CRYf_y17,4)+1)&amp;"-"&amp;TEXT(MID(dms_CRYf_y17,3,2)+2,"00")</f>
        <v>2035-36</v>
      </c>
      <c r="Q150" s="144" t="s">
        <v>470</v>
      </c>
      <c r="R150" s="133">
        <f>VALUE(LEFT(dms_CRYc_y17,4)+1)</f>
        <v>2036</v>
      </c>
      <c r="S150" s="134" t="s">
        <v>471</v>
      </c>
    </row>
    <row r="151" spans="1:21">
      <c r="A151" s="467"/>
      <c r="B151" s="161" t="s">
        <v>805</v>
      </c>
      <c r="C151" s="162" t="str">
        <f>CRY</f>
        <v>2018-19</v>
      </c>
      <c r="D151" s="163" t="s">
        <v>533</v>
      </c>
      <c r="E151" s="164" t="s">
        <v>473</v>
      </c>
      <c r="F151" s="165" t="s">
        <v>474</v>
      </c>
      <c r="G151" s="166" t="s">
        <v>498</v>
      </c>
      <c r="H151" s="167">
        <v>2011</v>
      </c>
      <c r="I151" s="168" t="s">
        <v>476</v>
      </c>
      <c r="J151" s="154"/>
      <c r="K151" s="467"/>
      <c r="L151" s="180" t="s">
        <v>516</v>
      </c>
      <c r="M151" s="181">
        <v>2024</v>
      </c>
      <c r="O151" s="145"/>
      <c r="P151" s="143" t="str">
        <f>VALUE(LEFT(dms_CRYf_y18,4)+1)&amp;"-"&amp;TEXT(MID(dms_CRYf_y18,3,2)+2,"00")</f>
        <v>2036-37</v>
      </c>
      <c r="Q151" s="144" t="s">
        <v>477</v>
      </c>
      <c r="R151" s="133">
        <f>VALUE(LEFT(dms_CRYc_y18,4)+1)</f>
        <v>2037</v>
      </c>
      <c r="S151" s="134" t="s">
        <v>478</v>
      </c>
    </row>
    <row r="152" spans="1:21" ht="15.75" thickBot="1">
      <c r="A152" s="467"/>
      <c r="B152" s="161" t="s">
        <v>806</v>
      </c>
      <c r="C152" s="162" t="str">
        <f>IF(dms_RPT="financial",VALUE(LEFT(CRY,4)+1)&amp;"-"&amp;TEXT(MID(CRY,3,2)+2,"00"),VALUE(LEFT(CRY,4)+1))</f>
        <v>2019-20</v>
      </c>
      <c r="D152" s="163" t="s">
        <v>538</v>
      </c>
      <c r="E152" s="164" t="s">
        <v>481</v>
      </c>
      <c r="F152" s="169" t="s">
        <v>482</v>
      </c>
      <c r="G152" s="170" t="s">
        <v>503</v>
      </c>
      <c r="H152" s="167">
        <v>2012</v>
      </c>
      <c r="I152" s="171" t="s">
        <v>484</v>
      </c>
      <c r="J152" s="154"/>
      <c r="K152" s="467"/>
      <c r="L152" s="180" t="s">
        <v>521</v>
      </c>
      <c r="M152" s="181">
        <v>2025</v>
      </c>
      <c r="O152" s="172"/>
      <c r="P152" s="173" t="str">
        <f>VALUE(LEFT(dms_CRYf_y19,4)+1)&amp;"-"&amp;TEXT(MID(dms_CRYf_y19,3,2)+2,"00")</f>
        <v>2037-38</v>
      </c>
      <c r="Q152" s="174" t="s">
        <v>485</v>
      </c>
      <c r="R152" s="175">
        <f>VALUE(LEFT(dms_CRYc_y19,4)+1)</f>
        <v>2038</v>
      </c>
      <c r="S152" s="176" t="s">
        <v>486</v>
      </c>
    </row>
    <row r="153" spans="1:21">
      <c r="A153" s="467"/>
      <c r="B153" s="161" t="s">
        <v>807</v>
      </c>
      <c r="C153" s="162" t="str">
        <f>IF(dms_RPT="financial",VALUE(LEFT(dms_fy2,4)+1)&amp;"-"&amp;TEXT(MID(dms_fy2,3,2)+2,"00"),VALUE(LEFT(dms_fy2,4)+1))</f>
        <v>2020-21</v>
      </c>
      <c r="D153" s="163" t="s">
        <v>480</v>
      </c>
      <c r="E153" s="164" t="s">
        <v>489</v>
      </c>
      <c r="F153" s="177" t="s">
        <v>490</v>
      </c>
      <c r="G153" s="170" t="s">
        <v>508</v>
      </c>
      <c r="H153" s="167">
        <v>2013</v>
      </c>
      <c r="I153" s="168" t="s">
        <v>492</v>
      </c>
      <c r="J153" s="154"/>
      <c r="K153" s="467"/>
      <c r="L153" s="180" t="s">
        <v>526</v>
      </c>
      <c r="M153" s="181">
        <v>2026</v>
      </c>
    </row>
    <row r="154" spans="1:21">
      <c r="A154" s="467"/>
      <c r="B154" s="161" t="s">
        <v>808</v>
      </c>
      <c r="C154" s="162" t="str">
        <f>IF(dms_RPT="financial",VALUE(LEFT(dms_fy3,4)+1)&amp;"-"&amp;TEXT(MID(dms_fy3,3,2)+2,"00"),VALUE(LEFT(dms_fy3,4)+1))</f>
        <v>2021-22</v>
      </c>
      <c r="D154" s="163" t="s">
        <v>488</v>
      </c>
      <c r="E154" s="164" t="s">
        <v>494</v>
      </c>
      <c r="F154" s="169" t="s">
        <v>495</v>
      </c>
      <c r="G154" s="170" t="s">
        <v>513</v>
      </c>
      <c r="H154" s="167">
        <v>2014</v>
      </c>
      <c r="I154" s="171" t="s">
        <v>497</v>
      </c>
      <c r="J154" s="154"/>
      <c r="K154" s="467"/>
      <c r="L154" s="180" t="s">
        <v>530</v>
      </c>
      <c r="M154" s="181">
        <v>2027</v>
      </c>
    </row>
    <row r="155" spans="1:21">
      <c r="B155" s="161" t="s">
        <v>809</v>
      </c>
      <c r="C155" s="162" t="str">
        <f>IF(dms_RPT="financial",VALUE(LEFT(dms_fy4,4)+1)&amp;"-"&amp;TEXT(MID(dms_fy4,3,2)+2,"00"),VALUE(LEFT(dms_fy4,4)+1))</f>
        <v>2022-23</v>
      </c>
      <c r="D155" s="163">
        <v>2010</v>
      </c>
      <c r="E155" s="164" t="s">
        <v>499</v>
      </c>
      <c r="F155" s="177" t="s">
        <v>500</v>
      </c>
      <c r="G155" s="170" t="s">
        <v>518</v>
      </c>
      <c r="H155" s="167">
        <v>2015</v>
      </c>
      <c r="I155" s="168" t="s">
        <v>502</v>
      </c>
      <c r="J155" s="154"/>
      <c r="L155" s="180" t="s">
        <v>536</v>
      </c>
      <c r="M155" s="181">
        <v>2028</v>
      </c>
    </row>
    <row r="156" spans="1:21">
      <c r="B156" s="161" t="s">
        <v>810</v>
      </c>
      <c r="C156" s="162" t="str">
        <f>IF(dms_RPT="financial",VALUE(LEFT(dms_fy5,4)+1)&amp;"-"&amp;TEXT(MID(dms_fy5,3,2)+2,"00"),VALUE(LEFT(dms_fy5,4)+1))</f>
        <v>2023-24</v>
      </c>
      <c r="D156" s="163">
        <v>2011</v>
      </c>
      <c r="E156" s="164" t="s">
        <v>504</v>
      </c>
      <c r="F156" s="169" t="s">
        <v>505</v>
      </c>
      <c r="G156" s="170" t="s">
        <v>523</v>
      </c>
      <c r="H156" s="167">
        <v>2016</v>
      </c>
      <c r="I156" s="171" t="s">
        <v>507</v>
      </c>
      <c r="J156" s="154"/>
      <c r="L156" s="180" t="s">
        <v>541</v>
      </c>
      <c r="M156" s="181">
        <v>2029</v>
      </c>
    </row>
    <row r="157" spans="1:21">
      <c r="B157" s="161" t="s">
        <v>811</v>
      </c>
      <c r="C157" s="162" t="str">
        <f>IF(dms_RPT="financial",VALUE(LEFT(dms_fy6,4)+1)&amp;"-"&amp;TEXT(MID(dms_fy6,3,2)+2,"00"),VALUE(LEFT(dms_fy6,4)+1))</f>
        <v>2024-25</v>
      </c>
      <c r="D157" s="163">
        <v>2012</v>
      </c>
      <c r="E157" s="164" t="s">
        <v>509</v>
      </c>
      <c r="F157" s="177" t="s">
        <v>510</v>
      </c>
      <c r="G157" s="170" t="s">
        <v>475</v>
      </c>
      <c r="H157" s="167">
        <v>2017</v>
      </c>
      <c r="I157" s="168" t="s">
        <v>512</v>
      </c>
      <c r="J157" s="154"/>
      <c r="L157" s="180" t="s">
        <v>545</v>
      </c>
      <c r="M157" s="181">
        <v>2030</v>
      </c>
    </row>
    <row r="158" spans="1:21">
      <c r="B158" s="161" t="s">
        <v>812</v>
      </c>
      <c r="C158" s="162" t="str">
        <f>IF(dms_RPT="financial",VALUE(LEFT(dms_fy7,4)+1)&amp;"-"&amp;TEXT(MID(dms_fy7,3,2)+2,"00"),VALUE(LEFT(dms_fy7,4)+1))</f>
        <v>2025-26</v>
      </c>
      <c r="D158" s="163">
        <v>2013</v>
      </c>
      <c r="E158" s="164" t="s">
        <v>514</v>
      </c>
      <c r="F158" s="169" t="s">
        <v>515</v>
      </c>
      <c r="G158" s="170" t="s">
        <v>483</v>
      </c>
      <c r="H158" s="167">
        <v>2018</v>
      </c>
      <c r="I158" s="171" t="s">
        <v>517</v>
      </c>
      <c r="J158" s="154"/>
      <c r="L158" s="180" t="s">
        <v>549</v>
      </c>
      <c r="M158" s="181">
        <v>2031</v>
      </c>
    </row>
    <row r="159" spans="1:21">
      <c r="B159" s="161" t="s">
        <v>813</v>
      </c>
      <c r="C159" s="162" t="str">
        <f>IF(dms_RPT="financial",VALUE(LEFT(dms_fy8,4)+1)&amp;"-"&amp;TEXT(MID(dms_fy8,3,2)+2,"00"),VALUE(LEFT(dms_fy8,4)+1))</f>
        <v>2026-27</v>
      </c>
      <c r="D159" s="163">
        <v>2014</v>
      </c>
      <c r="E159" s="164" t="s">
        <v>519</v>
      </c>
      <c r="F159" s="177" t="s">
        <v>520</v>
      </c>
      <c r="G159" s="170" t="s">
        <v>491</v>
      </c>
      <c r="H159" s="167">
        <v>2019</v>
      </c>
      <c r="I159" s="168" t="s">
        <v>522</v>
      </c>
      <c r="J159" s="154"/>
      <c r="L159" s="180" t="s">
        <v>556</v>
      </c>
      <c r="M159" s="181">
        <v>2032</v>
      </c>
    </row>
    <row r="160" spans="1:21">
      <c r="B160" s="161" t="s">
        <v>814</v>
      </c>
      <c r="C160" s="162" t="str">
        <f>IF(dms_RPT="financial",VALUE(LEFT(dms_fy9,4)+1)&amp;"-"&amp;TEXT(MID(dms_fy9,3,2)+2,"00"),VALUE(LEFT(dms_fy9,4)+1))</f>
        <v>2027-28</v>
      </c>
      <c r="D160" s="163">
        <v>2015</v>
      </c>
      <c r="E160" s="164" t="s">
        <v>524</v>
      </c>
      <c r="F160" s="169" t="s">
        <v>525</v>
      </c>
      <c r="G160" s="170" t="s">
        <v>496</v>
      </c>
      <c r="H160" s="167">
        <v>2020</v>
      </c>
      <c r="I160" s="171" t="s">
        <v>527</v>
      </c>
      <c r="J160" s="154"/>
      <c r="L160" s="180" t="s">
        <v>557</v>
      </c>
      <c r="M160" s="181">
        <v>2033</v>
      </c>
    </row>
    <row r="161" spans="1:25">
      <c r="B161" s="161" t="s">
        <v>815</v>
      </c>
      <c r="C161" s="162" t="str">
        <f>IF(dms_RPT="financial",VALUE(LEFT(dms_fy10,4)+1)&amp;"-"&amp;TEXT(MID(dms_fy10,3,2)+2,"00"),VALUE(LEFT(dms_fy10,4)+1))</f>
        <v>2028-29</v>
      </c>
      <c r="D161" s="163">
        <v>2016</v>
      </c>
      <c r="E161" s="164" t="s">
        <v>528</v>
      </c>
      <c r="F161" s="177" t="s">
        <v>529</v>
      </c>
      <c r="G161" s="170" t="s">
        <v>501</v>
      </c>
      <c r="H161" s="167">
        <v>2021</v>
      </c>
      <c r="I161" s="168" t="s">
        <v>531</v>
      </c>
      <c r="J161" s="154"/>
      <c r="L161" s="180" t="s">
        <v>558</v>
      </c>
      <c r="M161" s="181">
        <v>2034</v>
      </c>
    </row>
    <row r="162" spans="1:25">
      <c r="B162" s="161" t="s">
        <v>816</v>
      </c>
      <c r="C162" s="162" t="str">
        <f>IF(dms_RPT="financial",VALUE(LEFT(dms_fy11,4)+1)&amp;"-"&amp;TEXT(MID(dms_fy11,3,2)+2,"00"),VALUE(LEFT(dms_fy11,4)+1))</f>
        <v>2029-30</v>
      </c>
      <c r="D162" s="163">
        <v>2017</v>
      </c>
      <c r="E162" s="164" t="s">
        <v>534</v>
      </c>
      <c r="F162" s="169" t="s">
        <v>535</v>
      </c>
      <c r="G162" s="170" t="s">
        <v>506</v>
      </c>
      <c r="H162" s="167">
        <v>2022</v>
      </c>
      <c r="I162" s="171" t="s">
        <v>537</v>
      </c>
      <c r="J162" s="154"/>
      <c r="L162" s="180" t="s">
        <v>559</v>
      </c>
      <c r="M162" s="181">
        <v>2035</v>
      </c>
    </row>
    <row r="163" spans="1:25" ht="15.75" thickBot="1">
      <c r="B163" s="161" t="s">
        <v>817</v>
      </c>
      <c r="C163" s="162" t="str">
        <f>IF(dms_RPT="financial",VALUE(LEFT(dms_fy12,4)+1)&amp;"-"&amp;TEXT(MID(dms_fy12,3,2)+2,"00"),VALUE(LEFT(dms_fy12,4)+1))</f>
        <v>2030-31</v>
      </c>
      <c r="D163" s="163">
        <v>2018</v>
      </c>
      <c r="E163" s="164" t="s">
        <v>539</v>
      </c>
      <c r="F163" s="177" t="s">
        <v>540</v>
      </c>
      <c r="G163" s="170" t="s">
        <v>511</v>
      </c>
      <c r="H163" s="167">
        <v>2023</v>
      </c>
      <c r="I163" s="168" t="s">
        <v>542</v>
      </c>
      <c r="J163" s="154"/>
      <c r="L163" s="192" t="s">
        <v>560</v>
      </c>
      <c r="M163" s="193">
        <v>2036</v>
      </c>
      <c r="X163"/>
      <c r="Y163"/>
    </row>
    <row r="164" spans="1:25">
      <c r="B164" s="161" t="s">
        <v>818</v>
      </c>
      <c r="C164" s="162" t="str">
        <f>IF(dms_RPT="financial",VALUE(LEFT(dms_fy13,4)+1)&amp;"-"&amp;TEXT(MID(dms_fy13,3,2)+2,"00"),VALUE(LEFT(dms_fy13,4)+1))</f>
        <v>2031-32</v>
      </c>
      <c r="D164" s="163">
        <v>2019</v>
      </c>
      <c r="E164" s="164" t="s">
        <v>543</v>
      </c>
      <c r="F164" s="169" t="s">
        <v>544</v>
      </c>
      <c r="G164" s="170" t="s">
        <v>516</v>
      </c>
      <c r="H164" s="167">
        <v>2024</v>
      </c>
      <c r="I164" s="171" t="s">
        <v>546</v>
      </c>
      <c r="J164" s="154"/>
      <c r="X164"/>
      <c r="Y164"/>
    </row>
    <row r="165" spans="1:25" ht="28.5" customHeight="1" thickBot="1">
      <c r="B165" s="161" t="s">
        <v>819</v>
      </c>
      <c r="C165" s="162" t="str">
        <f>IF(dms_RPT="financial",VALUE(LEFT(dms_fy14,4)+1)&amp;"-"&amp;TEXT(MID(dms_fy14,3,2)+2,"00"),VALUE(LEFT(dms_fy14,4)+1))</f>
        <v>2032-33</v>
      </c>
      <c r="D165" s="163">
        <v>2020</v>
      </c>
      <c r="E165" s="164" t="s">
        <v>547</v>
      </c>
      <c r="F165" s="182" t="s">
        <v>548</v>
      </c>
      <c r="G165" s="183" t="s">
        <v>521</v>
      </c>
      <c r="H165" s="184">
        <v>2025</v>
      </c>
      <c r="I165" s="185" t="s">
        <v>550</v>
      </c>
      <c r="J165" s="154"/>
      <c r="X165"/>
      <c r="Y165"/>
    </row>
    <row r="166" spans="1:25">
      <c r="B166" s="161" t="s">
        <v>820</v>
      </c>
      <c r="C166" s="162" t="str">
        <f>IF(dms_RPT="financial",VALUE(LEFT(dms_fy15,4)+1)&amp;"-"&amp;TEXT(MID(dms_fy15,3,2)+2,"00"),VALUE(LEFT(dms_fy15,4)+1))</f>
        <v>2033-34</v>
      </c>
      <c r="D166" s="163">
        <v>2021</v>
      </c>
      <c r="E166" s="164" t="s">
        <v>551</v>
      </c>
      <c r="F166" s="728"/>
      <c r="G166" s="728"/>
      <c r="H166" s="728"/>
      <c r="I166" s="728"/>
      <c r="J166" s="154"/>
      <c r="X166"/>
      <c r="Y166"/>
    </row>
    <row r="167" spans="1:25" ht="15.75" customHeight="1">
      <c r="B167" s="161" t="s">
        <v>821</v>
      </c>
      <c r="C167" s="162" t="str">
        <f>IF(dms_RPT="financial",VALUE(LEFT(dms_fy16,4)+1)&amp;"-"&amp;TEXT(MID(dms_fy16,3,2)+2,"00"),VALUE(LEFT(dms_fy16,4)+1))</f>
        <v>2034-35</v>
      </c>
      <c r="D167" s="163">
        <v>2022</v>
      </c>
      <c r="E167" s="164" t="s">
        <v>552</v>
      </c>
      <c r="F167" s="728"/>
      <c r="G167" s="728"/>
      <c r="H167" s="728"/>
      <c r="I167" s="728"/>
      <c r="J167" s="154"/>
      <c r="X167"/>
      <c r="Y167"/>
    </row>
    <row r="168" spans="1:25">
      <c r="B168" s="161" t="s">
        <v>822</v>
      </c>
      <c r="C168" s="162" t="str">
        <f>IF(dms_RPT="financial",VALUE(LEFT(dms_fy17,4)+1)&amp;"-"&amp;TEXT(MID(dms_fy17,3,2)+2,"00"),VALUE(LEFT(dms_fy17,4)+1))</f>
        <v>2035-36</v>
      </c>
      <c r="D168" s="163">
        <v>2023</v>
      </c>
      <c r="E168" s="164" t="s">
        <v>553</v>
      </c>
      <c r="F168" s="728"/>
      <c r="G168" s="728"/>
      <c r="H168" s="728"/>
      <c r="I168" s="728"/>
      <c r="J168" s="154"/>
      <c r="X168"/>
      <c r="Y168"/>
    </row>
    <row r="169" spans="1:25">
      <c r="B169" s="161" t="s">
        <v>823</v>
      </c>
      <c r="C169" s="162" t="str">
        <f>IF(dms_RPT="financial",VALUE(LEFT(dms_fy18,4)+1)&amp;"-"&amp;TEXT(MID(dms_fy18,3,2)+2,"00"),VALUE(LEFT(dms_fy18,4)+1))</f>
        <v>2036-37</v>
      </c>
      <c r="D169" s="163">
        <v>2024</v>
      </c>
      <c r="E169" s="164" t="s">
        <v>554</v>
      </c>
      <c r="F169" s="728"/>
      <c r="G169" s="728"/>
      <c r="H169" s="728"/>
      <c r="I169" s="728"/>
      <c r="J169" s="154"/>
      <c r="X169"/>
      <c r="Y169"/>
    </row>
    <row r="170" spans="1:25" ht="15.75" thickBot="1">
      <c r="B170" s="187" t="s">
        <v>824</v>
      </c>
      <c r="C170" s="188" t="str">
        <f>IF(dms_RPT="financial",VALUE(LEFT(dms_fy19,4)+1)&amp;"-"&amp;TEXT(MID(dms_fy19,3,2)+2,"00"),VALUE(LEFT(dms_fy19)+1))</f>
        <v>2037-38</v>
      </c>
      <c r="D170" s="189">
        <v>2025</v>
      </c>
      <c r="E170" s="190" t="s">
        <v>555</v>
      </c>
      <c r="F170" s="729"/>
      <c r="G170" s="729"/>
      <c r="H170" s="729"/>
      <c r="I170" s="729"/>
      <c r="J170" s="191"/>
      <c r="X170"/>
      <c r="Y170"/>
    </row>
    <row r="171" spans="1:25">
      <c r="B171" s="1"/>
      <c r="C171" s="1"/>
      <c r="X171"/>
      <c r="Y171"/>
    </row>
    <row r="172" spans="1:25">
      <c r="B172" s="1"/>
      <c r="C172" s="1"/>
      <c r="E172" s="1"/>
      <c r="X172"/>
      <c r="Y172"/>
    </row>
    <row r="173" spans="1:25">
      <c r="B173" s="1"/>
      <c r="C173" s="1"/>
      <c r="E173" s="1"/>
    </row>
    <row r="174" spans="1:25">
      <c r="A174"/>
      <c r="B174"/>
      <c r="C174"/>
      <c r="D174"/>
      <c r="E174"/>
      <c r="F174"/>
      <c r="G174"/>
      <c r="H174"/>
      <c r="I174"/>
      <c r="J174"/>
      <c r="K174"/>
      <c r="L174"/>
    </row>
    <row r="175" spans="1:25" ht="15.75" thickBot="1"/>
    <row r="176" spans="1:25" ht="15.75" thickBot="1">
      <c r="B176" s="730" t="s">
        <v>825</v>
      </c>
      <c r="C176" s="731"/>
      <c r="D176" s="731"/>
      <c r="E176" s="731"/>
      <c r="F176" s="731"/>
      <c r="G176" s="731"/>
      <c r="H176" s="732"/>
      <c r="I176" s="732"/>
      <c r="J176" s="732"/>
      <c r="K176" s="732"/>
      <c r="L176" s="732"/>
      <c r="M176" s="732"/>
      <c r="N176" s="732"/>
      <c r="O176" s="733"/>
    </row>
    <row r="177" spans="2:15">
      <c r="B177" s="734"/>
      <c r="C177" s="735" t="s">
        <v>826</v>
      </c>
      <c r="D177" s="736"/>
      <c r="E177" s="737"/>
      <c r="F177" s="738"/>
      <c r="G177" s="738"/>
      <c r="H177" s="1"/>
      <c r="I177" s="1"/>
      <c r="J177" s="1"/>
      <c r="K177" s="1"/>
      <c r="L177" s="1"/>
      <c r="O177" s="739"/>
    </row>
    <row r="178" spans="2:15" ht="15.75" thickBot="1">
      <c r="B178" s="734"/>
      <c r="C178" s="740" t="s">
        <v>827</v>
      </c>
      <c r="D178" s="740" t="s">
        <v>828</v>
      </c>
      <c r="E178" s="740" t="s">
        <v>829</v>
      </c>
      <c r="F178" s="740" t="s">
        <v>830</v>
      </c>
      <c r="G178" s="741"/>
      <c r="H178" s="1"/>
      <c r="I178" s="1"/>
      <c r="J178" s="1"/>
      <c r="K178" s="1"/>
      <c r="L178" s="1"/>
      <c r="O178" s="742"/>
    </row>
    <row r="179" spans="2:15" ht="39" thickBot="1">
      <c r="B179" s="734"/>
      <c r="C179" s="743" t="s">
        <v>831</v>
      </c>
      <c r="D179" s="744" t="s">
        <v>832</v>
      </c>
      <c r="E179" s="745" t="s">
        <v>833</v>
      </c>
      <c r="F179" s="745" t="s">
        <v>834</v>
      </c>
      <c r="G179" s="746"/>
      <c r="H179" s="1"/>
      <c r="I179" s="1"/>
      <c r="J179" s="1"/>
      <c r="K179" s="1"/>
      <c r="L179" s="1"/>
      <c r="O179" s="739"/>
    </row>
    <row r="180" spans="2:15">
      <c r="B180" s="734"/>
      <c r="C180" s="746"/>
      <c r="D180" s="746"/>
      <c r="E180" s="746"/>
      <c r="F180" s="746"/>
      <c r="G180" s="746"/>
      <c r="H180" s="1"/>
      <c r="I180" s="1"/>
      <c r="J180" s="1"/>
      <c r="K180" s="1"/>
      <c r="L180" s="1"/>
      <c r="O180" s="739"/>
    </row>
    <row r="181" spans="2:15">
      <c r="B181" s="734"/>
      <c r="C181" s="746"/>
      <c r="D181" s="746"/>
      <c r="E181" s="746"/>
      <c r="F181" s="746"/>
      <c r="G181" s="746"/>
      <c r="H181" s="1"/>
      <c r="I181" s="1"/>
      <c r="J181" s="1"/>
      <c r="K181" s="1"/>
      <c r="L181" s="1"/>
      <c r="O181" s="739"/>
    </row>
    <row r="182" spans="2:15" ht="15.75" thickBot="1">
      <c r="B182" s="734"/>
      <c r="C182" s="746"/>
      <c r="D182" s="746"/>
      <c r="E182" s="746"/>
      <c r="F182" s="746"/>
      <c r="G182" s="746"/>
      <c r="H182" s="1"/>
      <c r="I182" s="1"/>
      <c r="J182" s="1"/>
      <c r="K182" s="1"/>
      <c r="L182" s="1"/>
      <c r="O182" s="739"/>
    </row>
    <row r="183" spans="2:15">
      <c r="B183" s="734"/>
      <c r="C183" s="747" t="s">
        <v>835</v>
      </c>
      <c r="D183" s="738"/>
      <c r="E183" s="738"/>
      <c r="F183" s="748"/>
      <c r="G183" s="746"/>
      <c r="H183" s="1"/>
      <c r="I183" s="1"/>
      <c r="J183" s="1"/>
      <c r="K183" s="1"/>
      <c r="L183" s="1"/>
      <c r="O183" s="739"/>
    </row>
    <row r="184" spans="2:15" ht="15.75" thickBot="1">
      <c r="B184" s="734"/>
      <c r="C184" s="740" t="s">
        <v>836</v>
      </c>
      <c r="D184" s="740" t="s">
        <v>837</v>
      </c>
      <c r="E184" s="740" t="s">
        <v>838</v>
      </c>
      <c r="F184" s="739"/>
      <c r="G184" s="746"/>
      <c r="H184" s="1"/>
      <c r="I184" s="1"/>
      <c r="J184" s="1"/>
      <c r="K184" s="1"/>
      <c r="L184" s="1"/>
      <c r="O184" s="739"/>
    </row>
    <row r="185" spans="2:15" ht="64.5" thickBot="1">
      <c r="B185" s="734"/>
      <c r="C185" s="749" t="s">
        <v>839</v>
      </c>
      <c r="D185" s="750" t="s">
        <v>840</v>
      </c>
      <c r="E185" s="751" t="str">
        <f>dms_060701_StartDateTxt</f>
        <v>1-Jul-2018</v>
      </c>
      <c r="F185" s="752"/>
      <c r="G185" s="746"/>
      <c r="H185" s="1"/>
      <c r="I185" s="1"/>
      <c r="J185" s="1"/>
      <c r="K185" s="1"/>
      <c r="L185" s="1"/>
      <c r="O185" s="739"/>
    </row>
    <row r="186" spans="2:15">
      <c r="B186" s="734"/>
      <c r="C186" s="746"/>
      <c r="D186" s="746"/>
      <c r="E186" s="746"/>
      <c r="F186" s="746"/>
      <c r="G186" s="746"/>
      <c r="H186" s="1"/>
      <c r="I186" s="1"/>
      <c r="J186" s="1"/>
      <c r="K186" s="1"/>
      <c r="L186" s="1"/>
      <c r="O186" s="739"/>
    </row>
    <row r="187" spans="2:15">
      <c r="B187" s="734"/>
      <c r="C187" s="746"/>
      <c r="D187" s="746"/>
      <c r="E187" s="746"/>
      <c r="F187" s="746"/>
      <c r="G187" s="746"/>
      <c r="H187" s="1"/>
      <c r="I187" s="1"/>
      <c r="J187" s="1"/>
      <c r="K187" s="1"/>
      <c r="L187" s="1"/>
      <c r="O187" s="739"/>
    </row>
    <row r="188" spans="2:15" ht="15.75" thickBot="1">
      <c r="B188" s="734"/>
      <c r="C188" s="746"/>
      <c r="D188" s="746"/>
      <c r="E188" s="746"/>
      <c r="F188" s="746"/>
      <c r="G188"/>
      <c r="H188"/>
      <c r="I188" s="1"/>
      <c r="J188" s="1"/>
      <c r="K188" s="1"/>
      <c r="L188" s="1"/>
      <c r="O188" s="739"/>
    </row>
    <row r="189" spans="2:15" ht="15.75" thickBot="1">
      <c r="B189" s="734"/>
      <c r="C189" s="1"/>
      <c r="E189" s="467"/>
      <c r="F189" s="467"/>
      <c r="G189"/>
      <c r="H189" s="753" t="s">
        <v>841</v>
      </c>
      <c r="I189" s="754" t="str">
        <f>INDEX(dms_FeederName_1,MATCH(dms_TradingName,dms_TradingName_List))</f>
        <v>CBD</v>
      </c>
      <c r="J189" s="755" t="str">
        <f>INDEX(dms_FeederName_2,MATCH(dms_TradingName,dms_TradingName_List))</f>
        <v>Urban</v>
      </c>
      <c r="K189" s="755" t="str">
        <f>INDEX(dms_FeederName_3,MATCH(dms_TradingName,dms_TradingName_List))</f>
        <v>Short rural</v>
      </c>
      <c r="L189" s="755" t="str">
        <f>INDEX(dms_FeederName_4,MATCH(dms_TradingName,dms_TradingName_List))</f>
        <v>Long rural</v>
      </c>
      <c r="M189" s="756"/>
      <c r="O189" s="739"/>
    </row>
    <row r="190" spans="2:15">
      <c r="B190" s="734"/>
      <c r="C190" s="747" t="s">
        <v>842</v>
      </c>
      <c r="D190" s="738"/>
      <c r="E190" s="738"/>
      <c r="F190" s="748"/>
      <c r="G190"/>
      <c r="H190"/>
      <c r="I190" s="1"/>
      <c r="J190" s="1"/>
      <c r="K190" s="1"/>
      <c r="L190" s="1"/>
      <c r="O190" s="739"/>
    </row>
    <row r="191" spans="2:15">
      <c r="B191" s="734"/>
      <c r="C191" s="757" t="s">
        <v>843</v>
      </c>
      <c r="E191" s="758"/>
      <c r="F191" s="759"/>
      <c r="G191" s="759"/>
      <c r="H191" s="1"/>
      <c r="I191" s="1"/>
      <c r="J191" s="720"/>
      <c r="K191" s="1"/>
      <c r="L191" s="1"/>
      <c r="O191" s="739"/>
    </row>
    <row r="192" spans="2:15">
      <c r="B192" s="760" t="s">
        <v>844</v>
      </c>
      <c r="C192" s="761" t="str">
        <f>INDEX(dms_FeederName_1,MATCH(dms_TradingName,dms_TradingName_List))</f>
        <v>CBD</v>
      </c>
      <c r="D192" s="761" t="str">
        <f>INDEX(dms_FeederName_1,MATCH(dms_TradingName,dms_TradingName_List))</f>
        <v>CBD</v>
      </c>
      <c r="E192" s="762" t="str">
        <f>INDEX(dms_FeederName_2,MATCH(dms_TradingName,dms_TradingName_List))</f>
        <v>Urban</v>
      </c>
      <c r="F192" s="762" t="str">
        <f>INDEX(dms_FeederName_2,MATCH(dms_TradingName,dms_TradingName_List))</f>
        <v>Urban</v>
      </c>
      <c r="G192" s="761" t="str">
        <f>INDEX(dms_FeederName_3,MATCH(dms_TradingName,dms_TradingName_List))</f>
        <v>Short rural</v>
      </c>
      <c r="H192" s="761" t="str">
        <f>INDEX(dms_FeederName_3,MATCH(dms_TradingName,dms_TradingName_List))</f>
        <v>Short rural</v>
      </c>
      <c r="I192" s="762" t="str">
        <f>INDEX(dms_FeederName_4,MATCH(dms_TradingName,dms_TradingName_List))</f>
        <v>Long rural</v>
      </c>
      <c r="J192" s="762" t="str">
        <f>INDEX(dms_FeederName_4,MATCH(dms_TradingName,dms_TradingName_List))</f>
        <v>Long rural</v>
      </c>
      <c r="K192" s="761" t="str">
        <f>IF((INDEX(dms_FeederName_5,MATCH(dms_TradingName,dms_TradingName_List))=0),"Network",(INDEX(dms_FeederName_5,MATCH(dms_TradingName,dms_TradingName_List))))</f>
        <v>Network</v>
      </c>
      <c r="L192" s="761" t="str">
        <f>IF((INDEX(dms_FeederName_5,MATCH(dms_TradingName,dms_TradingName_List))=0),"Network",(INDEX(dms_FeederName_5,MATCH(dms_TradingName,dms_TradingName_List))))</f>
        <v>Network</v>
      </c>
      <c r="M192" s="761" t="s">
        <v>845</v>
      </c>
      <c r="N192" s="761" t="s">
        <v>845</v>
      </c>
      <c r="O192" s="739"/>
    </row>
    <row r="193" spans="1:15" ht="15.75" thickBot="1">
      <c r="B193" s="763"/>
      <c r="C193" s="764"/>
      <c r="E193" s="467"/>
      <c r="F193" s="467"/>
      <c r="H193" s="1"/>
      <c r="I193" s="1"/>
      <c r="J193" s="1"/>
      <c r="K193" s="1"/>
      <c r="L193" s="1"/>
      <c r="M193" s="739"/>
      <c r="O193" s="739"/>
    </row>
    <row r="194" spans="1:15" ht="51.75" thickBot="1">
      <c r="B194" s="765" t="s">
        <v>846</v>
      </c>
      <c r="C194" s="766" t="s">
        <v>847</v>
      </c>
      <c r="D194" s="767" t="s">
        <v>848</v>
      </c>
      <c r="E194" s="767" t="s">
        <v>847</v>
      </c>
      <c r="F194" s="767" t="s">
        <v>848</v>
      </c>
      <c r="G194" s="767" t="s">
        <v>847</v>
      </c>
      <c r="H194" s="767" t="s">
        <v>848</v>
      </c>
      <c r="I194" s="767" t="s">
        <v>847</v>
      </c>
      <c r="J194" s="767" t="s">
        <v>848</v>
      </c>
      <c r="K194" s="767" t="s">
        <v>847</v>
      </c>
      <c r="L194" s="768" t="s">
        <v>848</v>
      </c>
      <c r="M194" s="767" t="s">
        <v>847</v>
      </c>
      <c r="N194" s="768" t="s">
        <v>848</v>
      </c>
      <c r="O194" s="739"/>
    </row>
    <row r="195" spans="1:15">
      <c r="B195" s="734"/>
      <c r="C195" s="769" t="s">
        <v>849</v>
      </c>
      <c r="E195" s="1"/>
      <c r="G195" s="759"/>
      <c r="H195" s="1"/>
      <c r="I195" s="759"/>
      <c r="J195" s="759"/>
      <c r="K195" s="1"/>
      <c r="L195" s="1"/>
      <c r="O195" s="739"/>
    </row>
    <row r="196" spans="1:15">
      <c r="A196" s="770"/>
      <c r="B196" s="746"/>
      <c r="C196" s="1"/>
      <c r="E196" s="467"/>
      <c r="F196" s="467"/>
      <c r="H196" s="1"/>
      <c r="I196" s="759"/>
      <c r="J196" s="759"/>
      <c r="K196" s="1"/>
      <c r="L196" s="1"/>
      <c r="O196" s="739"/>
    </row>
    <row r="197" spans="1:15">
      <c r="A197" s="770"/>
      <c r="B197" s="746"/>
      <c r="C197" s="771"/>
      <c r="D197" s="769"/>
      <c r="E197" s="769"/>
      <c r="F197" s="769"/>
      <c r="G197" s="769"/>
      <c r="H197" s="1"/>
      <c r="I197" s="759"/>
      <c r="J197" s="759"/>
      <c r="K197" s="1"/>
      <c r="L197" s="1"/>
      <c r="O197" s="739"/>
    </row>
    <row r="198" spans="1:15">
      <c r="A198" s="770"/>
      <c r="B198" s="746"/>
      <c r="C198" s="149"/>
      <c r="D198" s="772"/>
      <c r="E198" s="759"/>
      <c r="F198" s="759"/>
      <c r="G198" s="759"/>
      <c r="H198" s="1"/>
      <c r="I198" s="773"/>
      <c r="J198" s="772"/>
      <c r="K198" s="1"/>
      <c r="L198" s="1"/>
      <c r="O198" s="739"/>
    </row>
    <row r="199" spans="1:15" ht="15.75" thickBot="1">
      <c r="A199" s="770"/>
      <c r="B199" s="746"/>
      <c r="C199" s="149"/>
      <c r="D199" s="772"/>
      <c r="E199" s="759"/>
      <c r="F199" s="759"/>
      <c r="G199" s="759"/>
      <c r="H199" s="1"/>
      <c r="I199" s="759"/>
      <c r="J199" s="759"/>
      <c r="K199" s="1"/>
      <c r="L199" s="1"/>
      <c r="O199" s="739"/>
    </row>
    <row r="200" spans="1:15">
      <c r="A200" s="770"/>
      <c r="B200" s="746"/>
      <c r="C200" s="747" t="s">
        <v>850</v>
      </c>
      <c r="D200" s="738"/>
      <c r="E200" s="738"/>
      <c r="F200" s="738"/>
      <c r="G200" s="748"/>
      <c r="H200" s="1"/>
      <c r="I200" s="759"/>
      <c r="J200" s="759"/>
      <c r="K200" s="1"/>
      <c r="L200" s="1"/>
      <c r="O200" s="739"/>
    </row>
    <row r="201" spans="1:15" ht="15.75" thickBot="1">
      <c r="A201" s="770"/>
      <c r="B201" s="746"/>
      <c r="C201" s="774" t="s">
        <v>851</v>
      </c>
      <c r="D201" s="741" t="s">
        <v>852</v>
      </c>
      <c r="E201" s="741" t="s">
        <v>853</v>
      </c>
      <c r="F201" s="741" t="s">
        <v>854</v>
      </c>
      <c r="G201" s="739"/>
      <c r="H201" s="1"/>
      <c r="I201" s="759"/>
      <c r="J201" s="759"/>
      <c r="K201" s="1"/>
      <c r="L201" s="1"/>
      <c r="O201" s="739"/>
    </row>
    <row r="202" spans="1:15" ht="26.25" thickBot="1">
      <c r="A202" s="770"/>
      <c r="B202" s="746"/>
      <c r="C202" s="749" t="s">
        <v>855</v>
      </c>
      <c r="D202" s="750" t="s">
        <v>856</v>
      </c>
      <c r="E202" s="775" t="s">
        <v>857</v>
      </c>
      <c r="F202" s="775" t="s">
        <v>858</v>
      </c>
      <c r="G202" s="752"/>
      <c r="H202" s="1"/>
      <c r="I202" s="759"/>
      <c r="J202" s="759"/>
      <c r="K202" s="1"/>
      <c r="L202" s="1"/>
      <c r="O202" s="739"/>
    </row>
    <row r="203" spans="1:15">
      <c r="A203" s="770"/>
      <c r="B203" s="746"/>
      <c r="C203" s="746"/>
      <c r="D203" s="746"/>
      <c r="E203" s="746"/>
      <c r="F203" s="746"/>
      <c r="G203" s="746"/>
      <c r="H203" s="1"/>
      <c r="I203" s="759"/>
      <c r="J203" s="759"/>
      <c r="K203" s="1"/>
      <c r="L203" s="1"/>
      <c r="O203" s="739"/>
    </row>
    <row r="204" spans="1:15">
      <c r="A204" s="770"/>
      <c r="B204" s="746"/>
      <c r="C204" s="746"/>
      <c r="D204" s="746"/>
      <c r="E204" s="746"/>
      <c r="F204" s="746"/>
      <c r="G204" s="746"/>
      <c r="H204" s="1"/>
      <c r="I204" s="759"/>
      <c r="J204" s="759"/>
      <c r="K204" s="1"/>
      <c r="L204" s="1"/>
      <c r="O204" s="739"/>
    </row>
    <row r="205" spans="1:15">
      <c r="A205" s="770"/>
      <c r="B205" s="746"/>
      <c r="C205" s="771"/>
      <c r="D205" s="746"/>
      <c r="E205" s="746"/>
      <c r="F205" s="746"/>
      <c r="G205" s="746"/>
      <c r="H205" s="1"/>
      <c r="I205" s="759"/>
      <c r="J205" s="759"/>
      <c r="K205" s="1"/>
      <c r="L205" s="1"/>
      <c r="O205" s="739"/>
    </row>
    <row r="206" spans="1:15" ht="15.75" thickBot="1">
      <c r="A206" s="770"/>
      <c r="B206" s="746"/>
      <c r="C206" s="746"/>
      <c r="D206" s="746"/>
      <c r="E206" s="746"/>
      <c r="F206" s="746"/>
      <c r="G206" s="746"/>
      <c r="H206" s="1"/>
      <c r="I206" s="759"/>
      <c r="J206" s="759"/>
      <c r="K206" s="1"/>
      <c r="L206" s="1"/>
      <c r="O206" s="739"/>
    </row>
    <row r="207" spans="1:15" ht="15.75" thickBot="1">
      <c r="A207" s="770"/>
      <c r="B207" s="746"/>
      <c r="C207" s="747" t="s">
        <v>859</v>
      </c>
      <c r="D207" s="748"/>
      <c r="E207"/>
      <c r="F207"/>
      <c r="G207"/>
      <c r="H207" s="1"/>
      <c r="I207" s="759"/>
      <c r="J207" s="759"/>
      <c r="K207" s="1"/>
      <c r="L207" s="1"/>
      <c r="O207" s="739"/>
    </row>
    <row r="208" spans="1:15" ht="15.75" thickBot="1">
      <c r="A208" s="770"/>
      <c r="B208" s="776" t="s">
        <v>860</v>
      </c>
      <c r="C208" s="777" t="s">
        <v>861</v>
      </c>
      <c r="D208" s="778" t="s">
        <v>862</v>
      </c>
      <c r="E208"/>
      <c r="F208"/>
      <c r="G208"/>
      <c r="H208" s="1"/>
      <c r="I208" s="759"/>
      <c r="J208" s="759"/>
      <c r="K208" s="1"/>
      <c r="L208" s="1"/>
      <c r="O208" s="739"/>
    </row>
    <row r="209" spans="1:15">
      <c r="A209" s="770"/>
      <c r="B209"/>
      <c r="C209"/>
      <c r="D209" s="746"/>
      <c r="E209"/>
      <c r="F209"/>
      <c r="G209"/>
      <c r="H209" s="70"/>
      <c r="I209" s="759"/>
      <c r="J209" s="759"/>
      <c r="K209" s="1"/>
      <c r="L209" s="1"/>
      <c r="O209" s="739"/>
    </row>
    <row r="210" spans="1:15">
      <c r="A210" s="770"/>
      <c r="B210"/>
      <c r="C210"/>
      <c r="D210"/>
      <c r="E210"/>
      <c r="F210"/>
      <c r="G210"/>
      <c r="H210" s="1"/>
      <c r="I210" s="759"/>
      <c r="J210" s="759"/>
      <c r="K210" s="1"/>
      <c r="L210" s="1"/>
      <c r="O210" s="739"/>
    </row>
    <row r="211" spans="1:15">
      <c r="A211" s="770"/>
      <c r="B211"/>
      <c r="C211"/>
      <c r="D211"/>
      <c r="E211"/>
      <c r="F211"/>
      <c r="G211"/>
      <c r="H211" s="1"/>
      <c r="I211" s="1"/>
      <c r="J211" s="1"/>
      <c r="K211" s="1"/>
      <c r="L211" s="1"/>
      <c r="O211" s="739"/>
    </row>
    <row r="212" spans="1:15">
      <c r="A212" s="770"/>
      <c r="B212"/>
      <c r="C212"/>
      <c r="D212"/>
      <c r="E212"/>
      <c r="F212"/>
      <c r="G212"/>
      <c r="H212" s="1"/>
      <c r="I212" s="759"/>
      <c r="J212" s="759"/>
      <c r="K212" s="1"/>
      <c r="L212" s="1"/>
      <c r="O212" s="739"/>
    </row>
    <row r="213" spans="1:15">
      <c r="A213" s="770"/>
      <c r="B213" s="746"/>
      <c r="C213" s="1"/>
      <c r="E213" s="467"/>
      <c r="F213" s="467"/>
      <c r="H213" s="1"/>
      <c r="I213" s="1"/>
      <c r="J213" s="1"/>
      <c r="K213" s="1"/>
      <c r="L213" s="1"/>
      <c r="O213" s="739"/>
    </row>
    <row r="214" spans="1:15">
      <c r="A214" s="770"/>
      <c r="B214" s="746"/>
      <c r="C214" s="757" t="s">
        <v>863</v>
      </c>
      <c r="E214" s="467"/>
      <c r="F214" s="467"/>
      <c r="H214" s="1"/>
      <c r="I214" s="1"/>
      <c r="J214" s="1"/>
      <c r="K214" s="1"/>
      <c r="L214" s="1"/>
      <c r="O214" s="739"/>
    </row>
    <row r="215" spans="1:15">
      <c r="A215" s="770"/>
      <c r="B215" s="746"/>
      <c r="C215" s="779" t="s">
        <v>864</v>
      </c>
      <c r="E215" s="467"/>
      <c r="F215" s="467"/>
      <c r="H215" s="1"/>
      <c r="I215" s="1"/>
      <c r="J215" s="1"/>
      <c r="K215" s="1"/>
      <c r="L215" s="1"/>
      <c r="O215" s="739"/>
    </row>
    <row r="216" spans="1:15">
      <c r="A216" s="770"/>
      <c r="B216" s="746"/>
      <c r="C216" s="780" t="s">
        <v>865</v>
      </c>
      <c r="D216" s="780" t="s">
        <v>866</v>
      </c>
      <c r="E216" s="780" t="s">
        <v>867</v>
      </c>
      <c r="F216" s="467"/>
      <c r="H216" s="1"/>
      <c r="I216" s="759"/>
      <c r="J216" s="759"/>
      <c r="K216" s="1"/>
      <c r="L216" s="1"/>
      <c r="O216" s="739"/>
    </row>
    <row r="217" spans="1:15">
      <c r="A217" s="770"/>
      <c r="B217" s="746"/>
      <c r="C217" s="1"/>
      <c r="E217" s="467"/>
      <c r="F217" s="467"/>
      <c r="H217" s="1"/>
      <c r="I217" s="1"/>
      <c r="J217" s="1"/>
      <c r="K217" s="1"/>
      <c r="L217" s="1"/>
      <c r="O217" s="739"/>
    </row>
    <row r="218" spans="1:15">
      <c r="A218" s="770"/>
      <c r="B218" s="746"/>
      <c r="C218" s="781" t="s">
        <v>868</v>
      </c>
      <c r="D218" s="782"/>
      <c r="E218" s="782"/>
      <c r="F218" s="782"/>
      <c r="G218" s="782"/>
      <c r="H218" s="782"/>
      <c r="I218" s="783"/>
      <c r="J218" s="782"/>
      <c r="K218" s="782"/>
      <c r="L218" s="782"/>
      <c r="M218" s="784"/>
      <c r="O218" s="739"/>
    </row>
    <row r="219" spans="1:15">
      <c r="A219" s="770"/>
      <c r="B219" s="746"/>
      <c r="C219" s="782" t="s">
        <v>869</v>
      </c>
      <c r="D219" s="782" t="s">
        <v>870</v>
      </c>
      <c r="E219" s="782" t="s">
        <v>871</v>
      </c>
      <c r="F219" s="782" t="s">
        <v>872</v>
      </c>
      <c r="G219" s="782" t="s">
        <v>873</v>
      </c>
      <c r="H219" s="782" t="s">
        <v>874</v>
      </c>
      <c r="I219" s="783" t="s">
        <v>875</v>
      </c>
      <c r="J219" s="782" t="s">
        <v>876</v>
      </c>
      <c r="K219" s="782" t="s">
        <v>877</v>
      </c>
      <c r="L219" s="782" t="s">
        <v>878</v>
      </c>
      <c r="M219" s="784"/>
      <c r="O219" s="739"/>
    </row>
    <row r="220" spans="1:15">
      <c r="A220" s="770"/>
      <c r="B220" s="746"/>
      <c r="C220" s="467" t="s">
        <v>879</v>
      </c>
      <c r="E220" s="467"/>
      <c r="F220" s="467"/>
      <c r="H220" s="1"/>
      <c r="I220" s="759"/>
      <c r="J220" s="759"/>
      <c r="K220" s="1"/>
      <c r="L220" s="1"/>
      <c r="O220" s="739"/>
    </row>
    <row r="221" spans="1:15">
      <c r="A221" s="770"/>
      <c r="B221" s="746"/>
      <c r="O221" s="739"/>
    </row>
    <row r="222" spans="1:15">
      <c r="A222" s="770"/>
      <c r="B222" s="746"/>
      <c r="C222" s="779" t="s">
        <v>880</v>
      </c>
      <c r="E222" s="467"/>
      <c r="F222" s="467"/>
      <c r="H222" s="1"/>
      <c r="I222" s="759"/>
      <c r="J222" s="759"/>
      <c r="K222" s="1"/>
      <c r="L222" s="1"/>
      <c r="N222"/>
      <c r="O222" s="739"/>
    </row>
    <row r="223" spans="1:15">
      <c r="A223" s="770"/>
      <c r="B223" s="746"/>
      <c r="C223" t="s">
        <v>881</v>
      </c>
      <c r="D223" t="s">
        <v>882</v>
      </c>
      <c r="E223" t="s">
        <v>883</v>
      </c>
      <c r="F223" t="s">
        <v>884</v>
      </c>
      <c r="G223" t="s">
        <v>885</v>
      </c>
      <c r="H223" t="s">
        <v>886</v>
      </c>
      <c r="I223" t="s">
        <v>887</v>
      </c>
      <c r="J223" t="s">
        <v>888</v>
      </c>
      <c r="K223" t="s">
        <v>889</v>
      </c>
      <c r="L223" t="s">
        <v>890</v>
      </c>
      <c r="M223" t="s">
        <v>891</v>
      </c>
      <c r="O223" s="739"/>
    </row>
    <row r="224" spans="1:15">
      <c r="A224" s="770"/>
      <c r="B224" s="746"/>
      <c r="C224" s="1"/>
      <c r="E224" s="467"/>
      <c r="F224" s="467"/>
      <c r="H224" s="1"/>
      <c r="I224" s="1"/>
      <c r="J224" s="1"/>
      <c r="K224" s="1"/>
      <c r="L224" s="1"/>
      <c r="N224" s="70"/>
      <c r="O224" s="739"/>
    </row>
    <row r="225" spans="1:15" ht="15.75" thickBot="1">
      <c r="A225" s="770"/>
      <c r="B225" s="785"/>
      <c r="C225" s="785"/>
      <c r="D225" s="785"/>
      <c r="E225" s="785"/>
      <c r="F225" s="785"/>
      <c r="G225" s="785"/>
      <c r="H225" s="786"/>
      <c r="I225" s="786"/>
      <c r="J225" s="786"/>
      <c r="K225" s="786"/>
      <c r="L225" s="786"/>
      <c r="M225" s="786"/>
      <c r="N225" s="786"/>
      <c r="O225" s="752"/>
    </row>
    <row r="226" spans="1:15">
      <c r="B226" s="1"/>
      <c r="C226" s="4"/>
      <c r="E226" s="1"/>
      <c r="F226" s="3"/>
      <c r="G226" s="5"/>
      <c r="I226" s="3"/>
      <c r="J226" s="6"/>
      <c r="K226" s="1"/>
      <c r="L226" s="1"/>
      <c r="M226" s="2"/>
      <c r="N226" s="2"/>
    </row>
    <row r="227" spans="1:15">
      <c r="B227" s="4"/>
      <c r="C227" s="1"/>
      <c r="E227" s="3"/>
      <c r="F227" s="5"/>
      <c r="G227" s="3"/>
      <c r="I227" s="6"/>
      <c r="J227" s="1"/>
      <c r="K227" s="1"/>
      <c r="L227" s="2"/>
      <c r="M227" s="2"/>
      <c r="N227" s="2"/>
    </row>
  </sheetData>
  <mergeCells count="16">
    <mergeCell ref="B94:B96"/>
    <mergeCell ref="B97:B101"/>
    <mergeCell ref="B105:B106"/>
    <mergeCell ref="B149:I149"/>
    <mergeCell ref="B55:F55"/>
    <mergeCell ref="O55:V55"/>
    <mergeCell ref="Z55:AD55"/>
    <mergeCell ref="AE55:AH55"/>
    <mergeCell ref="O73:P73"/>
    <mergeCell ref="Z73:AC73"/>
    <mergeCell ref="B1:L1"/>
    <mergeCell ref="AB5:AM5"/>
    <mergeCell ref="AB7:AE7"/>
    <mergeCell ref="AH7:AL7"/>
    <mergeCell ref="Z54:AD54"/>
    <mergeCell ref="AE54:AH54"/>
  </mergeCells>
  <conditionalFormatting sqref="AM11:AM51">
    <cfRule type="cellIs" dxfId="49" priority="2" operator="equal">
      <formula>"YES"</formula>
    </cfRule>
  </conditionalFormatting>
  <conditionalFormatting sqref="AB11:AF51">
    <cfRule type="containsText" dxfId="48" priority="1" operator="containsText" text="YES">
      <formula>NOT(ISERROR(SEARCH("YES",AB11)))</formula>
    </cfRule>
  </conditionalFormatting>
  <dataValidations count="1">
    <dataValidation type="textLength" operator="greaterThan" showInputMessage="1" showErrorMessage="1" sqref="Q21:Q22 O21:O22">
      <formula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sheetPr>
  <dimension ref="A1:AQ163"/>
  <sheetViews>
    <sheetView showGridLines="0" topLeftCell="A21" zoomScaleNormal="100" workbookViewId="0">
      <selection activeCell="C62" sqref="C62"/>
    </sheetView>
  </sheetViews>
  <sheetFormatPr defaultColWidth="9.140625" defaultRowHeight="15"/>
  <cols>
    <col min="1" max="1" width="36.28515625" style="787" customWidth="1"/>
    <col min="2" max="2" width="44.5703125" style="197" customWidth="1"/>
    <col min="3" max="3" width="24.140625" style="197" customWidth="1"/>
    <col min="4" max="4" width="33.42578125" style="197" customWidth="1"/>
    <col min="5" max="7" width="17.28515625" style="197" customWidth="1"/>
    <col min="8" max="9" width="13.28515625" style="197" customWidth="1"/>
    <col min="10" max="14" width="13.7109375" style="196" customWidth="1"/>
    <col min="15" max="15" width="49" style="218" customWidth="1"/>
    <col min="16" max="19" width="13.7109375" style="196" customWidth="1"/>
    <col min="20" max="20" width="13.7109375" style="197" customWidth="1"/>
    <col min="21" max="22" width="17.28515625" style="197" customWidth="1"/>
    <col min="23" max="24" width="13.28515625" style="197" customWidth="1"/>
    <col min="25" max="39" width="9.140625" style="197"/>
    <col min="40" max="40" width="37" style="197" customWidth="1"/>
    <col min="41" max="16384" width="9.140625" style="197"/>
  </cols>
  <sheetData>
    <row r="1" spans="2:43" ht="24" customHeight="1">
      <c r="B1" s="194" t="str">
        <f>IF(dms_DataQuality="backcast",INDEX(dms_Worksheet_List,MATCH(dms_Model,dms_Model_List))&amp;" BACKCAST",INDEX(dms_Worksheet_List,MATCH(dms_Model,dms_Model_List)))</f>
        <v>REGULATORY REPORTING STATEMENT</v>
      </c>
      <c r="C1" s="195"/>
      <c r="D1" s="195"/>
      <c r="E1" s="195"/>
      <c r="F1" s="195"/>
      <c r="G1" s="195"/>
      <c r="H1" s="195"/>
      <c r="I1" s="195"/>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7"/>
      <c r="AN1" s="787"/>
      <c r="AO1" s="787"/>
      <c r="AP1" s="787"/>
      <c r="AQ1" s="787"/>
    </row>
    <row r="2" spans="2:43" ht="24" customHeight="1">
      <c r="B2" s="198" t="str">
        <f>INDEX(dms_TradingNameFull_List,MATCH(dms_TradingName,dms_TradingName_List))</f>
        <v>Directlink</v>
      </c>
      <c r="C2" s="195"/>
      <c r="D2" s="195"/>
      <c r="E2" s="195"/>
      <c r="F2" s="195"/>
      <c r="G2" s="195"/>
      <c r="H2" s="195"/>
      <c r="I2" s="195"/>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7"/>
    </row>
    <row r="3" spans="2:43" ht="24" customHeight="1">
      <c r="B3" s="198" t="str">
        <f ca="1">IF(SUM(dms_SingleYear_Model)&gt;0,CONCATENATE(CRY),CONCATENATE(FRCP_y1," to ",dms_MultiYear_FinalYear_Result))</f>
        <v>2020-21 to 2024-25</v>
      </c>
      <c r="C3" s="199"/>
      <c r="D3" s="200"/>
      <c r="E3" s="200"/>
      <c r="F3" s="200"/>
      <c r="G3" s="200"/>
      <c r="H3" s="200"/>
      <c r="I3" s="200"/>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7"/>
      <c r="AQ3" s="787"/>
    </row>
    <row r="4" spans="2:43" ht="24" customHeight="1">
      <c r="B4" s="201" t="s">
        <v>561</v>
      </c>
      <c r="C4" s="201"/>
      <c r="D4" s="201"/>
      <c r="E4" s="201"/>
      <c r="F4" s="201"/>
      <c r="G4" s="201"/>
      <c r="H4" s="201"/>
      <c r="I4" s="201"/>
      <c r="M4" s="787"/>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M4" s="787"/>
      <c r="AN4" s="787"/>
      <c r="AO4" s="787"/>
      <c r="AP4" s="787"/>
      <c r="AQ4" s="787"/>
    </row>
    <row r="5" spans="2:43">
      <c r="B5" s="202"/>
      <c r="M5" s="787"/>
      <c r="N5" s="787"/>
      <c r="O5" s="787"/>
      <c r="P5" s="787"/>
      <c r="Q5" s="787"/>
      <c r="R5" s="787"/>
      <c r="S5" s="787"/>
      <c r="T5" s="787"/>
      <c r="U5" s="787"/>
      <c r="V5" s="787"/>
      <c r="W5" s="787"/>
      <c r="X5" s="787"/>
      <c r="Y5" s="787"/>
      <c r="Z5" s="787"/>
      <c r="AA5" s="787"/>
      <c r="AB5" s="787"/>
      <c r="AC5" s="787"/>
      <c r="AD5" s="787"/>
      <c r="AE5" s="787"/>
      <c r="AF5" s="787"/>
      <c r="AG5" s="787"/>
      <c r="AH5" s="787"/>
      <c r="AI5" s="787"/>
      <c r="AJ5" s="787"/>
      <c r="AK5" s="787"/>
      <c r="AL5" s="787"/>
      <c r="AM5" s="787"/>
      <c r="AN5" s="787"/>
      <c r="AO5" s="787"/>
      <c r="AP5" s="787"/>
      <c r="AQ5" s="787"/>
    </row>
    <row r="6" spans="2:43">
      <c r="B6" s="202"/>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row>
    <row r="7" spans="2:43">
      <c r="B7" s="203" t="s">
        <v>562</v>
      </c>
      <c r="C7" s="204"/>
      <c r="D7" s="204"/>
      <c r="E7" s="204"/>
      <c r="F7" s="204"/>
      <c r="G7" s="204"/>
      <c r="H7" s="204"/>
      <c r="I7" s="204"/>
      <c r="M7" s="787"/>
      <c r="N7" s="787"/>
      <c r="O7" s="787"/>
      <c r="P7" s="787"/>
      <c r="Q7" s="787"/>
      <c r="R7" s="787"/>
      <c r="S7" s="787"/>
      <c r="T7" s="787"/>
      <c r="U7" s="787"/>
      <c r="V7" s="787"/>
      <c r="W7" s="787"/>
      <c r="X7" s="787"/>
      <c r="Y7" s="787"/>
      <c r="Z7" s="787"/>
      <c r="AA7" s="787"/>
      <c r="AB7" s="787"/>
      <c r="AC7" s="787"/>
      <c r="AD7" s="787"/>
      <c r="AE7" s="787"/>
      <c r="AF7" s="787"/>
      <c r="AG7" s="787"/>
      <c r="AH7" s="787"/>
      <c r="AI7" s="787"/>
      <c r="AJ7" s="787"/>
      <c r="AK7" s="787"/>
      <c r="AL7" s="787"/>
      <c r="AM7" s="787"/>
      <c r="AN7" s="787"/>
      <c r="AO7" s="787"/>
      <c r="AP7" s="787"/>
      <c r="AQ7" s="787"/>
    </row>
    <row r="8" spans="2:43" ht="38.25" customHeight="1">
      <c r="B8" s="1180" t="s">
        <v>892</v>
      </c>
      <c r="C8" s="1181"/>
      <c r="D8" s="1180"/>
      <c r="E8" s="1180"/>
      <c r="F8" s="1180"/>
      <c r="G8" s="1180"/>
      <c r="H8" s="1180"/>
      <c r="I8" s="1180"/>
      <c r="M8" s="787"/>
      <c r="N8" s="787"/>
      <c r="O8" s="787"/>
      <c r="P8" s="787"/>
      <c r="Q8" s="787"/>
      <c r="R8" s="787"/>
      <c r="S8" s="787"/>
      <c r="T8" s="787"/>
      <c r="U8" s="787"/>
      <c r="V8" s="787"/>
      <c r="W8" s="787"/>
      <c r="X8" s="787"/>
      <c r="Y8" s="787"/>
      <c r="Z8" s="787"/>
      <c r="AA8" s="787"/>
      <c r="AB8" s="787"/>
      <c r="AC8" s="787"/>
      <c r="AD8" s="787"/>
      <c r="AE8" s="787"/>
      <c r="AF8" s="787"/>
      <c r="AG8" s="787"/>
      <c r="AH8" s="787"/>
      <c r="AI8" s="787"/>
      <c r="AJ8" s="787"/>
      <c r="AK8" s="787"/>
      <c r="AL8" s="787"/>
      <c r="AM8" s="787"/>
      <c r="AN8" s="787"/>
      <c r="AO8" s="787"/>
      <c r="AP8" s="787"/>
      <c r="AQ8" s="787"/>
    </row>
    <row r="9" spans="2:43">
      <c r="B9" s="205"/>
      <c r="C9" s="206"/>
      <c r="D9" s="206"/>
      <c r="E9" s="206"/>
      <c r="F9" s="206"/>
      <c r="G9" s="206"/>
      <c r="H9" s="206"/>
      <c r="I9" s="206"/>
      <c r="M9" s="787"/>
      <c r="N9" s="787"/>
      <c r="O9" s="787"/>
      <c r="P9" s="787"/>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row>
    <row r="10" spans="2:43" ht="15.75">
      <c r="B10" s="207" t="s">
        <v>563</v>
      </c>
      <c r="C10" s="207"/>
      <c r="D10" s="207"/>
      <c r="E10" s="207"/>
      <c r="F10" s="207"/>
      <c r="G10" s="207"/>
      <c r="H10" s="207"/>
      <c r="I10" s="207"/>
      <c r="M10" s="787"/>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K10" s="787"/>
      <c r="AL10" s="787"/>
      <c r="AM10" s="787"/>
      <c r="AN10" s="787"/>
      <c r="AO10" s="787"/>
      <c r="AP10" s="787"/>
      <c r="AQ10" s="787"/>
    </row>
    <row r="11" spans="2:43" ht="15.75" thickBot="1">
      <c r="B11" s="208"/>
      <c r="C11" s="208"/>
      <c r="D11" s="208"/>
      <c r="E11" s="208"/>
      <c r="F11" s="208"/>
      <c r="G11" s="208"/>
      <c r="H11" s="208"/>
      <c r="I11" s="208"/>
      <c r="M11" s="787"/>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K11" s="787"/>
      <c r="AL11" s="787"/>
      <c r="AM11" s="787"/>
      <c r="AN11" s="787"/>
      <c r="AO11" s="787"/>
      <c r="AP11" s="787"/>
      <c r="AQ11" s="787"/>
    </row>
    <row r="12" spans="2:43" ht="20.25">
      <c r="B12" s="1182" t="s">
        <v>564</v>
      </c>
      <c r="C12" s="1183"/>
      <c r="D12" s="1183"/>
      <c r="E12" s="1183"/>
      <c r="F12" s="1183"/>
      <c r="G12" s="1183"/>
      <c r="H12" s="1183"/>
      <c r="I12" s="1184"/>
      <c r="M12" s="787"/>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7"/>
      <c r="AK12" s="787"/>
      <c r="AL12" s="787"/>
      <c r="AM12" s="787"/>
      <c r="AN12" s="787"/>
      <c r="AO12" s="787"/>
      <c r="AP12" s="787"/>
      <c r="AQ12" s="787"/>
    </row>
    <row r="13" spans="2:43" ht="20.25">
      <c r="B13" s="788"/>
      <c r="C13" s="789"/>
      <c r="D13" s="789"/>
      <c r="E13" s="790"/>
      <c r="F13" s="790"/>
      <c r="G13" s="790"/>
      <c r="H13" s="790"/>
      <c r="I13" s="791"/>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7"/>
      <c r="AN13" s="787"/>
      <c r="AO13" s="787"/>
      <c r="AP13" s="787"/>
      <c r="AQ13" s="787"/>
    </row>
    <row r="14" spans="2:43" ht="15.75">
      <c r="B14" s="792" t="s">
        <v>565</v>
      </c>
      <c r="C14" s="1185" t="s">
        <v>139</v>
      </c>
      <c r="D14" s="1186"/>
      <c r="E14" s="1186"/>
      <c r="F14" s="793" t="s">
        <v>566</v>
      </c>
      <c r="G14" s="790"/>
      <c r="H14" s="790"/>
      <c r="I14" s="791"/>
      <c r="M14" s="787"/>
      <c r="N14" s="787"/>
      <c r="O14" s="787"/>
      <c r="P14" s="787"/>
      <c r="Q14" s="787"/>
      <c r="R14" s="787"/>
      <c r="S14" s="787"/>
      <c r="T14" s="787"/>
      <c r="U14" s="787"/>
      <c r="V14" s="787"/>
      <c r="W14" s="787"/>
      <c r="X14" s="787"/>
      <c r="Y14" s="787"/>
      <c r="Z14" s="787"/>
      <c r="AA14" s="787"/>
      <c r="AB14" s="787"/>
      <c r="AC14" s="787"/>
      <c r="AD14" s="787"/>
      <c r="AE14" s="787"/>
      <c r="AF14" s="787"/>
      <c r="AG14" s="787"/>
      <c r="AH14" s="787"/>
      <c r="AI14" s="787"/>
      <c r="AJ14" s="787"/>
      <c r="AK14" s="787"/>
      <c r="AL14" s="787"/>
      <c r="AM14" s="787"/>
      <c r="AN14" s="787"/>
      <c r="AO14" s="787"/>
      <c r="AP14" s="787"/>
      <c r="AQ14" s="787"/>
    </row>
    <row r="15" spans="2:43">
      <c r="B15" s="794" t="s">
        <v>567</v>
      </c>
      <c r="C15" s="1187">
        <f>INDEX(dms_ABN_List,MATCH(dms_TradingName,dms_TradingName_List))</f>
        <v>16779340889</v>
      </c>
      <c r="D15" s="1187"/>
      <c r="E15" s="1187"/>
      <c r="F15" s="795"/>
      <c r="G15" s="795"/>
      <c r="H15" s="795"/>
      <c r="I15" s="791"/>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7"/>
      <c r="AM15" s="787"/>
      <c r="AN15" s="787"/>
      <c r="AO15" s="787"/>
      <c r="AP15" s="787"/>
      <c r="AQ15" s="787"/>
    </row>
    <row r="16" spans="2:43" ht="15.75" thickBot="1">
      <c r="B16" s="796"/>
      <c r="C16" s="797"/>
      <c r="D16" s="797"/>
      <c r="E16" s="797"/>
      <c r="F16" s="798"/>
      <c r="G16" s="798"/>
      <c r="H16" s="798"/>
      <c r="I16" s="799"/>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7"/>
      <c r="AK16" s="787"/>
      <c r="AL16" s="787"/>
      <c r="AM16" s="787"/>
      <c r="AN16" s="787"/>
      <c r="AO16" s="787"/>
      <c r="AP16" s="787"/>
      <c r="AQ16" s="787"/>
    </row>
    <row r="17" spans="2:43" ht="29.25" customHeight="1">
      <c r="B17" s="800"/>
      <c r="C17" s="801"/>
      <c r="D17" s="801"/>
      <c r="E17" s="801"/>
      <c r="F17" s="802"/>
      <c r="G17" s="802"/>
      <c r="H17" s="802"/>
      <c r="I17" s="803"/>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87"/>
      <c r="AM17" s="787"/>
      <c r="AN17" s="787"/>
      <c r="AO17" s="787"/>
      <c r="AP17" s="787"/>
      <c r="AQ17" s="787"/>
    </row>
    <row r="18" spans="2:43">
      <c r="B18" s="792" t="s">
        <v>568</v>
      </c>
      <c r="C18" s="1188" t="s">
        <v>569</v>
      </c>
      <c r="D18" s="1189"/>
      <c r="E18" s="1190" t="s">
        <v>1021</v>
      </c>
      <c r="F18" s="1191"/>
      <c r="G18" s="1191"/>
      <c r="H18" s="1192"/>
      <c r="I18" s="804"/>
      <c r="M18" s="787"/>
      <c r="N18" s="787"/>
      <c r="O18" s="787"/>
      <c r="P18" s="787"/>
      <c r="Q18" s="787"/>
      <c r="R18" s="787"/>
      <c r="S18" s="787"/>
      <c r="T18" s="787"/>
      <c r="U18" s="787"/>
      <c r="V18" s="787"/>
      <c r="W18" s="787"/>
      <c r="X18" s="787"/>
      <c r="Y18" s="787"/>
      <c r="Z18" s="787"/>
      <c r="AA18" s="787"/>
      <c r="AB18" s="787"/>
      <c r="AC18" s="787"/>
      <c r="AD18" s="787"/>
      <c r="AE18" s="787"/>
      <c r="AF18" s="787"/>
      <c r="AG18" s="787"/>
      <c r="AH18" s="787"/>
      <c r="AI18" s="787"/>
      <c r="AJ18" s="787"/>
      <c r="AK18" s="787"/>
      <c r="AL18" s="787"/>
      <c r="AM18" s="787"/>
      <c r="AN18" s="787"/>
      <c r="AO18" s="787"/>
      <c r="AP18" s="787"/>
      <c r="AQ18" s="787"/>
    </row>
    <row r="19" spans="2:43">
      <c r="B19" s="805"/>
      <c r="C19" s="806"/>
      <c r="D19" s="806" t="s">
        <v>570</v>
      </c>
      <c r="E19" s="1185" t="str">
        <f>IF(ISBLANK(INDEX(dms_Addr2_List,MATCH(dms_TradingName,dms_TradingName_List))),"",(INDEX(dms_Addr2_List,MATCH(dms_TradingName,dms_TradingName_List))))</f>
        <v>580 George Street</v>
      </c>
      <c r="F19" s="1186"/>
      <c r="G19" s="1186"/>
      <c r="H19" s="1196"/>
      <c r="I19" s="804"/>
      <c r="M19" s="787"/>
      <c r="N19" s="787"/>
      <c r="O19" s="787"/>
      <c r="P19" s="787"/>
      <c r="Q19" s="787"/>
      <c r="R19" s="787"/>
      <c r="S19" s="787"/>
      <c r="T19" s="787"/>
      <c r="U19" s="787"/>
      <c r="V19" s="787"/>
      <c r="W19" s="787"/>
      <c r="X19" s="787"/>
      <c r="Y19" s="787"/>
      <c r="Z19" s="787"/>
      <c r="AA19" s="787"/>
      <c r="AB19" s="787"/>
      <c r="AC19" s="787"/>
      <c r="AD19" s="787"/>
      <c r="AE19" s="787"/>
      <c r="AF19" s="787"/>
      <c r="AG19" s="787"/>
      <c r="AH19" s="787"/>
      <c r="AI19" s="787"/>
      <c r="AJ19" s="787"/>
      <c r="AK19" s="787"/>
      <c r="AL19" s="787"/>
      <c r="AM19" s="787"/>
      <c r="AN19" s="787"/>
      <c r="AO19" s="787"/>
      <c r="AP19" s="787"/>
      <c r="AQ19" s="787"/>
    </row>
    <row r="20" spans="2:43">
      <c r="B20" s="805"/>
      <c r="C20" s="1188" t="s">
        <v>571</v>
      </c>
      <c r="D20" s="1189"/>
      <c r="E20" s="1185" t="str">
        <f>INDEX(dms_Suburb_List,MATCH(dms_TradingName,dms_TradingName_List))</f>
        <v>SYDNEY</v>
      </c>
      <c r="F20" s="1186"/>
      <c r="G20" s="1186"/>
      <c r="H20" s="1196"/>
      <c r="I20" s="804"/>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787"/>
      <c r="AK20" s="787"/>
      <c r="AL20" s="787"/>
      <c r="AM20" s="787"/>
      <c r="AN20" s="787"/>
      <c r="AO20" s="787"/>
      <c r="AP20" s="787"/>
      <c r="AQ20" s="787"/>
    </row>
    <row r="21" spans="2:43">
      <c r="B21" s="805"/>
      <c r="C21" s="807"/>
      <c r="D21" s="806" t="s">
        <v>572</v>
      </c>
      <c r="E21" s="209" t="str">
        <f>INDEX(dms_State_List,MATCH(dms_TradingName,dms_TradingName_List))</f>
        <v>NSW</v>
      </c>
      <c r="F21" s="806" t="s">
        <v>573</v>
      </c>
      <c r="G21" s="210">
        <f>INDEX(dms_PostCode_List,MATCH(dms_TradingName,dms_TradingName_List))</f>
        <v>2000</v>
      </c>
      <c r="H21" s="790"/>
      <c r="I21" s="791"/>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7"/>
      <c r="AL21" s="787"/>
      <c r="AM21" s="787"/>
      <c r="AN21" s="787"/>
      <c r="AO21" s="787"/>
      <c r="AP21" s="787"/>
      <c r="AQ21" s="787"/>
    </row>
    <row r="22" spans="2:43">
      <c r="B22" s="805"/>
      <c r="C22" s="807"/>
      <c r="D22" s="807"/>
      <c r="E22" s="807"/>
      <c r="F22" s="790"/>
      <c r="G22" s="807"/>
      <c r="H22" s="790"/>
      <c r="I22" s="791"/>
      <c r="M22" s="787"/>
      <c r="N22" s="787"/>
      <c r="O22" s="787"/>
      <c r="P22" s="787"/>
      <c r="Q22" s="787"/>
      <c r="R22" s="787"/>
      <c r="S22" s="787"/>
      <c r="T22" s="787"/>
      <c r="U22" s="787"/>
      <c r="V22" s="787"/>
      <c r="W22" s="787"/>
      <c r="X22" s="787"/>
      <c r="Y22" s="787"/>
      <c r="Z22" s="787"/>
      <c r="AA22" s="787"/>
      <c r="AB22" s="787"/>
      <c r="AC22" s="787"/>
      <c r="AD22" s="787"/>
      <c r="AE22" s="787"/>
      <c r="AF22" s="787"/>
      <c r="AG22" s="787"/>
      <c r="AH22" s="787"/>
      <c r="AI22" s="787"/>
      <c r="AJ22" s="787"/>
      <c r="AK22" s="787"/>
      <c r="AL22" s="787"/>
      <c r="AM22" s="787"/>
      <c r="AN22" s="787"/>
      <c r="AO22" s="787"/>
      <c r="AP22" s="787"/>
      <c r="AQ22" s="787"/>
    </row>
    <row r="23" spans="2:43">
      <c r="B23" s="792" t="s">
        <v>574</v>
      </c>
      <c r="C23" s="1188" t="s">
        <v>569</v>
      </c>
      <c r="D23" s="1189"/>
      <c r="E23" s="1190" t="str">
        <f>INDEX(dms_PAddr1_List,MATCH(dms_TradingName,dms_TradingName_List))</f>
        <v>PO Box R41</v>
      </c>
      <c r="F23" s="1191"/>
      <c r="G23" s="1191"/>
      <c r="H23" s="1192"/>
      <c r="I23" s="808"/>
      <c r="M23" s="787"/>
      <c r="N23" s="787"/>
      <c r="O23" s="787"/>
      <c r="P23" s="787"/>
      <c r="Q23" s="787"/>
      <c r="R23" s="787"/>
      <c r="S23" s="787"/>
      <c r="T23" s="787"/>
      <c r="U23" s="787"/>
      <c r="V23" s="787"/>
      <c r="W23" s="787"/>
      <c r="X23" s="787"/>
      <c r="Y23" s="787"/>
      <c r="Z23" s="787"/>
      <c r="AA23" s="787"/>
      <c r="AB23" s="787"/>
      <c r="AC23" s="787"/>
      <c r="AD23" s="787"/>
      <c r="AE23" s="787"/>
      <c r="AF23" s="787"/>
      <c r="AG23" s="787"/>
      <c r="AH23" s="787"/>
      <c r="AI23" s="787"/>
      <c r="AJ23" s="787"/>
      <c r="AK23" s="787"/>
      <c r="AL23" s="787"/>
      <c r="AM23" s="787"/>
      <c r="AN23" s="787"/>
      <c r="AO23" s="787"/>
      <c r="AP23" s="787"/>
      <c r="AQ23" s="787"/>
    </row>
    <row r="24" spans="2:43">
      <c r="B24" s="805"/>
      <c r="C24" s="806"/>
      <c r="D24" s="806" t="s">
        <v>570</v>
      </c>
      <c r="E24" s="1197" t="str">
        <f>IF(ISBLANK(INDEX(dms_PAddr2_List,MATCH(dms_TradingName,dms_TradingName_List))),"",(INDEX(dms_PAddr2_List,MATCH(dms_TradingName,dms_TradingName_List))))</f>
        <v/>
      </c>
      <c r="F24" s="1198"/>
      <c r="G24" s="1198"/>
      <c r="H24" s="1199"/>
      <c r="I24" s="808"/>
      <c r="M24" s="787"/>
      <c r="N24" s="787"/>
      <c r="O24" s="787"/>
      <c r="P24" s="787"/>
      <c r="Q24" s="787"/>
      <c r="R24" s="787"/>
      <c r="S24" s="787"/>
      <c r="T24" s="787"/>
      <c r="U24" s="787"/>
      <c r="V24" s="787"/>
      <c r="W24" s="787"/>
      <c r="X24" s="787"/>
      <c r="Y24" s="787"/>
      <c r="Z24" s="787"/>
      <c r="AA24" s="787"/>
      <c r="AB24" s="787"/>
      <c r="AC24" s="787"/>
      <c r="AD24" s="787"/>
      <c r="AE24" s="787"/>
      <c r="AF24" s="787"/>
      <c r="AG24" s="787"/>
      <c r="AH24" s="787"/>
      <c r="AI24" s="787"/>
      <c r="AJ24" s="787"/>
      <c r="AK24" s="787"/>
      <c r="AL24" s="787"/>
      <c r="AM24" s="787"/>
      <c r="AN24" s="787"/>
      <c r="AO24" s="787"/>
      <c r="AP24" s="787"/>
      <c r="AQ24" s="787"/>
    </row>
    <row r="25" spans="2:43">
      <c r="B25" s="805"/>
      <c r="C25" s="1188" t="s">
        <v>571</v>
      </c>
      <c r="D25" s="1189"/>
      <c r="E25" s="1200" t="str">
        <f>INDEX(dms_PSuburb_List,MATCH(dms_TradingName,dms_TradingName_List))</f>
        <v>ROYAL EXCHANGE</v>
      </c>
      <c r="F25" s="1201"/>
      <c r="G25" s="1201"/>
      <c r="H25" s="1202"/>
      <c r="I25" s="808"/>
      <c r="M25" s="787"/>
      <c r="N25" s="787"/>
      <c r="O25" s="787"/>
      <c r="P25" s="787"/>
      <c r="Q25" s="787"/>
      <c r="R25" s="787"/>
      <c r="S25" s="787"/>
      <c r="T25" s="787"/>
      <c r="U25" s="787"/>
      <c r="V25" s="787"/>
      <c r="W25" s="787"/>
      <c r="X25" s="787"/>
      <c r="Y25" s="787"/>
      <c r="Z25" s="787"/>
      <c r="AA25" s="787"/>
      <c r="AB25" s="787"/>
      <c r="AC25" s="787"/>
      <c r="AD25" s="787"/>
      <c r="AE25" s="787"/>
      <c r="AF25" s="787"/>
      <c r="AG25" s="787"/>
      <c r="AH25" s="787"/>
      <c r="AI25" s="787"/>
      <c r="AJ25" s="787"/>
      <c r="AK25" s="787"/>
      <c r="AL25" s="787"/>
      <c r="AM25" s="787"/>
      <c r="AN25" s="787"/>
      <c r="AO25" s="787"/>
      <c r="AP25" s="787"/>
      <c r="AQ25" s="787"/>
    </row>
    <row r="26" spans="2:43">
      <c r="B26" s="809"/>
      <c r="C26" s="807"/>
      <c r="D26" s="806" t="s">
        <v>572</v>
      </c>
      <c r="E26" s="210" t="str">
        <f>INDEX(dms_PState_List,MATCH(dms_TradingName,dms_TradingName_List))</f>
        <v>NSW</v>
      </c>
      <c r="F26" s="806" t="s">
        <v>573</v>
      </c>
      <c r="G26" s="210">
        <f>INDEX(dms_PPostCode_List,MATCH(dms_TradingName,dms_TradingName_List))</f>
        <v>1225</v>
      </c>
      <c r="H26" s="790"/>
      <c r="I26" s="791"/>
      <c r="M26" s="787"/>
      <c r="N26" s="787"/>
      <c r="O26" s="787"/>
      <c r="P26" s="787"/>
      <c r="Q26" s="787"/>
      <c r="R26" s="787"/>
      <c r="S26" s="787"/>
      <c r="T26" s="787"/>
      <c r="U26" s="787"/>
      <c r="V26" s="787"/>
      <c r="W26" s="787"/>
      <c r="X26" s="787"/>
      <c r="Y26" s="787"/>
      <c r="Z26" s="787"/>
      <c r="AA26" s="787"/>
      <c r="AB26" s="787"/>
      <c r="AC26" s="787"/>
      <c r="AD26" s="787"/>
      <c r="AE26" s="787"/>
      <c r="AF26" s="787"/>
      <c r="AG26" s="787"/>
      <c r="AH26" s="787"/>
      <c r="AI26" s="787"/>
      <c r="AJ26" s="787"/>
      <c r="AK26" s="787"/>
      <c r="AL26" s="787"/>
      <c r="AM26" s="787"/>
      <c r="AN26" s="787"/>
      <c r="AO26" s="787"/>
      <c r="AP26" s="787"/>
      <c r="AQ26" s="787"/>
    </row>
    <row r="27" spans="2:43">
      <c r="B27" s="810"/>
      <c r="C27" s="811"/>
      <c r="D27" s="811"/>
      <c r="E27" s="811"/>
      <c r="F27" s="812"/>
      <c r="G27" s="812"/>
      <c r="H27" s="812"/>
      <c r="I27" s="813"/>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row>
    <row r="28" spans="2:43">
      <c r="B28" s="809"/>
      <c r="C28" s="814"/>
      <c r="D28" s="814"/>
      <c r="E28" s="814"/>
      <c r="F28" s="790"/>
      <c r="G28" s="790"/>
      <c r="H28" s="790"/>
      <c r="I28" s="791"/>
      <c r="M28" s="787"/>
      <c r="N28" s="787"/>
      <c r="O28" s="787"/>
      <c r="P28" s="787"/>
      <c r="Q28" s="787"/>
      <c r="R28" s="787"/>
      <c r="S28" s="787"/>
      <c r="T28" s="787"/>
      <c r="U28" s="787"/>
      <c r="V28" s="787"/>
      <c r="W28" s="787"/>
      <c r="X28" s="787"/>
      <c r="Y28" s="787"/>
      <c r="Z28" s="787"/>
      <c r="AA28" s="787"/>
      <c r="AB28" s="787"/>
      <c r="AC28" s="787"/>
      <c r="AD28" s="787"/>
      <c r="AE28" s="787"/>
      <c r="AF28" s="787"/>
      <c r="AG28" s="787"/>
      <c r="AH28" s="787"/>
      <c r="AI28" s="787"/>
      <c r="AJ28" s="787"/>
      <c r="AK28" s="787"/>
      <c r="AL28" s="787"/>
      <c r="AM28" s="787"/>
      <c r="AN28" s="787"/>
      <c r="AO28" s="787"/>
      <c r="AP28" s="787"/>
      <c r="AQ28" s="787"/>
    </row>
    <row r="29" spans="2:43">
      <c r="B29" s="815" t="s">
        <v>575</v>
      </c>
      <c r="C29" s="211" t="s">
        <v>738</v>
      </c>
      <c r="D29" s="212"/>
      <c r="E29" s="816"/>
      <c r="F29" s="211"/>
      <c r="G29" s="212"/>
      <c r="H29" s="817"/>
      <c r="I29" s="818"/>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87"/>
      <c r="AK29" s="787"/>
      <c r="AL29" s="787"/>
      <c r="AM29" s="787"/>
      <c r="AN29" s="787"/>
      <c r="AO29" s="787"/>
      <c r="AP29" s="787"/>
      <c r="AQ29" s="787"/>
    </row>
    <row r="30" spans="2:43">
      <c r="B30" s="792" t="s">
        <v>576</v>
      </c>
      <c r="C30" s="211" t="s">
        <v>739</v>
      </c>
      <c r="D30" s="213"/>
      <c r="E30" s="819"/>
      <c r="F30" s="214"/>
      <c r="G30" s="213"/>
      <c r="H30" s="790"/>
      <c r="I30" s="791"/>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M30" s="787"/>
      <c r="AN30" s="787"/>
      <c r="AO30" s="787"/>
      <c r="AP30" s="787"/>
      <c r="AQ30" s="787"/>
    </row>
    <row r="31" spans="2:43">
      <c r="B31" s="792" t="s">
        <v>577</v>
      </c>
      <c r="C31" s="211" t="s">
        <v>740</v>
      </c>
      <c r="D31" s="212"/>
      <c r="E31" s="819"/>
      <c r="F31" s="215"/>
      <c r="G31" s="212"/>
      <c r="H31" s="790"/>
      <c r="I31" s="791"/>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row>
    <row r="32" spans="2:43" ht="15.75" thickBot="1">
      <c r="B32" s="796"/>
      <c r="C32" s="797"/>
      <c r="D32" s="797"/>
      <c r="E32" s="797"/>
      <c r="F32" s="798"/>
      <c r="G32" s="798"/>
      <c r="H32" s="798"/>
      <c r="I32" s="799"/>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7"/>
      <c r="AM32" s="787"/>
      <c r="AN32" s="787"/>
      <c r="AO32" s="787"/>
      <c r="AP32" s="787"/>
      <c r="AQ32" s="787"/>
    </row>
    <row r="33" spans="2:43" ht="20.25">
      <c r="B33" s="1203" t="s">
        <v>578</v>
      </c>
      <c r="C33" s="1204"/>
      <c r="D33" s="1204"/>
      <c r="E33" s="1204"/>
      <c r="F33" s="1204"/>
      <c r="G33" s="1204"/>
      <c r="H33" s="1204"/>
      <c r="I33" s="1205"/>
      <c r="M33" s="787"/>
      <c r="N33" s="787"/>
      <c r="O33" s="787"/>
      <c r="P33" s="787"/>
      <c r="Q33" s="787"/>
      <c r="R33" s="787"/>
      <c r="S33" s="787"/>
      <c r="T33" s="787"/>
      <c r="U33" s="787"/>
      <c r="V33" s="787"/>
      <c r="W33" s="787"/>
      <c r="X33" s="787"/>
      <c r="Y33" s="787"/>
      <c r="Z33" s="787"/>
      <c r="AA33" s="787"/>
      <c r="AB33" s="787"/>
      <c r="AC33" s="787"/>
      <c r="AD33" s="787"/>
      <c r="AE33" s="787"/>
      <c r="AF33" s="787"/>
      <c r="AG33" s="787"/>
      <c r="AH33" s="787"/>
      <c r="AI33" s="787"/>
      <c r="AJ33" s="787"/>
      <c r="AK33" s="787"/>
      <c r="AL33" s="787"/>
      <c r="AM33" s="787"/>
      <c r="AN33" s="787"/>
      <c r="AO33" s="787"/>
      <c r="AP33" s="787"/>
      <c r="AQ33" s="787"/>
    </row>
    <row r="34" spans="2:43" ht="15.75" thickBot="1">
      <c r="B34" s="820"/>
      <c r="C34" s="821"/>
      <c r="D34" s="821"/>
      <c r="E34" s="822"/>
      <c r="F34" s="822"/>
      <c r="G34" s="822"/>
      <c r="H34" s="822"/>
      <c r="I34" s="823"/>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row>
    <row r="35" spans="2:43" ht="15.75" thickBot="1">
      <c r="B35" s="824" t="s">
        <v>579</v>
      </c>
      <c r="C35" s="825" t="s">
        <v>501</v>
      </c>
      <c r="D35" s="826" t="str">
        <f>dms_FRCP_y2</f>
        <v>2021-22</v>
      </c>
      <c r="E35" s="827" t="str">
        <f>dms_FRCP_y3</f>
        <v>2022-23</v>
      </c>
      <c r="F35" s="827" t="str">
        <f>dms_FRCP_y4</f>
        <v>2023-24</v>
      </c>
      <c r="G35" s="827" t="str">
        <f>dms_FRCP_y5</f>
        <v>2024-25</v>
      </c>
      <c r="H35" s="828"/>
      <c r="I35" s="829"/>
      <c r="J35" s="216"/>
      <c r="K35" s="216"/>
      <c r="L35" s="216"/>
      <c r="M35" s="787"/>
      <c r="N35" s="787"/>
      <c r="O35" s="787"/>
      <c r="P35" s="787"/>
      <c r="Q35" s="787"/>
      <c r="R35" s="787"/>
      <c r="S35" s="787"/>
      <c r="T35" s="787"/>
      <c r="U35" s="787"/>
      <c r="V35" s="787"/>
      <c r="W35" s="787"/>
      <c r="X35" s="787"/>
      <c r="Y35" s="787"/>
      <c r="Z35" s="787"/>
      <c r="AA35" s="787"/>
      <c r="AB35" s="787"/>
      <c r="AC35" s="787"/>
      <c r="AD35" s="787"/>
      <c r="AE35" s="787"/>
      <c r="AF35" s="787"/>
      <c r="AG35" s="787"/>
      <c r="AH35" s="787"/>
      <c r="AI35" s="787"/>
      <c r="AJ35" s="787"/>
      <c r="AK35" s="787"/>
      <c r="AL35" s="787"/>
      <c r="AM35" s="787"/>
      <c r="AN35" s="787"/>
      <c r="AO35" s="787"/>
      <c r="AP35" s="787"/>
      <c r="AQ35" s="787"/>
    </row>
    <row r="36" spans="2:43">
      <c r="B36" s="824"/>
      <c r="C36" s="828" t="str">
        <f>dms_FRCP_y6</f>
        <v>2025-26</v>
      </c>
      <c r="D36" s="828" t="str">
        <f>dms_FRCP_y7</f>
        <v>2026-27</v>
      </c>
      <c r="E36" s="828" t="str">
        <f>dms_FRCP_y8</f>
        <v>2027-28</v>
      </c>
      <c r="F36" s="828" t="str">
        <f>dms_FRCP_y9</f>
        <v>2028-29</v>
      </c>
      <c r="G36" s="828" t="str">
        <f>dms_FRCP_y10</f>
        <v>2029-30</v>
      </c>
      <c r="H36" s="828"/>
      <c r="I36" s="829"/>
      <c r="J36" s="216"/>
      <c r="K36" s="216"/>
      <c r="L36" s="216"/>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row>
    <row r="37" spans="2:43" ht="15.75" thickBot="1">
      <c r="B37" s="830"/>
      <c r="C37" s="831"/>
      <c r="D37" s="831"/>
      <c r="E37" s="831"/>
      <c r="F37" s="832"/>
      <c r="G37" s="832"/>
      <c r="H37" s="832"/>
      <c r="I37" s="833"/>
      <c r="M37" s="787"/>
      <c r="N37" s="787"/>
      <c r="O37" s="787"/>
      <c r="P37" s="787"/>
      <c r="Q37" s="787"/>
      <c r="R37" s="787"/>
      <c r="S37" s="787"/>
      <c r="T37" s="787"/>
      <c r="U37" s="787"/>
      <c r="V37" s="787"/>
      <c r="W37" s="787"/>
      <c r="X37" s="787"/>
      <c r="Y37" s="787"/>
      <c r="Z37" s="787"/>
      <c r="AA37" s="787"/>
      <c r="AB37" s="787"/>
      <c r="AC37" s="787"/>
      <c r="AD37" s="787"/>
      <c r="AE37" s="787"/>
      <c r="AF37" s="787"/>
      <c r="AG37" s="787"/>
      <c r="AH37" s="787"/>
      <c r="AI37" s="787"/>
      <c r="AJ37" s="787"/>
      <c r="AK37" s="787"/>
      <c r="AL37" s="787"/>
      <c r="AM37" s="787"/>
      <c r="AN37" s="787"/>
      <c r="AO37" s="787"/>
      <c r="AP37" s="787"/>
      <c r="AQ37" s="787"/>
    </row>
    <row r="38" spans="2:43">
      <c r="B38" s="834"/>
      <c r="C38" s="835"/>
      <c r="D38" s="835"/>
      <c r="E38" s="835"/>
      <c r="F38" s="836"/>
      <c r="G38" s="836"/>
      <c r="H38" s="836"/>
      <c r="I38" s="837"/>
      <c r="M38" s="787"/>
      <c r="N38" s="787"/>
      <c r="O38" s="787"/>
      <c r="P38" s="787"/>
      <c r="Q38" s="787"/>
      <c r="R38" s="787"/>
      <c r="S38" s="787"/>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row>
    <row r="39" spans="2:43">
      <c r="B39" s="824" t="s">
        <v>580</v>
      </c>
      <c r="C39" s="838" t="str">
        <f>dms_CRCP_FirstYear_Result</f>
        <v>2015-16</v>
      </c>
      <c r="D39" s="827" t="str">
        <f>IF(dms_RPT="financial",VALUE(LEFT(CRCP_y1,4)+1)&amp;"-"&amp;TEXT(MID(CRCP_y1,3,2)+2,"00"),VALUE(LEFT(CRCP_y1,4)+1))</f>
        <v>2016-17</v>
      </c>
      <c r="E39" s="827" t="str">
        <f>IF(dms_RPT="financial",VALUE(LEFT(CRCP_y1,4)+2)&amp;"-"&amp;TEXT(VALUE(MID(CRCP_y1,3,2)+3),"00"),VALUE(LEFT(CRCP_y1,4)+2))</f>
        <v>2017-18</v>
      </c>
      <c r="F39" s="827" t="str">
        <f>IF(dms_RPT="financial",VALUE(LEFT(CRCP_y1,4)+3)&amp;"-"&amp;TEXT(MID(CRCP_y1,3,2)+4,"00"),VALUE(LEFT(CRCP_y1,4)+3))</f>
        <v>2018-19</v>
      </c>
      <c r="G39" s="827" t="str">
        <f>IF(dms_RPT="financial",VALUE(LEFT(CRCP_y1,4)+4)&amp;"-"&amp;TEXT(MID(CRCP_y1,3,2)+5,"00"),VALUE(LEFT(CRCP_y1,4)+4))</f>
        <v>2019-20</v>
      </c>
      <c r="H39" s="828"/>
      <c r="I39" s="839"/>
      <c r="J39" s="840"/>
      <c r="K39" s="840"/>
      <c r="L39" s="840"/>
      <c r="M39" s="787"/>
      <c r="N39" s="787"/>
      <c r="O39" s="787"/>
      <c r="P39" s="787"/>
      <c r="Q39" s="787"/>
      <c r="R39" s="787"/>
      <c r="S39" s="787"/>
      <c r="T39" s="787"/>
      <c r="U39" s="787"/>
      <c r="V39" s="787"/>
      <c r="W39" s="787"/>
      <c r="X39" s="787"/>
      <c r="Y39" s="787"/>
      <c r="Z39" s="787"/>
      <c r="AA39" s="787"/>
      <c r="AB39" s="787"/>
      <c r="AC39" s="787"/>
      <c r="AD39" s="787"/>
      <c r="AE39" s="787"/>
      <c r="AF39" s="787"/>
      <c r="AG39" s="787"/>
      <c r="AH39" s="787"/>
      <c r="AI39" s="787"/>
      <c r="AJ39" s="787"/>
      <c r="AK39" s="787"/>
      <c r="AL39" s="787"/>
      <c r="AM39" s="787"/>
      <c r="AN39" s="787"/>
      <c r="AO39" s="787"/>
      <c r="AP39" s="787"/>
      <c r="AQ39" s="787"/>
    </row>
    <row r="40" spans="2:43">
      <c r="B40" s="841"/>
      <c r="C40" s="1104" t="str">
        <f>IF(dms_RPT="financial",VALUE(LEFT(CRCP_y1,4)+5)&amp;"-"&amp;TEXT(MID(CRCP_y1,3,2)+6,"00"),VALUE(LEFT(CRCP_y1,4)+5))</f>
        <v>2020-21</v>
      </c>
      <c r="D40" s="1104" t="str">
        <f>IF(dms_RPT="financial",VALUE(LEFT(CRCP_y1,4)+6)&amp;"-"&amp;TEXT(MID(CRCP_y1,3,2)+7,"00"),VALUE(LEFT(CRCP_y1,4)+6))</f>
        <v>2021-22</v>
      </c>
      <c r="E40" s="1104" t="str">
        <f>IF(dms_RPT="financial",VALUE(LEFT(CRCP_y1,4)+7)&amp;"-"&amp;TEXT(MID(CRCP_y1,3,2)+8,"00"),VALUE(LEFT(CRCP_y1,4)+7))</f>
        <v>2022-23</v>
      </c>
      <c r="F40" s="1104" t="str">
        <f>IF(dms_RPT="financial",VALUE(LEFT(CRCP_y1,4)+8)&amp;"-"&amp;TEXT(MID(CRCP_y1,3,2)+9,"00"),VALUE(LEFT(CRCP_y1,4)+8))</f>
        <v>2023-24</v>
      </c>
      <c r="G40" s="1104" t="str">
        <f>IF(dms_RPT="financial",VALUE(LEFT(CRCP_y1,4)+9)&amp;"-"&amp;TEXT(MID(CRCP_y1,3,2)+10,"00"),VALUE(LEFT(CRCP_y1,4)+9))</f>
        <v>2024-25</v>
      </c>
      <c r="H40" s="828"/>
      <c r="I40" s="829"/>
      <c r="M40" s="787"/>
      <c r="N40" s="787"/>
      <c r="O40" s="787"/>
      <c r="P40" s="787"/>
      <c r="Q40" s="787"/>
      <c r="R40" s="787"/>
      <c r="S40" s="787"/>
      <c r="T40" s="787"/>
      <c r="U40" s="787"/>
      <c r="V40" s="787"/>
      <c r="W40" s="787"/>
      <c r="X40" s="787"/>
      <c r="Y40" s="787"/>
      <c r="Z40" s="787"/>
      <c r="AA40" s="787"/>
      <c r="AB40" s="787"/>
      <c r="AC40" s="787"/>
      <c r="AD40" s="787"/>
      <c r="AE40" s="787"/>
      <c r="AF40" s="787"/>
      <c r="AG40" s="787"/>
      <c r="AH40" s="787"/>
      <c r="AI40" s="787"/>
      <c r="AJ40" s="787"/>
      <c r="AK40" s="787"/>
      <c r="AL40" s="787"/>
      <c r="AM40" s="787"/>
      <c r="AN40" s="787"/>
      <c r="AO40" s="787"/>
      <c r="AP40" s="787"/>
      <c r="AQ40" s="787"/>
    </row>
    <row r="41" spans="2:43">
      <c r="B41" s="841"/>
      <c r="C41" s="828" t="str">
        <f>IF(dms_RPT="financial",VALUE(LEFT(CRCP_y1,4)+10)&amp;"-"&amp;TEXT(MID(CRCP_y1,3,2)+11,"00"),VALUE(LEFT(CRCP_y1,4)+10))</f>
        <v>2025-26</v>
      </c>
      <c r="D41" s="828" t="str">
        <f>IF(dms_RPT="financial",VALUE(LEFT(CRCP_y1,4)+11)&amp;"-"&amp;TEXT(MID(CRCP_y1,3,2)+12,"00"),VALUE(LEFT(CRCP_y1,4)+11))</f>
        <v>2026-27</v>
      </c>
      <c r="E41" s="828" t="str">
        <f>IF(dms_RPT="financial",VALUE(LEFT(CRCP_y1,4)+12)&amp;"-"&amp;TEXT(MID(CRCP_y1,3,2)+13,"00"),VALUE(LEFT(CRCP_y1,4)+12))</f>
        <v>2027-28</v>
      </c>
      <c r="F41" s="828" t="str">
        <f>IF(dms_RPT="financial",VALUE(LEFT(CRCP_y1,4)+13)&amp;"-"&amp;TEXT(MID(CRCP_y1,3,2)+14,"00"),VALUE(LEFT(CRCP_y1,4)+13))</f>
        <v>2028-29</v>
      </c>
      <c r="G41" s="828" t="str">
        <f>IF(dms_RPT="financial",VALUE(LEFT(CRCP_y1,4)+14)&amp;"-"&amp;TEXT(MID(CRCP_y1,3,2)+15,"00"),VALUE(LEFT(CRCP_y1,4)+14))</f>
        <v>2029-30</v>
      </c>
      <c r="H41" s="828"/>
      <c r="I41" s="829"/>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7"/>
      <c r="AL41" s="787"/>
      <c r="AM41" s="787"/>
      <c r="AN41" s="787"/>
      <c r="AO41" s="787"/>
      <c r="AP41" s="787"/>
      <c r="AQ41" s="787"/>
    </row>
    <row r="42" spans="2:43" ht="15.75" thickBot="1">
      <c r="B42" s="830"/>
      <c r="C42" s="842"/>
      <c r="D42" s="842"/>
      <c r="E42" s="842"/>
      <c r="F42" s="843"/>
      <c r="G42" s="843"/>
      <c r="H42" s="843"/>
      <c r="I42" s="829"/>
      <c r="M42" s="787"/>
      <c r="N42" s="787"/>
      <c r="O42" s="787"/>
      <c r="P42" s="787"/>
      <c r="Q42" s="787"/>
      <c r="R42" s="787"/>
      <c r="S42" s="787"/>
      <c r="T42" s="787"/>
      <c r="U42" s="787"/>
      <c r="V42" s="787"/>
      <c r="W42" s="787"/>
      <c r="X42" s="787"/>
      <c r="Y42" s="787"/>
      <c r="Z42" s="787"/>
      <c r="AA42" s="787"/>
      <c r="AB42" s="787"/>
      <c r="AC42" s="787"/>
      <c r="AD42" s="787"/>
      <c r="AE42" s="787"/>
      <c r="AF42" s="787"/>
      <c r="AG42" s="787"/>
      <c r="AH42" s="787"/>
      <c r="AI42" s="787"/>
      <c r="AJ42" s="787"/>
      <c r="AK42" s="787"/>
      <c r="AL42" s="787"/>
      <c r="AM42" s="787"/>
      <c r="AN42" s="787"/>
      <c r="AO42" s="787"/>
      <c r="AP42" s="787"/>
      <c r="AQ42" s="787"/>
    </row>
    <row r="43" spans="2:43">
      <c r="B43" s="834"/>
      <c r="C43" s="835"/>
      <c r="D43" s="835"/>
      <c r="E43" s="835"/>
      <c r="F43" s="836"/>
      <c r="G43" s="836"/>
      <c r="H43" s="836"/>
      <c r="I43" s="83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787"/>
      <c r="AL43" s="787"/>
      <c r="AM43" s="787"/>
      <c r="AN43" s="787"/>
      <c r="AO43" s="787"/>
      <c r="AP43" s="787"/>
      <c r="AQ43" s="787"/>
    </row>
    <row r="44" spans="2:43">
      <c r="B44" s="824" t="s">
        <v>581</v>
      </c>
      <c r="C44" s="827" t="str">
        <f>IF(dms_RPT="financial",VALUE(LEFT(PRCP_y2,4)-1)&amp;"-"&amp;TEXT(VALUE(MID(PRCP_y2,3,2)),"00"),VALUE(LEFT(PRCP_y2,4)-1))</f>
        <v>2010-11</v>
      </c>
      <c r="D44" s="827" t="str">
        <f>IF(dms_RPT="financial",VALUE(LEFT(PRCP_y3,4)-1)&amp;"-"&amp;TEXT(VALUE(MID(PRCP_y3,3,2)),"00"),VALUE(LEFT(PRCP_y3,4)-1))</f>
        <v>2011-12</v>
      </c>
      <c r="E44" s="827" t="str">
        <f>IF(dms_RPT="financial",VALUE(LEFT(PRCP_y4,4)-1)&amp;"-"&amp;TEXT(VALUE(MID(PRCP_y4,3,2)),"00"),VALUE(LEFT(PRCP_y4,4)-1))</f>
        <v>2012-13</v>
      </c>
      <c r="F44" s="827" t="str">
        <f>IF(dms_RPT="financial",VALUE(LEFT(PRCP_y5,4)-1)&amp;"-"&amp;TEXT(VALUE(RIGHT(PRCP_y5,2)-1),"00"),VALUE(LEFT(PRCP_y5,4)-1))</f>
        <v>2013-14</v>
      </c>
      <c r="G44" s="827" t="str">
        <f>IF(dms_RPT="financial",VALUE(LEFT(CRCP_y1,4)-1)&amp;"-"&amp;TEXT(VALUE(RIGHT(CRCP_y1,2)-1),"00"),VALUE(LEFT(CRCP_y1,4)-1))</f>
        <v>2014-15</v>
      </c>
      <c r="H44" s="828"/>
      <c r="I44" s="844"/>
      <c r="M44" s="787"/>
      <c r="N44" s="787"/>
      <c r="O44" s="787"/>
      <c r="P44" s="787"/>
      <c r="Q44" s="787"/>
      <c r="R44" s="787"/>
      <c r="S44" s="787"/>
      <c r="T44" s="787"/>
      <c r="U44" s="787"/>
      <c r="V44" s="787"/>
      <c r="W44" s="787"/>
      <c r="X44" s="787"/>
      <c r="Y44" s="787"/>
      <c r="Z44" s="787"/>
      <c r="AA44" s="787"/>
      <c r="AB44" s="787"/>
      <c r="AC44" s="787"/>
      <c r="AD44" s="787"/>
      <c r="AE44" s="787"/>
      <c r="AF44" s="787"/>
      <c r="AG44" s="787"/>
      <c r="AH44" s="787"/>
      <c r="AI44" s="787"/>
      <c r="AJ44" s="787"/>
      <c r="AK44" s="787"/>
      <c r="AL44" s="787"/>
      <c r="AM44" s="787"/>
      <c r="AN44" s="787"/>
      <c r="AO44" s="787"/>
      <c r="AP44" s="787"/>
      <c r="AQ44" s="787"/>
    </row>
    <row r="45" spans="2:43">
      <c r="B45" s="824"/>
      <c r="C45" s="828"/>
      <c r="D45" s="828"/>
      <c r="E45" s="828"/>
      <c r="F45" s="828"/>
      <c r="G45" s="828"/>
      <c r="H45" s="828"/>
      <c r="I45" s="844"/>
      <c r="M45" s="787"/>
      <c r="N45" s="787"/>
      <c r="O45" s="787"/>
      <c r="P45" s="787"/>
      <c r="Q45" s="787"/>
      <c r="R45" s="787"/>
      <c r="S45" s="787"/>
      <c r="T45" s="787"/>
      <c r="U45" s="787"/>
      <c r="V45" s="787"/>
      <c r="W45" s="787"/>
      <c r="X45" s="787"/>
      <c r="Y45" s="787"/>
      <c r="Z45" s="787"/>
      <c r="AA45" s="787"/>
      <c r="AB45" s="787"/>
      <c r="AC45" s="787"/>
      <c r="AD45" s="787"/>
      <c r="AE45" s="787"/>
      <c r="AF45" s="787"/>
      <c r="AG45" s="787"/>
      <c r="AH45" s="787"/>
      <c r="AI45" s="787"/>
      <c r="AJ45" s="787"/>
      <c r="AK45" s="787"/>
      <c r="AL45" s="787"/>
      <c r="AM45" s="787"/>
      <c r="AN45" s="787"/>
      <c r="AO45" s="787"/>
      <c r="AP45" s="787"/>
      <c r="AQ45" s="787"/>
    </row>
    <row r="46" spans="2:43" ht="15.75" thickBot="1">
      <c r="B46" s="845"/>
      <c r="C46" s="846"/>
      <c r="D46" s="846"/>
      <c r="E46" s="847"/>
      <c r="F46" s="848"/>
      <c r="G46" s="848"/>
      <c r="H46" s="848"/>
      <c r="I46" s="849"/>
      <c r="M46" s="787"/>
      <c r="N46" s="787"/>
      <c r="O46" s="787"/>
      <c r="P46" s="787"/>
      <c r="Q46" s="787"/>
      <c r="R46" s="787"/>
      <c r="S46" s="787"/>
      <c r="T46" s="787"/>
      <c r="U46" s="787"/>
      <c r="V46" s="787"/>
      <c r="W46" s="787"/>
      <c r="X46" s="787"/>
      <c r="Y46" s="787"/>
      <c r="Z46" s="787"/>
      <c r="AA46" s="787"/>
      <c r="AB46" s="787"/>
      <c r="AC46" s="787"/>
      <c r="AD46" s="787"/>
      <c r="AE46" s="787"/>
      <c r="AF46" s="787"/>
      <c r="AG46" s="787"/>
      <c r="AH46" s="787"/>
      <c r="AI46" s="787"/>
      <c r="AJ46" s="787"/>
      <c r="AK46" s="787"/>
      <c r="AL46" s="787"/>
      <c r="AM46" s="787"/>
      <c r="AN46" s="787"/>
      <c r="AO46" s="787"/>
      <c r="AP46" s="787"/>
      <c r="AQ46" s="787"/>
    </row>
    <row r="47" spans="2:43" ht="15" customHeight="1">
      <c r="B47" s="850"/>
      <c r="C47" s="851"/>
      <c r="D47" s="851"/>
      <c r="E47" s="851"/>
      <c r="F47" s="852"/>
      <c r="G47" s="852"/>
      <c r="H47" s="852"/>
      <c r="I47" s="853"/>
      <c r="M47" s="787"/>
      <c r="N47" s="787"/>
      <c r="O47" s="787"/>
      <c r="P47" s="787"/>
      <c r="Q47" s="787"/>
      <c r="R47" s="787"/>
      <c r="S47" s="787"/>
      <c r="T47" s="787"/>
      <c r="U47" s="787"/>
      <c r="V47" s="787"/>
      <c r="W47" s="787"/>
      <c r="X47" s="787"/>
      <c r="Y47" s="787"/>
      <c r="Z47" s="787"/>
      <c r="AA47" s="787"/>
      <c r="AB47" s="787"/>
      <c r="AC47" s="787"/>
      <c r="AD47" s="787"/>
      <c r="AE47" s="787"/>
      <c r="AF47" s="787"/>
      <c r="AG47" s="787"/>
      <c r="AH47" s="787"/>
      <c r="AI47" s="787"/>
      <c r="AJ47" s="787"/>
      <c r="AK47" s="787"/>
      <c r="AL47" s="787"/>
      <c r="AM47" s="787"/>
      <c r="AN47" s="787"/>
      <c r="AO47" s="787"/>
      <c r="AP47" s="787"/>
      <c r="AQ47" s="787"/>
    </row>
    <row r="48" spans="2:43" ht="15" hidden="1" customHeight="1" thickBot="1">
      <c r="B48" s="854" t="s">
        <v>582</v>
      </c>
      <c r="C48" s="217" t="s">
        <v>491</v>
      </c>
      <c r="D48" s="855" t="s">
        <v>583</v>
      </c>
      <c r="E48" s="856"/>
      <c r="F48" s="857"/>
      <c r="G48" s="857"/>
      <c r="H48" s="857"/>
      <c r="I48" s="858"/>
      <c r="M48" s="787"/>
      <c r="N48" s="787"/>
      <c r="O48" s="787"/>
      <c r="P48" s="787"/>
      <c r="Q48" s="787"/>
      <c r="R48" s="787"/>
      <c r="S48" s="787"/>
      <c r="T48" s="787"/>
      <c r="U48" s="787"/>
      <c r="V48" s="787"/>
      <c r="W48" s="787"/>
      <c r="X48" s="787"/>
      <c r="Y48" s="787"/>
      <c r="Z48" s="787"/>
      <c r="AA48" s="787"/>
      <c r="AB48" s="787"/>
      <c r="AC48" s="787"/>
      <c r="AD48" s="787"/>
      <c r="AE48" s="787"/>
      <c r="AF48" s="787"/>
      <c r="AG48" s="787"/>
      <c r="AH48" s="787"/>
      <c r="AI48" s="787"/>
      <c r="AJ48" s="787"/>
      <c r="AK48" s="787"/>
      <c r="AL48" s="787"/>
      <c r="AM48" s="787"/>
      <c r="AN48" s="787"/>
      <c r="AO48" s="787"/>
      <c r="AP48" s="787"/>
      <c r="AQ48" s="787"/>
    </row>
    <row r="49" spans="1:43" ht="14.25" hidden="1" customHeight="1" thickBot="1">
      <c r="B49" s="859"/>
      <c r="C49" s="860"/>
      <c r="D49" s="855"/>
      <c r="E49" s="860"/>
      <c r="F49" s="860"/>
      <c r="G49" s="860"/>
      <c r="H49" s="860"/>
      <c r="I49" s="858"/>
      <c r="M49" s="787"/>
      <c r="N49" s="787"/>
      <c r="O49" s="787"/>
      <c r="P49" s="787"/>
      <c r="Q49" s="787"/>
      <c r="R49" s="787"/>
      <c r="S49" s="787"/>
      <c r="T49" s="787"/>
      <c r="U49" s="787"/>
      <c r="V49" s="787"/>
      <c r="W49" s="787"/>
      <c r="X49" s="787"/>
      <c r="Y49" s="787"/>
      <c r="Z49" s="787"/>
      <c r="AA49" s="787"/>
      <c r="AB49" s="787"/>
      <c r="AC49" s="787"/>
      <c r="AD49" s="787"/>
      <c r="AE49" s="787"/>
      <c r="AF49" s="787"/>
      <c r="AG49" s="787"/>
      <c r="AH49" s="787"/>
      <c r="AI49" s="787"/>
      <c r="AJ49" s="787"/>
      <c r="AK49" s="787"/>
      <c r="AL49" s="787"/>
      <c r="AM49" s="787"/>
      <c r="AN49" s="787"/>
      <c r="AO49" s="787"/>
      <c r="AP49" s="787"/>
      <c r="AQ49" s="787"/>
    </row>
    <row r="50" spans="1:43" ht="15" hidden="1" customHeight="1" thickBot="1">
      <c r="B50" s="854" t="s">
        <v>584</v>
      </c>
      <c r="C50" s="217" t="s">
        <v>521</v>
      </c>
      <c r="D50" s="855" t="s">
        <v>585</v>
      </c>
      <c r="E50" s="856"/>
      <c r="F50" s="857"/>
      <c r="G50" s="857"/>
      <c r="H50" s="857"/>
      <c r="I50" s="858"/>
    </row>
    <row r="51" spans="1:43" ht="14.25" hidden="1" customHeight="1">
      <c r="B51" s="859"/>
      <c r="C51" s="860"/>
      <c r="D51" s="860"/>
      <c r="E51" s="860"/>
      <c r="F51" s="860"/>
      <c r="G51" s="860"/>
      <c r="H51" s="860"/>
      <c r="I51" s="858"/>
      <c r="K51" s="219"/>
    </row>
    <row r="52" spans="1:43" ht="15" hidden="1" customHeight="1" thickBot="1">
      <c r="B52" s="861"/>
      <c r="C52" s="862"/>
      <c r="D52" s="862"/>
      <c r="E52" s="862"/>
      <c r="F52" s="863"/>
      <c r="G52" s="863"/>
      <c r="H52" s="863"/>
      <c r="I52" s="864"/>
    </row>
    <row r="53" spans="1:43" s="196" customFormat="1" ht="15.75" hidden="1">
      <c r="A53" s="787"/>
      <c r="C53" s="220"/>
      <c r="D53" s="197"/>
      <c r="E53" s="221"/>
      <c r="O53" s="218"/>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row>
    <row r="54" spans="1:43" s="196" customFormat="1" hidden="1">
      <c r="A54" s="787"/>
      <c r="C54" s="865" t="s">
        <v>893</v>
      </c>
      <c r="D54" s="197"/>
      <c r="E54" s="221"/>
      <c r="O54" s="218"/>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row>
    <row r="55" spans="1:43" s="196" customFormat="1" hidden="1">
      <c r="A55" s="787"/>
      <c r="B55" s="197"/>
      <c r="C55" s="866" t="s">
        <v>894</v>
      </c>
      <c r="D55" s="867"/>
      <c r="E55" s="867"/>
      <c r="F55" s="867"/>
      <c r="G55" s="867"/>
      <c r="H55" s="867"/>
      <c r="I55" s="867"/>
      <c r="O55" s="218"/>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row>
    <row r="56" spans="1:43" s="196" customFormat="1" hidden="1">
      <c r="A56" s="787"/>
      <c r="B56" s="197"/>
      <c r="C56" s="868" t="s">
        <v>895</v>
      </c>
      <c r="D56" s="867"/>
      <c r="E56" s="867"/>
      <c r="F56" s="867"/>
      <c r="G56" s="867"/>
      <c r="H56" s="867"/>
      <c r="I56" s="867"/>
      <c r="O56" s="218"/>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row>
    <row r="57" spans="1:43" s="196" customFormat="1" ht="15.75" thickBot="1">
      <c r="A57" s="787"/>
      <c r="B57" s="466"/>
      <c r="C57" s="466"/>
      <c r="D57" s="466"/>
      <c r="E57" s="466"/>
      <c r="F57" s="466"/>
      <c r="G57" s="466"/>
      <c r="H57" s="466"/>
      <c r="I57" s="466"/>
      <c r="O57" s="218"/>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row>
    <row r="58" spans="1:43" s="196" customFormat="1" ht="15.75" thickBot="1">
      <c r="A58" s="787"/>
      <c r="B58" s="222" t="s">
        <v>586</v>
      </c>
      <c r="C58" s="1206" t="s">
        <v>365</v>
      </c>
      <c r="D58" s="1207"/>
      <c r="E58" s="869" t="s">
        <v>587</v>
      </c>
      <c r="F58" s="224"/>
      <c r="G58" s="224"/>
      <c r="H58" s="224"/>
      <c r="I58" s="225"/>
      <c r="J58"/>
      <c r="K58"/>
      <c r="O58" s="218"/>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row>
    <row r="59" spans="1:43" s="196" customFormat="1" ht="30.75" customHeight="1" thickBot="1">
      <c r="A59" s="787"/>
      <c r="B59" s="226" t="s">
        <v>588</v>
      </c>
      <c r="C59" s="227" t="s">
        <v>330</v>
      </c>
      <c r="D59" s="228"/>
      <c r="E59" s="1208" t="s">
        <v>896</v>
      </c>
      <c r="F59" s="1208"/>
      <c r="G59" s="1208"/>
      <c r="H59" s="1208"/>
      <c r="I59" s="1209"/>
      <c r="J59"/>
      <c r="K59"/>
      <c r="O59" s="218"/>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row>
    <row r="60" spans="1:43" s="196" customFormat="1" ht="39" customHeight="1" thickBot="1">
      <c r="A60" s="787"/>
      <c r="B60" s="230" t="s">
        <v>589</v>
      </c>
      <c r="C60" s="1193" t="s">
        <v>897</v>
      </c>
      <c r="D60" s="1194"/>
      <c r="E60" s="1194"/>
      <c r="F60" s="1194"/>
      <c r="G60" s="1194"/>
      <c r="H60" s="1194"/>
      <c r="I60" s="1195"/>
      <c r="J60"/>
      <c r="K60"/>
      <c r="O60" s="218"/>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row>
    <row r="61" spans="1:43" s="196" customFormat="1" ht="15" customHeight="1">
      <c r="A61" s="787"/>
      <c r="B61" s="418" t="s">
        <v>590</v>
      </c>
      <c r="C61" s="419" t="s">
        <v>898</v>
      </c>
      <c r="D61" s="420" t="s">
        <v>591</v>
      </c>
      <c r="E61" s="223" t="s">
        <v>592</v>
      </c>
      <c r="F61" s="421"/>
      <c r="G61" s="421"/>
      <c r="H61" s="421"/>
      <c r="I61" s="231"/>
      <c r="J61"/>
      <c r="K61"/>
      <c r="O61" s="218"/>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row>
    <row r="62" spans="1:43" s="196" customFormat="1" ht="15.75" thickBot="1">
      <c r="A62" s="787"/>
      <c r="B62" s="232" t="s">
        <v>593</v>
      </c>
      <c r="C62" s="233" t="s">
        <v>594</v>
      </c>
      <c r="D62" s="234"/>
      <c r="E62" s="234"/>
      <c r="F62" s="234"/>
      <c r="G62" s="234"/>
      <c r="H62" s="234"/>
      <c r="I62" s="235"/>
      <c r="J62"/>
      <c r="K62"/>
      <c r="O62" s="218"/>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row>
    <row r="63" spans="1:43" s="240" customFormat="1" hidden="1">
      <c r="A63" s="787"/>
      <c r="B63" s="236" t="s">
        <v>595</v>
      </c>
      <c r="C63" s="237" t="str">
        <f>INDEX(dms_Sector_List,MATCH(dms_TradingName,dms_TradingName_List))</f>
        <v>Electricity</v>
      </c>
      <c r="D63" s="422" t="s">
        <v>596</v>
      </c>
      <c r="E63" s="238" t="s">
        <v>597</v>
      </c>
      <c r="F63" s="239"/>
      <c r="G63" s="239"/>
      <c r="H63" s="239"/>
      <c r="I63" s="239"/>
      <c r="J63" s="870"/>
      <c r="K63" s="871"/>
    </row>
    <row r="64" spans="1:43" s="196" customFormat="1" hidden="1">
      <c r="A64" s="787"/>
      <c r="B64" s="241" t="s">
        <v>598</v>
      </c>
      <c r="C64" s="242" t="str">
        <f>INDEX(dms_Segment_List,MATCH(dms_TradingName,dms_TradingName_List))</f>
        <v>Transmission</v>
      </c>
      <c r="D64" s="423" t="s">
        <v>599</v>
      </c>
      <c r="E64" s="243" t="s">
        <v>600</v>
      </c>
      <c r="F64" s="244"/>
      <c r="G64" s="244"/>
      <c r="H64" s="244"/>
      <c r="I64" s="244"/>
      <c r="J64" s="872"/>
      <c r="K64" s="873"/>
      <c r="O64" s="218"/>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row>
    <row r="65" spans="1:43" s="196" customFormat="1" hidden="1">
      <c r="A65" s="787"/>
      <c r="B65" s="241" t="s">
        <v>601</v>
      </c>
      <c r="C65" s="246" t="str">
        <f ca="1">IF(dms_MultiYear_Flag=1,LEFT(dms_Specified_FinalYear,2)&amp;RIGHT(dms_Specified_FinalYear,2),INDEX(dms_RYE_Formula_Result,MATCH(dms_Model,dms_Model_List)))</f>
        <v>2025</v>
      </c>
      <c r="D65" s="423" t="s">
        <v>602</v>
      </c>
      <c r="E65" s="243" t="s">
        <v>603</v>
      </c>
      <c r="F65" s="244"/>
      <c r="G65" s="244"/>
      <c r="H65" s="244"/>
      <c r="I65" s="244"/>
      <c r="J65" s="872"/>
      <c r="K65" s="873"/>
      <c r="O65" s="218"/>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row>
    <row r="66" spans="1:43" s="196" customFormat="1" hidden="1">
      <c r="A66" s="787"/>
      <c r="B66" s="241" t="s">
        <v>604</v>
      </c>
      <c r="C66" s="242" t="str">
        <f>INDEX(dms_RPT_List,MATCH(dms_TradingName,dms_TradingName_List))</f>
        <v>Financial</v>
      </c>
      <c r="D66" s="423" t="s">
        <v>605</v>
      </c>
      <c r="E66" s="243" t="s">
        <v>606</v>
      </c>
      <c r="F66" s="244"/>
      <c r="G66" s="244"/>
      <c r="H66" s="244"/>
      <c r="I66" s="244"/>
      <c r="J66" s="872"/>
      <c r="K66" s="873"/>
      <c r="O66" s="218"/>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row>
    <row r="67" spans="1:43" s="196" customFormat="1" hidden="1">
      <c r="A67" s="787"/>
      <c r="B67" s="241" t="s">
        <v>607</v>
      </c>
      <c r="C67" s="247" t="s">
        <v>301</v>
      </c>
      <c r="D67" s="424" t="s">
        <v>608</v>
      </c>
      <c r="E67" s="874" t="s">
        <v>609</v>
      </c>
      <c r="F67" s="244"/>
      <c r="G67" s="244"/>
      <c r="H67" s="244"/>
      <c r="I67" s="244"/>
      <c r="J67" s="872"/>
      <c r="K67" s="873"/>
      <c r="O67" s="218"/>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row>
    <row r="68" spans="1:43" hidden="1">
      <c r="B68" s="241" t="s">
        <v>662</v>
      </c>
      <c r="C68" s="875" t="s">
        <v>282</v>
      </c>
      <c r="D68" s="423" t="s">
        <v>663</v>
      </c>
      <c r="E68" s="876" t="s">
        <v>899</v>
      </c>
      <c r="F68" s="275"/>
      <c r="G68" s="275"/>
      <c r="H68" s="275"/>
      <c r="I68" s="275"/>
      <c r="J68" s="275"/>
      <c r="K68" s="276"/>
    </row>
    <row r="69" spans="1:43" s="196" customFormat="1" hidden="1">
      <c r="A69" s="787"/>
      <c r="B69" s="241" t="s">
        <v>610</v>
      </c>
      <c r="C69" s="242" t="s">
        <v>336</v>
      </c>
      <c r="D69" s="424" t="s">
        <v>611</v>
      </c>
      <c r="E69" s="874" t="s">
        <v>612</v>
      </c>
      <c r="F69" s="244"/>
      <c r="G69" s="244"/>
      <c r="H69" s="244"/>
      <c r="I69" s="244"/>
      <c r="J69" s="872"/>
      <c r="K69" s="873"/>
      <c r="O69" s="218"/>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row>
    <row r="70" spans="1:43" s="196" customFormat="1" ht="15.75" hidden="1" customHeight="1" thickBot="1">
      <c r="A70" s="787"/>
      <c r="B70" s="249" t="s">
        <v>622</v>
      </c>
      <c r="C70" s="250" t="str">
        <f>INDEX(dms_JurisdictionList,MATCH(dms_TradingName,dms_TradingName_List))</f>
        <v>Qld</v>
      </c>
      <c r="D70" s="426" t="s">
        <v>623</v>
      </c>
      <c r="E70" s="251" t="s">
        <v>624</v>
      </c>
      <c r="F70" s="252"/>
      <c r="G70" s="252"/>
      <c r="H70" s="252"/>
      <c r="I70" s="252"/>
      <c r="J70" s="877"/>
      <c r="K70" s="878"/>
      <c r="O70" s="218"/>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row>
    <row r="71" spans="1:43" s="196" customFormat="1" ht="22.5" hidden="1" customHeight="1" thickBot="1">
      <c r="A71" s="879"/>
      <c r="B71" s="880" t="s">
        <v>900</v>
      </c>
      <c r="C71" s="881"/>
      <c r="D71" s="881"/>
      <c r="E71" s="881"/>
      <c r="F71" s="882"/>
      <c r="G71" s="882"/>
      <c r="H71" s="882"/>
      <c r="I71" s="882"/>
      <c r="J71" s="882"/>
      <c r="K71" s="883"/>
      <c r="O71" s="218"/>
    </row>
    <row r="72" spans="1:43" s="196" customFormat="1" hidden="1">
      <c r="A72" s="787"/>
      <c r="B72" s="241" t="s">
        <v>901</v>
      </c>
      <c r="C72" s="248" t="e">
        <f ca="1">IF(dms_RPT="financial",VALUE(LEFT(dms_SingleYear_FinalYear_Result,4)),VALUE(LEFT(dms_SingleYear_FinalYear_Result,4)-1))</f>
        <v>#VALUE!</v>
      </c>
      <c r="D72" s="424" t="s">
        <v>902</v>
      </c>
      <c r="E72" s="243" t="s">
        <v>903</v>
      </c>
      <c r="F72" s="244"/>
      <c r="G72" s="244"/>
      <c r="H72" s="244"/>
      <c r="I72" s="244"/>
      <c r="J72" s="872"/>
      <c r="K72" s="884"/>
      <c r="O72" s="218"/>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row>
    <row r="73" spans="1:43" s="196" customFormat="1" hidden="1">
      <c r="A73" s="787"/>
      <c r="B73" s="241" t="s">
        <v>613</v>
      </c>
      <c r="C73" s="242" t="str">
        <f>INDEX(dms_RPTMonth_List,MATCH(dms_TradingName,dms_TradingName_List))</f>
        <v>June</v>
      </c>
      <c r="D73" s="424" t="s">
        <v>614</v>
      </c>
      <c r="E73" s="243" t="s">
        <v>615</v>
      </c>
      <c r="F73" s="244"/>
      <c r="G73" s="244"/>
      <c r="H73" s="244"/>
      <c r="I73" s="244"/>
      <c r="J73" s="872"/>
      <c r="K73" s="884"/>
      <c r="O73" s="218"/>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row>
    <row r="74" spans="1:43" s="196" customFormat="1" ht="14.25" hidden="1" customHeight="1">
      <c r="A74" s="787"/>
      <c r="B74" s="241" t="s">
        <v>616</v>
      </c>
      <c r="C74" s="248" t="str">
        <f>IF(SUM(dms_SingleYear_Model)&gt;0,CONCATENATE(dms_RPTMonth)&amp;" "&amp;VALUE((LEFT(CRY,2))&amp;RIGHT(CRY,2)),CONCATENATE(dms_RPTMonth)&amp;" "&amp;VALUE((LEFT(dms_CRCP_FinalYear_Result,2)&amp;RIGHT(dms_CRCP_FinalYear_Result,2))))</f>
        <v>June 2020</v>
      </c>
      <c r="D74" s="423" t="s">
        <v>617</v>
      </c>
      <c r="E74" s="243" t="s">
        <v>618</v>
      </c>
      <c r="F74" s="244"/>
      <c r="G74" s="244"/>
      <c r="H74" s="244"/>
      <c r="I74" s="244"/>
      <c r="J74" s="872"/>
      <c r="K74" s="884"/>
      <c r="O74" s="218"/>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row>
    <row r="75" spans="1:43" s="196" customFormat="1" ht="24" hidden="1" customHeight="1" thickBot="1">
      <c r="A75" s="787"/>
      <c r="B75" s="241" t="s">
        <v>904</v>
      </c>
      <c r="C75" s="248" t="str">
        <f>IF(SUM(dms_SingleYear_Model)&gt;0,CONCATENATE(dms_RPTMonth)&amp;" "&amp;VALUE(((LEFT(CRY,2))&amp;RIGHT(CRY,2))-1),CONCATENATE(dms_RPTMonth)&amp;" "&amp;VALUE(((LEFT(dms_CRCP_FirstYear_Result,2)&amp;RIGHT(dms_CRCP_FirstYear_Result,2))))-1)</f>
        <v>June 2015</v>
      </c>
      <c r="D75" s="423" t="s">
        <v>905</v>
      </c>
      <c r="E75" s="243" t="s">
        <v>906</v>
      </c>
      <c r="F75" s="244"/>
      <c r="G75" s="244"/>
      <c r="H75" s="244"/>
      <c r="I75" s="244"/>
      <c r="J75" s="872"/>
      <c r="K75" s="884"/>
      <c r="O75" s="218"/>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row>
    <row r="76" spans="1:43" s="196" customFormat="1" ht="24" hidden="1" customHeight="1" thickBot="1">
      <c r="A76" s="787"/>
      <c r="B76" s="880" t="s">
        <v>907</v>
      </c>
      <c r="C76" s="881"/>
      <c r="D76" s="881"/>
      <c r="E76" s="881"/>
      <c r="F76" s="885"/>
      <c r="G76" s="885"/>
      <c r="H76" s="885"/>
      <c r="I76" s="885"/>
      <c r="J76" s="885"/>
      <c r="K76" s="886"/>
      <c r="O76" s="218"/>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row>
    <row r="77" spans="1:43" s="196" customFormat="1" hidden="1">
      <c r="A77" s="787"/>
      <c r="B77" s="257" t="s">
        <v>627</v>
      </c>
      <c r="C77" s="258">
        <f>IF(dms_Model="EB",1,0)</f>
        <v>0</v>
      </c>
      <c r="D77" s="887" t="s">
        <v>628</v>
      </c>
      <c r="E77" s="259"/>
      <c r="F77" s="260"/>
      <c r="G77" s="260"/>
      <c r="H77" s="260"/>
      <c r="I77" s="260"/>
      <c r="J77" s="888"/>
      <c r="K77" s="889"/>
      <c r="O77" s="218"/>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row>
    <row r="78" spans="1:43" s="196" customFormat="1" hidden="1">
      <c r="A78" s="787"/>
      <c r="B78" s="257"/>
      <c r="C78" s="258">
        <f>IF(dms_Model="CA",1,0)</f>
        <v>0</v>
      </c>
      <c r="D78" s="423" t="s">
        <v>629</v>
      </c>
      <c r="E78" s="243" t="s">
        <v>630</v>
      </c>
      <c r="F78" s="244"/>
      <c r="G78" s="244"/>
      <c r="H78" s="244"/>
      <c r="I78" s="244"/>
      <c r="J78" s="872"/>
      <c r="K78" s="873"/>
      <c r="O78" s="218"/>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row>
    <row r="79" spans="1:43" s="196" customFormat="1" hidden="1">
      <c r="A79" s="787"/>
      <c r="B79" s="262"/>
      <c r="C79" s="258">
        <f>IF(dms_Model="ARR",1,0)</f>
        <v>0</v>
      </c>
      <c r="D79" s="423" t="s">
        <v>631</v>
      </c>
      <c r="E79" s="243"/>
      <c r="F79" s="244"/>
      <c r="G79" s="244"/>
      <c r="H79" s="244"/>
      <c r="I79" s="244"/>
      <c r="J79" s="872"/>
      <c r="K79" s="873"/>
      <c r="O79" s="218"/>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row>
    <row r="80" spans="1:43" s="196" customFormat="1" hidden="1">
      <c r="A80" s="787"/>
      <c r="B80" s="890" t="s">
        <v>908</v>
      </c>
      <c r="C80" s="258" t="str">
        <f>IF(SUM(dms_SingleYear_Model)=1,"yes","no")</f>
        <v>no</v>
      </c>
      <c r="D80" s="423"/>
      <c r="E80" s="243" t="s">
        <v>909</v>
      </c>
      <c r="F80" s="421"/>
      <c r="G80" s="421"/>
      <c r="H80" s="421"/>
      <c r="I80" s="244"/>
      <c r="J80" s="872"/>
      <c r="K80" s="873"/>
      <c r="O80" s="218"/>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row>
    <row r="81" spans="1:43" s="196" customFormat="1" hidden="1">
      <c r="A81" s="787"/>
      <c r="B81" s="263" t="s">
        <v>632</v>
      </c>
      <c r="C81" s="264" t="s">
        <v>583</v>
      </c>
      <c r="D81" s="423" t="s">
        <v>633</v>
      </c>
      <c r="E81" s="891" t="s">
        <v>634</v>
      </c>
      <c r="F81" s="892"/>
      <c r="G81" s="228"/>
      <c r="H81" s="228"/>
      <c r="I81" s="893"/>
      <c r="J81" s="872"/>
      <c r="K81" s="873"/>
      <c r="O81" s="218"/>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row>
    <row r="82" spans="1:43" s="196" customFormat="1" hidden="1">
      <c r="A82" s="787"/>
      <c r="B82" s="894" t="s">
        <v>635</v>
      </c>
      <c r="C82" s="895" t="str">
        <f ca="1">IFERROR(IF(SUM(dms_SingleYear_Model)&lt;&gt;0,(INDIRECT(dms_SingleYear_FinalYear_Ref)),"not a single year RIN"),"CRY not present")</f>
        <v>not a single year RIN</v>
      </c>
      <c r="D82" s="896" t="s">
        <v>636</v>
      </c>
      <c r="E82" s="897" t="s">
        <v>910</v>
      </c>
      <c r="F82" s="898"/>
      <c r="G82" s="898"/>
      <c r="H82" s="898"/>
      <c r="I82" s="898"/>
      <c r="J82" s="898"/>
      <c r="K82" s="899"/>
      <c r="O82" s="218"/>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row>
    <row r="83" spans="1:43" s="196" customFormat="1" hidden="1">
      <c r="A83" s="787"/>
      <c r="B83" s="262" t="s">
        <v>638</v>
      </c>
      <c r="C83" s="272">
        <f>INDEX(dms_FRCPlength_List,MATCH(dms_TradingName,dms_TradingName_List))</f>
        <v>5</v>
      </c>
      <c r="D83" s="887" t="s">
        <v>639</v>
      </c>
      <c r="E83" s="259" t="s">
        <v>640</v>
      </c>
      <c r="F83" s="260"/>
      <c r="G83" s="260"/>
      <c r="H83" s="260"/>
      <c r="I83" s="260"/>
      <c r="J83" s="260"/>
      <c r="K83" s="261"/>
      <c r="O83" s="218"/>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row>
    <row r="84" spans="1:43" s="196" customFormat="1" hidden="1">
      <c r="A84" s="787"/>
      <c r="B84" s="263" t="s">
        <v>641</v>
      </c>
      <c r="C84" s="248" t="str">
        <f>INDEX(dms_FinalYear_List,MATCH(dms_FRCPlength_Num,dms_FRCPlength_Num_List))</f>
        <v>dms_FRCP_y5</v>
      </c>
      <c r="D84" s="423" t="s">
        <v>642</v>
      </c>
      <c r="E84" s="243" t="s">
        <v>643</v>
      </c>
      <c r="F84" s="228"/>
      <c r="G84" s="228"/>
      <c r="H84" s="228"/>
      <c r="I84" s="228"/>
      <c r="J84" s="228"/>
      <c r="K84" s="229"/>
      <c r="O84" s="218"/>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row>
    <row r="85" spans="1:43" s="196" customFormat="1" hidden="1">
      <c r="A85" s="787"/>
      <c r="B85" s="894" t="s">
        <v>644</v>
      </c>
      <c r="C85" s="900" t="str">
        <f ca="1">IF(dms_MultiYear_Flag=0,INDIRECT(dms_MultiYear_FinalYear_Ref),dms_Specified_FinalYear)</f>
        <v>2024-25</v>
      </c>
      <c r="D85" s="896" t="s">
        <v>645</v>
      </c>
      <c r="E85" s="897" t="s">
        <v>646</v>
      </c>
      <c r="F85" s="898"/>
      <c r="G85" s="898"/>
      <c r="H85" s="898"/>
      <c r="I85" s="898" t="s">
        <v>637</v>
      </c>
      <c r="J85" s="898"/>
      <c r="K85" s="899"/>
      <c r="O85" s="218"/>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row>
    <row r="86" spans="1:43" s="196" customFormat="1" hidden="1">
      <c r="A86" s="787"/>
      <c r="B86" s="262" t="s">
        <v>647</v>
      </c>
      <c r="C86" s="272">
        <f>INDEX(dms_CRCPlength_List,MATCH(dms_TradingName,dms_TradingName_List))</f>
        <v>5</v>
      </c>
      <c r="D86" s="901" t="s">
        <v>648</v>
      </c>
      <c r="E86" s="902" t="s">
        <v>649</v>
      </c>
      <c r="F86" s="260"/>
      <c r="G86" s="260"/>
      <c r="H86" s="260"/>
      <c r="I86" s="260"/>
      <c r="J86" s="260"/>
      <c r="K86" s="261"/>
      <c r="O86" s="218"/>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row>
    <row r="87" spans="1:43" s="196" customFormat="1" hidden="1">
      <c r="A87" s="787"/>
      <c r="B87" s="265" t="s">
        <v>650</v>
      </c>
      <c r="C87" s="242" t="str">
        <f>INDEX(dms_CFinalYear_List,MATCH(dms_CRCPlength_Num,dms_CRCPlength_Num_List))</f>
        <v>CRCP_y5</v>
      </c>
      <c r="D87" s="903" t="s">
        <v>651</v>
      </c>
      <c r="E87" s="266" t="s">
        <v>652</v>
      </c>
      <c r="F87" s="244"/>
      <c r="G87" s="244"/>
      <c r="H87" s="244"/>
      <c r="I87" s="244"/>
      <c r="J87" s="244"/>
      <c r="K87" s="245"/>
      <c r="O87" s="218"/>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row>
    <row r="88" spans="1:43" s="196" customFormat="1" hidden="1">
      <c r="A88" s="787"/>
      <c r="B88" s="267" t="s">
        <v>653</v>
      </c>
      <c r="C88" s="242" t="str">
        <f>INDEX(dms_CRCP_years,MATCH(dms_CRCPlength_Num,dms_CRCP_index))</f>
        <v>2015-16</v>
      </c>
      <c r="D88" s="904" t="s">
        <v>654</v>
      </c>
      <c r="E88" s="266" t="s">
        <v>655</v>
      </c>
      <c r="F88" s="268"/>
      <c r="G88" s="268"/>
      <c r="H88" s="268"/>
      <c r="I88" s="268"/>
      <c r="J88" s="268"/>
      <c r="K88" s="905"/>
      <c r="O88" s="218"/>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row>
    <row r="89" spans="1:43" s="196" customFormat="1" ht="15.75" hidden="1" thickBot="1">
      <c r="A89" s="787"/>
      <c r="B89" s="269" t="s">
        <v>656</v>
      </c>
      <c r="C89" s="270" t="str">
        <f>IF(dms_MultiYear_Flag=0,(IF(SUM(dms_SingleYear_Model)&gt;0,CRY,dms_CRCP_yZ)),dms_Specified_FinalYear)</f>
        <v>2019-20</v>
      </c>
      <c r="D89" s="906" t="s">
        <v>657</v>
      </c>
      <c r="E89" s="271" t="s">
        <v>658</v>
      </c>
      <c r="F89" s="252"/>
      <c r="G89" s="252"/>
      <c r="H89" s="252"/>
      <c r="I89" s="252"/>
      <c r="J89" s="252"/>
      <c r="K89" s="253"/>
      <c r="O89" s="218"/>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row>
    <row r="90" spans="1:43" s="196" customFormat="1" ht="24" hidden="1" customHeight="1" thickBot="1">
      <c r="A90" s="879"/>
      <c r="B90" s="880" t="s">
        <v>911</v>
      </c>
      <c r="C90" s="881"/>
      <c r="D90" s="881"/>
      <c r="E90" s="881"/>
      <c r="F90" s="882"/>
      <c r="G90" s="882"/>
      <c r="H90" s="882"/>
      <c r="I90" s="882"/>
      <c r="J90" s="882"/>
      <c r="K90" s="883"/>
      <c r="O90" s="218"/>
    </row>
    <row r="91" spans="1:43" s="196" customFormat="1" ht="15.75" hidden="1" thickBot="1">
      <c r="A91" s="787"/>
      <c r="B91" s="241" t="s">
        <v>619</v>
      </c>
      <c r="C91" s="242" t="str">
        <f>INDEX(dms_FormControl_List,MATCH(dms_TradingName,dms_TradingName_List))</f>
        <v>Revenue cap</v>
      </c>
      <c r="D91" s="423" t="s">
        <v>620</v>
      </c>
      <c r="E91" s="243" t="s">
        <v>621</v>
      </c>
      <c r="F91" s="244"/>
      <c r="G91" s="244"/>
      <c r="H91" s="244"/>
      <c r="I91" s="244"/>
      <c r="J91" s="872"/>
      <c r="K91" s="884"/>
      <c r="O91" s="218"/>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row>
    <row r="92" spans="1:43" s="196" customFormat="1" ht="15.75" hidden="1" thickBot="1">
      <c r="A92" s="787"/>
      <c r="B92" s="880" t="s">
        <v>912</v>
      </c>
      <c r="C92" s="881"/>
      <c r="D92" s="881"/>
      <c r="E92" s="881"/>
      <c r="F92" s="885"/>
      <c r="G92" s="885"/>
      <c r="H92" s="885"/>
      <c r="I92" s="885"/>
      <c r="J92" s="885"/>
      <c r="K92" s="886"/>
      <c r="O92" s="218"/>
    </row>
    <row r="93" spans="1:43" s="196" customFormat="1" ht="15.75" hidden="1">
      <c r="A93" s="787"/>
      <c r="B93" s="907" t="s">
        <v>913</v>
      </c>
      <c r="C93" s="908" t="s">
        <v>594</v>
      </c>
      <c r="D93" s="909"/>
      <c r="E93" s="910"/>
      <c r="F93" s="421"/>
      <c r="G93" s="421"/>
      <c r="H93" s="421"/>
      <c r="I93" s="260"/>
      <c r="J93" s="888"/>
      <c r="K93" s="889"/>
      <c r="O93" s="218"/>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row>
    <row r="94" spans="1:43" s="196" customFormat="1" hidden="1">
      <c r="A94" s="787"/>
      <c r="B94" s="257" t="s">
        <v>914</v>
      </c>
      <c r="C94" s="911">
        <f>IF(dms_MultiYear_ResponseFlag="No",0,1)</f>
        <v>0</v>
      </c>
      <c r="D94" s="909" t="s">
        <v>625</v>
      </c>
      <c r="E94" s="874" t="s">
        <v>915</v>
      </c>
      <c r="F94" s="421"/>
      <c r="G94" s="421"/>
      <c r="H94" s="421"/>
      <c r="I94" s="244"/>
      <c r="J94" s="872"/>
      <c r="K94" s="873"/>
      <c r="O94" s="218"/>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row>
    <row r="95" spans="1:43" s="196" customFormat="1" ht="26.25" hidden="1" thickBot="1">
      <c r="A95" s="787"/>
      <c r="B95" s="254"/>
      <c r="C95" s="912" t="str">
        <f>IF(dms_MultiYear_Flag=1,FRY,"not a Multiple year submission")</f>
        <v>not a Multiple year submission</v>
      </c>
      <c r="D95" s="913" t="s">
        <v>626</v>
      </c>
      <c r="E95" s="914" t="s">
        <v>916</v>
      </c>
      <c r="F95" s="255"/>
      <c r="G95" s="255"/>
      <c r="H95" s="255"/>
      <c r="I95" s="252"/>
      <c r="J95" s="877"/>
      <c r="K95" s="878"/>
      <c r="O95" s="218"/>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row>
    <row r="96" spans="1:43" s="196" customFormat="1" ht="15.75" hidden="1" thickBot="1">
      <c r="A96" s="787"/>
      <c r="B96" s="915" t="s">
        <v>917</v>
      </c>
      <c r="C96" s="242" t="str">
        <f>IF(dms_MultiYear_Flag=1,FRY,CRY)</f>
        <v>2018-19</v>
      </c>
      <c r="D96" s="916" t="s">
        <v>918</v>
      </c>
      <c r="E96" s="916" t="s">
        <v>919</v>
      </c>
      <c r="F96" s="421"/>
      <c r="G96" s="421" t="s">
        <v>920</v>
      </c>
      <c r="H96" s="421"/>
      <c r="I96" s="421"/>
      <c r="J96" s="917"/>
      <c r="K96" s="918"/>
      <c r="O96" s="218"/>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row>
    <row r="97" spans="1:43" s="196" customFormat="1" ht="28.5" hidden="1" customHeight="1" thickBot="1">
      <c r="A97" s="879"/>
      <c r="B97" s="880" t="s">
        <v>921</v>
      </c>
      <c r="C97" s="881"/>
      <c r="D97" s="881"/>
      <c r="E97" s="881"/>
      <c r="F97" s="882"/>
      <c r="G97" s="882"/>
      <c r="H97" s="882"/>
      <c r="I97" s="882"/>
      <c r="J97" s="882"/>
      <c r="K97" s="883"/>
      <c r="O97" s="218"/>
    </row>
    <row r="98" spans="1:43" s="196" customFormat="1" ht="24.75" hidden="1" customHeight="1" thickBot="1">
      <c r="A98" s="787"/>
      <c r="B98" s="241" t="s">
        <v>922</v>
      </c>
      <c r="C98" s="248" t="e">
        <f ca="1">IF(dms_RPT="financial",VALUE(LEFT(dms_SingleYear_FinalYear_Result,4)),VALUE(LEFT(dms_SingleYear_FinalYear_Result,4)-1))</f>
        <v>#VALUE!</v>
      </c>
      <c r="D98" s="423" t="s">
        <v>923</v>
      </c>
      <c r="E98" s="243" t="s">
        <v>924</v>
      </c>
      <c r="F98" s="244"/>
      <c r="G98" s="244"/>
      <c r="H98" s="244"/>
      <c r="I98" s="244"/>
      <c r="J98" s="872"/>
      <c r="K98" s="884"/>
      <c r="O98" s="218"/>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row>
    <row r="99" spans="1:43" s="196" customFormat="1" ht="15.75" hidden="1" thickBot="1">
      <c r="A99" s="787"/>
      <c r="B99" s="880" t="s">
        <v>925</v>
      </c>
      <c r="C99" s="881"/>
      <c r="D99" s="881"/>
      <c r="E99" s="881"/>
      <c r="F99" s="885"/>
      <c r="G99" s="885"/>
      <c r="H99" s="885"/>
      <c r="I99" s="885"/>
      <c r="J99" s="885"/>
      <c r="K99" s="886"/>
      <c r="O99" s="218"/>
    </row>
    <row r="100" spans="1:43" s="196" customFormat="1" hidden="1">
      <c r="A100" s="787"/>
      <c r="B100" s="919" t="s">
        <v>926</v>
      </c>
      <c r="C100" s="920"/>
      <c r="D100" s="921"/>
      <c r="E100" s="874" t="s">
        <v>927</v>
      </c>
      <c r="F100" s="421"/>
      <c r="G100" s="421"/>
      <c r="H100" s="421"/>
      <c r="I100" s="421"/>
      <c r="J100" s="421"/>
      <c r="K100" s="231"/>
      <c r="O100" s="218"/>
    </row>
    <row r="101" spans="1:43" s="196" customFormat="1" hidden="1">
      <c r="A101" s="787"/>
      <c r="B101" s="919"/>
      <c r="C101" s="920" t="str">
        <f>IF(dms_Model&lt;&gt;"CA","not a CA","Is a CA")</f>
        <v>not a CA</v>
      </c>
      <c r="D101" s="921"/>
      <c r="E101" s="922" t="s">
        <v>928</v>
      </c>
      <c r="F101" s="421"/>
      <c r="G101" s="421"/>
      <c r="H101" s="421"/>
      <c r="I101" s="421"/>
      <c r="J101" s="421"/>
      <c r="K101" s="231"/>
      <c r="O101" s="218"/>
    </row>
    <row r="102" spans="1:43" s="196" customFormat="1" hidden="1">
      <c r="A102" s="787"/>
      <c r="B102" s="923" t="s">
        <v>929</v>
      </c>
      <c r="C102" s="920" t="str">
        <f>IFERROR(IF(INDEX(dms_060301_Avg_Duration_Sustained_Int_Values,1,1)&lt;&gt;"","yes","no"),"no")</f>
        <v>no</v>
      </c>
      <c r="D102" s="921" t="s">
        <v>930</v>
      </c>
      <c r="E102" s="924" t="s">
        <v>931</v>
      </c>
      <c r="F102" s="421"/>
      <c r="G102" s="421"/>
      <c r="H102" s="421"/>
      <c r="I102" s="421"/>
      <c r="J102" s="421"/>
      <c r="K102" s="231"/>
      <c r="O102" s="218"/>
    </row>
    <row r="103" spans="1:43" s="196" customFormat="1" hidden="1">
      <c r="A103" s="787"/>
      <c r="B103" s="923"/>
      <c r="C103" s="925" t="str">
        <f>IF(AND(dms_Model="CA",(dms_060301_checkvalue="no")),"error - NR not present","no errors")</f>
        <v>no errors</v>
      </c>
      <c r="D103" s="921"/>
      <c r="E103" s="924" t="s">
        <v>932</v>
      </c>
      <c r="F103" s="421"/>
      <c r="G103" s="421"/>
      <c r="H103" s="421"/>
      <c r="I103" s="421"/>
      <c r="J103" s="421"/>
      <c r="K103" s="231"/>
      <c r="O103" s="218"/>
    </row>
    <row r="104" spans="1:43" s="196" customFormat="1" hidden="1">
      <c r="A104" s="787"/>
      <c r="B104" s="926" t="s">
        <v>933</v>
      </c>
      <c r="C104" s="920" t="str">
        <f>IFERROR(IF(dms_Model="CA",LOOKUP(2,1/(dms_060301_Avg_Duration_Sustained_Int_Values&lt;&gt;""),(ROW(dms_060301_Avg_Duration_Sustained_Int_Values))),"not a CA"),"6.3 not present")</f>
        <v>not a CA</v>
      </c>
      <c r="D104" s="921" t="s">
        <v>934</v>
      </c>
      <c r="E104" s="924" t="s">
        <v>935</v>
      </c>
      <c r="F104" s="421"/>
      <c r="G104" s="421"/>
      <c r="H104" s="421"/>
      <c r="I104" s="421"/>
      <c r="J104" s="421"/>
      <c r="K104" s="231"/>
      <c r="O104" s="218"/>
    </row>
    <row r="105" spans="1:43" s="196" customFormat="1" hidden="1">
      <c r="A105" s="787"/>
      <c r="B105" s="927" t="s">
        <v>936</v>
      </c>
      <c r="C105" s="928" t="str">
        <f>IFERROR(IF(dms_Model="CA",(dms_060301_LastRow-15),"not a CA"),"error")</f>
        <v>not a CA</v>
      </c>
      <c r="D105" s="929" t="s">
        <v>937</v>
      </c>
      <c r="E105" s="930" t="s">
        <v>938</v>
      </c>
      <c r="F105" s="255"/>
      <c r="G105" s="255"/>
      <c r="H105" s="255"/>
      <c r="I105" s="255"/>
      <c r="J105" s="255"/>
      <c r="K105" s="256"/>
      <c r="L105" s="219"/>
      <c r="O105" s="218"/>
    </row>
    <row r="106" spans="1:43" ht="15.75" hidden="1" thickBot="1">
      <c r="B106" s="931" t="s">
        <v>659</v>
      </c>
      <c r="C106" s="932">
        <f>INDEX(dms_663_List,MATCH(dms_TradingName,dms_TradingName_List))</f>
        <v>5</v>
      </c>
      <c r="D106" s="909" t="s">
        <v>660</v>
      </c>
      <c r="E106" s="924" t="s">
        <v>939</v>
      </c>
      <c r="F106" s="933"/>
      <c r="G106" s="933"/>
      <c r="H106" s="933"/>
      <c r="I106" s="933"/>
      <c r="J106" s="933"/>
      <c r="K106" s="934"/>
    </row>
    <row r="107" spans="1:43" s="196" customFormat="1" ht="15.75" hidden="1" thickBot="1">
      <c r="A107" s="787"/>
      <c r="B107" s="880" t="s">
        <v>940</v>
      </c>
      <c r="C107" s="881"/>
      <c r="D107" s="881"/>
      <c r="E107" s="881"/>
      <c r="F107" s="885"/>
      <c r="G107" s="885"/>
      <c r="H107" s="885"/>
      <c r="I107" s="885"/>
      <c r="J107" s="885"/>
      <c r="K107" s="886"/>
      <c r="O107" s="218"/>
    </row>
    <row r="108" spans="1:43" ht="25.5" hidden="1">
      <c r="B108" s="919" t="s">
        <v>941</v>
      </c>
      <c r="C108" s="935" t="s">
        <v>942</v>
      </c>
      <c r="D108" s="936"/>
      <c r="E108" s="937" t="s">
        <v>943</v>
      </c>
      <c r="F108" s="938"/>
      <c r="G108" s="938"/>
      <c r="H108" s="933"/>
      <c r="I108" s="933"/>
      <c r="J108" s="933"/>
      <c r="K108" s="934"/>
      <c r="O108" s="939"/>
    </row>
    <row r="109" spans="1:43" hidden="1">
      <c r="B109" s="926" t="s">
        <v>944</v>
      </c>
      <c r="C109" s="935" t="str">
        <f>IFERROR(IF(dms_LeapYear,"yes"),"no")</f>
        <v>no</v>
      </c>
      <c r="D109" s="936"/>
      <c r="E109" s="940"/>
      <c r="F109" s="938"/>
      <c r="G109" s="938"/>
      <c r="H109" s="933"/>
      <c r="I109" s="933"/>
      <c r="J109" s="933"/>
      <c r="K109" s="934"/>
      <c r="O109" s="939"/>
    </row>
    <row r="110" spans="1:43" hidden="1">
      <c r="B110" s="941" t="s">
        <v>945</v>
      </c>
      <c r="C110" s="942" t="str">
        <f xml:space="preserve">
IFERROR(IF(MONTH(DATE(YEAR(dms_LeapYear),2,29))=2,"is a leap year","not a leap year"),
"dms_LeapYear not present")</f>
        <v>dms_LeapYear not present</v>
      </c>
      <c r="D110" s="909" t="s">
        <v>946</v>
      </c>
      <c r="E110" s="909" t="s">
        <v>947</v>
      </c>
      <c r="F110" s="933"/>
      <c r="G110" s="933"/>
      <c r="H110" s="933"/>
      <c r="I110" s="933"/>
      <c r="J110" s="933"/>
      <c r="K110" s="934"/>
    </row>
    <row r="111" spans="1:43" hidden="1">
      <c r="B111" s="941" t="s">
        <v>948</v>
      </c>
      <c r="C111" s="943">
        <f>IF(dms_LeapYear_Result="is a leap year",1827,1826)</f>
        <v>1826</v>
      </c>
      <c r="D111" s="909" t="s">
        <v>949</v>
      </c>
      <c r="E111" s="910" t="s">
        <v>950</v>
      </c>
      <c r="F111" s="933"/>
      <c r="G111" s="933"/>
      <c r="H111" s="244" t="s">
        <v>951</v>
      </c>
      <c r="I111" s="933"/>
      <c r="J111" s="933"/>
      <c r="K111" s="934"/>
    </row>
    <row r="112" spans="1:43" hidden="1">
      <c r="B112" s="941" t="s">
        <v>952</v>
      </c>
      <c r="C112" s="943">
        <f>IF(dms_LeapYear_Result="is a leap year",366,365)</f>
        <v>365</v>
      </c>
      <c r="D112" s="909" t="s">
        <v>953</v>
      </c>
      <c r="E112" s="910" t="s">
        <v>954</v>
      </c>
      <c r="F112" s="933"/>
      <c r="G112" s="933"/>
      <c r="H112" s="244" t="s">
        <v>955</v>
      </c>
      <c r="I112" s="933"/>
      <c r="J112" s="933"/>
      <c r="K112" s="934"/>
    </row>
    <row r="113" spans="1:19" ht="15.75" hidden="1" thickBot="1">
      <c r="B113" s="944" t="s">
        <v>956</v>
      </c>
      <c r="C113" s="945">
        <f>IF(dms_Model="ARR",dms_060701_ARR_MaxRows,IF(dms_Model="Reset",dms_060701_Reset_MaxRows,"not a relevant RIN type"))</f>
        <v>1826</v>
      </c>
      <c r="D113" s="946" t="s">
        <v>957</v>
      </c>
      <c r="E113" s="947" t="s">
        <v>958</v>
      </c>
      <c r="F113" s="948"/>
      <c r="G113" s="948"/>
      <c r="H113" s="948"/>
      <c r="I113" s="948"/>
      <c r="J113" s="948"/>
      <c r="K113" s="949"/>
    </row>
    <row r="114" spans="1:19" s="958" customFormat="1" ht="24" hidden="1" customHeight="1">
      <c r="A114" s="950"/>
      <c r="B114" s="951" t="s">
        <v>959</v>
      </c>
      <c r="C114" s="952" t="str">
        <f>IF(dms_FifthFeeder_flag_NSP="NO","This NSP has only 4 feeder categories","This NSP has 5 feeder categories")</f>
        <v>This NSP has only 4 feeder categories</v>
      </c>
      <c r="D114" s="953"/>
      <c r="E114" s="954"/>
      <c r="F114" s="955"/>
      <c r="G114" s="955"/>
      <c r="H114" s="955"/>
      <c r="I114" s="955"/>
      <c r="J114" s="955"/>
      <c r="K114" s="956"/>
      <c r="L114" s="957"/>
      <c r="M114" s="957"/>
      <c r="N114" s="957"/>
      <c r="O114" s="218"/>
      <c r="P114" s="957"/>
      <c r="Q114" s="957"/>
      <c r="R114" s="957"/>
      <c r="S114" s="957"/>
    </row>
    <row r="115" spans="1:19" hidden="1">
      <c r="B115" s="926" t="s">
        <v>960</v>
      </c>
      <c r="C115" s="959">
        <f>IF(dms_FifthFeeder_flag_NSP="NO",10,12)</f>
        <v>10</v>
      </c>
      <c r="D115" s="909" t="s">
        <v>961</v>
      </c>
      <c r="E115" s="924" t="s">
        <v>962</v>
      </c>
      <c r="F115" s="933"/>
      <c r="G115" s="933"/>
      <c r="H115" s="933"/>
      <c r="I115" s="933"/>
      <c r="J115" s="933"/>
      <c r="K115" s="934"/>
      <c r="O115" s="960"/>
    </row>
    <row r="116" spans="1:19" hidden="1">
      <c r="B116" s="927" t="s">
        <v>963</v>
      </c>
      <c r="C116" s="961">
        <f>IF(dms_Model="ARR",15,9)</f>
        <v>9</v>
      </c>
      <c r="D116" s="913" t="s">
        <v>964</v>
      </c>
      <c r="E116" s="962" t="s">
        <v>965</v>
      </c>
      <c r="F116" s="963"/>
      <c r="G116" s="963"/>
      <c r="H116" s="963"/>
      <c r="I116" s="963"/>
      <c r="J116" s="963"/>
      <c r="K116" s="964"/>
      <c r="O116" s="960"/>
    </row>
    <row r="117" spans="1:19" hidden="1">
      <c r="B117" s="919" t="s">
        <v>966</v>
      </c>
      <c r="C117" s="965"/>
      <c r="D117" s="966"/>
      <c r="E117" s="874" t="s">
        <v>967</v>
      </c>
      <c r="F117" s="933"/>
      <c r="G117" s="933"/>
      <c r="H117" s="933"/>
      <c r="I117" s="933"/>
      <c r="J117" s="933"/>
      <c r="K117" s="934"/>
    </row>
    <row r="118" spans="1:19" hidden="1">
      <c r="B118" s="926" t="s">
        <v>968</v>
      </c>
      <c r="C118" s="965" t="str">
        <f>IF(SUM(dms_SingleYear_Model)&gt;0,(CONCATENATE(IF(LEN(CRY)=4,"1-Jan-","1-Jul-"),LEFT(CRY,4))),(CONCATENATE(IF(LEN(CRCP_y4)=4,"1-Jan-","1-Jul-"),LEFT(CRCP_y4,4))))</f>
        <v>1-Jul-2018</v>
      </c>
      <c r="D118" s="909" t="s">
        <v>838</v>
      </c>
      <c r="E118" s="922" t="s">
        <v>969</v>
      </c>
      <c r="F118" s="933"/>
      <c r="G118" s="933"/>
      <c r="H118" s="933"/>
      <c r="I118" s="933"/>
      <c r="J118" s="933"/>
      <c r="K118" s="934"/>
      <c r="O118" s="939"/>
    </row>
    <row r="119" spans="1:19" ht="15.75" hidden="1" thickBot="1">
      <c r="B119" s="967" t="s">
        <v>970</v>
      </c>
      <c r="C119" s="968">
        <f>DATEVALUE(dms_060701_StartDateTxt)</f>
        <v>43282</v>
      </c>
      <c r="D119" s="969" t="s">
        <v>971</v>
      </c>
      <c r="E119" s="970" t="s">
        <v>972</v>
      </c>
      <c r="F119" s="971"/>
      <c r="G119" s="971"/>
      <c r="H119" s="971"/>
      <c r="I119" s="971"/>
      <c r="J119" s="971"/>
      <c r="K119" s="972"/>
      <c r="L119" s="219"/>
      <c r="O119" s="939"/>
    </row>
    <row r="120" spans="1:19" s="196" customFormat="1" ht="15.75" hidden="1" thickBot="1">
      <c r="A120" s="787"/>
      <c r="B120" s="880" t="s">
        <v>973</v>
      </c>
      <c r="C120" s="881"/>
      <c r="D120" s="881"/>
      <c r="E120" s="881"/>
      <c r="F120" s="885"/>
      <c r="G120" s="885"/>
      <c r="H120" s="885"/>
      <c r="I120" s="885"/>
      <c r="J120" s="885"/>
      <c r="K120" s="886"/>
      <c r="O120" s="218"/>
    </row>
    <row r="121" spans="1:19" ht="38.25" hidden="1">
      <c r="B121" s="973" t="s">
        <v>974</v>
      </c>
      <c r="C121" s="935" t="s">
        <v>975</v>
      </c>
      <c r="D121" s="874"/>
      <c r="E121" s="874" t="s">
        <v>976</v>
      </c>
      <c r="F121" s="974"/>
      <c r="G121" s="974"/>
      <c r="H121" s="974"/>
      <c r="I121" s="974"/>
      <c r="J121" s="974"/>
      <c r="K121" s="975"/>
      <c r="L121" s="219"/>
      <c r="O121" s="939"/>
    </row>
    <row r="122" spans="1:19" hidden="1">
      <c r="B122" s="919" t="s">
        <v>977</v>
      </c>
      <c r="C122" s="935" t="s">
        <v>668</v>
      </c>
      <c r="D122" s="976"/>
      <c r="E122" s="924" t="s">
        <v>978</v>
      </c>
      <c r="F122" s="933"/>
      <c r="G122" s="933"/>
      <c r="H122" s="933"/>
      <c r="I122" s="933"/>
      <c r="J122" s="933"/>
      <c r="K122" s="934"/>
      <c r="L122" s="219"/>
      <c r="O122" s="939"/>
    </row>
    <row r="123" spans="1:19" hidden="1">
      <c r="B123" s="926" t="s">
        <v>979</v>
      </c>
      <c r="C123" s="965">
        <v>12</v>
      </c>
      <c r="D123" s="909" t="s">
        <v>980</v>
      </c>
      <c r="E123" s="924" t="s">
        <v>981</v>
      </c>
      <c r="F123" s="933"/>
      <c r="G123" s="933"/>
      <c r="H123" s="933"/>
      <c r="I123" s="933"/>
      <c r="J123" s="933"/>
      <c r="K123" s="934"/>
      <c r="O123" s="939"/>
    </row>
    <row r="124" spans="1:19" hidden="1">
      <c r="B124" s="926" t="s">
        <v>982</v>
      </c>
      <c r="C124" s="965" t="s">
        <v>983</v>
      </c>
      <c r="D124" s="909" t="s">
        <v>984</v>
      </c>
      <c r="E124" s="910" t="s">
        <v>985</v>
      </c>
      <c r="F124" s="933"/>
      <c r="G124" s="933"/>
      <c r="H124" s="933"/>
      <c r="I124" s="933"/>
      <c r="J124" s="933"/>
      <c r="K124" s="934"/>
    </row>
    <row r="125" spans="1:19" ht="15.75" hidden="1" thickBot="1">
      <c r="B125" s="967" t="s">
        <v>986</v>
      </c>
      <c r="C125" s="977" t="str">
        <f>IFERROR(IF(dms_Model="ARR",(MAX(0,dms_0608_LastRow-dms_0608_OffsetRows)),"not an ARR"),"6.8 not present")</f>
        <v>not an ARR</v>
      </c>
      <c r="D125" s="969" t="s">
        <v>987</v>
      </c>
      <c r="E125" s="978" t="s">
        <v>988</v>
      </c>
      <c r="F125" s="979"/>
      <c r="G125" s="971"/>
      <c r="H125" s="971"/>
      <c r="I125" s="971"/>
      <c r="J125" s="971"/>
      <c r="K125" s="972"/>
    </row>
    <row r="126" spans="1:19" s="196" customFormat="1" ht="15.75" hidden="1" thickBot="1">
      <c r="A126" s="787"/>
      <c r="B126" s="880" t="s">
        <v>989</v>
      </c>
      <c r="C126" s="881"/>
      <c r="D126" s="881"/>
      <c r="E126" s="881"/>
      <c r="F126" s="885"/>
      <c r="G126" s="885"/>
      <c r="H126" s="885"/>
      <c r="I126" s="885"/>
      <c r="J126" s="885"/>
      <c r="K126" s="886"/>
      <c r="O126" s="218"/>
    </row>
    <row r="127" spans="1:19" hidden="1">
      <c r="B127" s="919" t="s">
        <v>990</v>
      </c>
      <c r="C127" s="980"/>
      <c r="D127" s="909"/>
      <c r="E127" s="924"/>
      <c r="F127" s="981"/>
      <c r="G127" s="933"/>
      <c r="H127" s="933"/>
      <c r="I127" s="933"/>
      <c r="J127" s="933"/>
      <c r="K127" s="934"/>
    </row>
    <row r="128" spans="1:19" ht="15.75" hidden="1" thickBot="1">
      <c r="B128" s="926" t="s">
        <v>991</v>
      </c>
      <c r="C128" s="965" t="str">
        <f>LEFT(PRCP_y3,4)</f>
        <v>2012</v>
      </c>
      <c r="D128" s="909" t="s">
        <v>992</v>
      </c>
      <c r="E128" s="982" t="s">
        <v>993</v>
      </c>
      <c r="F128" s="933"/>
      <c r="G128" s="933"/>
      <c r="H128" s="933"/>
      <c r="I128" s="933"/>
      <c r="J128" s="933"/>
      <c r="K128" s="934"/>
    </row>
    <row r="129" spans="1:15" s="196" customFormat="1" ht="15.75" hidden="1" thickBot="1">
      <c r="A129" s="787"/>
      <c r="B129" s="880" t="s">
        <v>994</v>
      </c>
      <c r="C129" s="881"/>
      <c r="D129" s="881"/>
      <c r="E129" s="881"/>
      <c r="F129" s="885"/>
      <c r="G129" s="885"/>
      <c r="H129" s="885"/>
      <c r="I129" s="885"/>
      <c r="J129" s="885"/>
      <c r="K129" s="886"/>
      <c r="O129" s="218"/>
    </row>
    <row r="130" spans="1:15" ht="15.75" hidden="1" thickBot="1">
      <c r="B130" s="241" t="s">
        <v>995</v>
      </c>
      <c r="C130" s="273" t="s">
        <v>64</v>
      </c>
      <c r="D130" s="423" t="s">
        <v>996</v>
      </c>
      <c r="E130" s="274"/>
      <c r="F130" s="275"/>
      <c r="G130" s="275"/>
      <c r="H130" s="275"/>
      <c r="I130" s="275"/>
      <c r="J130" s="275"/>
      <c r="K130" s="276"/>
    </row>
    <row r="131" spans="1:15" s="196" customFormat="1" ht="15.75" hidden="1" thickBot="1">
      <c r="A131" s="787"/>
      <c r="B131" s="880" t="s">
        <v>997</v>
      </c>
      <c r="C131" s="881"/>
      <c r="D131" s="881"/>
      <c r="E131" s="881"/>
      <c r="F131" s="885"/>
      <c r="G131" s="885"/>
      <c r="H131" s="885"/>
      <c r="I131" s="885"/>
      <c r="J131" s="885"/>
      <c r="K131" s="886"/>
      <c r="O131" s="218"/>
    </row>
    <row r="132" spans="1:15" s="196" customFormat="1" ht="14.25" hidden="1" customHeight="1">
      <c r="A132" s="787"/>
      <c r="B132" s="983" t="s">
        <v>661</v>
      </c>
      <c r="C132" s="984" t="str">
        <f>INDEX(dms_DeterminationRef_List,MATCH(dms_TradingName,dms_TradingName_List))</f>
        <v>transmission determination</v>
      </c>
      <c r="D132" s="985" t="s">
        <v>690</v>
      </c>
      <c r="E132" s="986"/>
      <c r="F132" s="987"/>
      <c r="G132" s="987"/>
      <c r="H132" s="987"/>
      <c r="I132" s="987"/>
      <c r="J132" s="987"/>
      <c r="K132" s="988"/>
      <c r="O132" s="218"/>
    </row>
    <row r="133" spans="1:15" s="196" customFormat="1" ht="14.25" hidden="1" customHeight="1">
      <c r="A133" s="787"/>
      <c r="B133" s="989" t="s">
        <v>998</v>
      </c>
      <c r="C133" s="990" t="str">
        <f>INDEX(dms_Public_Lighting_List,MATCH(dms_TradingName,dms_TradingName_List))</f>
        <v>NO</v>
      </c>
      <c r="D133" s="991" t="s">
        <v>999</v>
      </c>
      <c r="E133" s="992" t="s">
        <v>1000</v>
      </c>
      <c r="F133" s="993"/>
      <c r="G133" s="993"/>
      <c r="H133" s="993"/>
      <c r="I133" s="993"/>
      <c r="J133" s="993"/>
      <c r="K133" s="994"/>
      <c r="O133" s="218"/>
    </row>
    <row r="134" spans="1:15" ht="15" hidden="1" customHeight="1">
      <c r="B134" s="262" t="s">
        <v>691</v>
      </c>
      <c r="C134" s="272" t="str">
        <f>INDEX(dms_CBD_flag,MATCH(dms_TradingName,dms_TradingName_List))</f>
        <v>NO</v>
      </c>
      <c r="D134" s="887" t="s">
        <v>692</v>
      </c>
      <c r="E134" s="887"/>
      <c r="F134" s="995"/>
      <c r="G134" s="995"/>
      <c r="H134" s="995"/>
      <c r="I134" s="995"/>
      <c r="J134" s="995"/>
      <c r="K134" s="996"/>
      <c r="L134" s="787"/>
      <c r="M134" s="787"/>
    </row>
    <row r="135" spans="1:15" ht="15" hidden="1" customHeight="1">
      <c r="B135" s="265" t="s">
        <v>693</v>
      </c>
      <c r="C135" s="242" t="str">
        <f>INDEX(dms_Urban_flag,MATCH(dms_TradingName,dms_TradingName_List))</f>
        <v>NO</v>
      </c>
      <c r="D135" s="423" t="s">
        <v>694</v>
      </c>
      <c r="E135" s="423"/>
      <c r="F135" s="424"/>
      <c r="G135" s="424"/>
      <c r="H135" s="424"/>
      <c r="I135" s="424"/>
      <c r="J135" s="424"/>
      <c r="K135" s="425"/>
      <c r="L135" s="787"/>
      <c r="M135" s="787"/>
    </row>
    <row r="136" spans="1:15" ht="15" hidden="1" customHeight="1">
      <c r="B136" s="265" t="s">
        <v>695</v>
      </c>
      <c r="C136" s="242" t="str">
        <f>INDEX(dms_ShortRural_flag,MATCH(dms_TradingName,dms_TradingName_List))</f>
        <v>NO</v>
      </c>
      <c r="D136" s="423" t="s">
        <v>696</v>
      </c>
      <c r="E136" s="423"/>
      <c r="F136" s="424"/>
      <c r="G136" s="424"/>
      <c r="H136" s="424"/>
      <c r="I136" s="424"/>
      <c r="J136" s="424"/>
      <c r="K136" s="425"/>
      <c r="L136" s="787"/>
      <c r="M136" s="787"/>
    </row>
    <row r="137" spans="1:15" ht="15" hidden="1" customHeight="1">
      <c r="B137" s="997" t="s">
        <v>697</v>
      </c>
      <c r="C137" s="998" t="str">
        <f>INDEX(dms_LongRural_flag,MATCH(dms_TradingName,dms_TradingName_List))</f>
        <v>NO</v>
      </c>
      <c r="D137" s="999" t="s">
        <v>698</v>
      </c>
      <c r="E137" s="999"/>
      <c r="F137" s="1000"/>
      <c r="G137" s="1000"/>
      <c r="H137" s="1000"/>
      <c r="I137" s="1000"/>
      <c r="J137" s="1000"/>
      <c r="K137" s="1001"/>
      <c r="L137" s="787"/>
      <c r="M137" s="787"/>
    </row>
    <row r="138" spans="1:15" ht="15.75" hidden="1" thickBot="1">
      <c r="B138" s="1002" t="s">
        <v>1001</v>
      </c>
      <c r="C138" s="1003" t="str">
        <f>INDEX(dms_FeederType_5_flag,MATCH(dms_TradingName,dms_TradingName_List))</f>
        <v>NO</v>
      </c>
      <c r="D138" s="969" t="s">
        <v>1002</v>
      </c>
      <c r="E138" s="978" t="s">
        <v>1003</v>
      </c>
      <c r="F138" s="1004"/>
      <c r="G138" s="1004"/>
      <c r="H138" s="1004"/>
      <c r="I138" s="1004"/>
      <c r="J138" s="1004"/>
      <c r="K138" s="1005"/>
    </row>
    <row r="139" spans="1:15" ht="15.75" hidden="1" thickBot="1"/>
    <row r="140" spans="1:15" s="196" customFormat="1" ht="15.75" hidden="1" thickBot="1">
      <c r="A140" s="879"/>
      <c r="B140" s="880" t="s">
        <v>1004</v>
      </c>
      <c r="C140" s="881"/>
      <c r="D140" s="881"/>
      <c r="E140" s="881"/>
      <c r="F140" s="882"/>
      <c r="G140" s="882"/>
      <c r="H140" s="882"/>
      <c r="I140" s="882"/>
      <c r="J140" s="882"/>
      <c r="K140" s="883"/>
      <c r="O140" s="218"/>
    </row>
    <row r="141" spans="1:15" ht="15.75" hidden="1" thickBot="1">
      <c r="B141" s="1006" t="s">
        <v>664</v>
      </c>
      <c r="C141" s="1007" t="s">
        <v>64</v>
      </c>
      <c r="D141" s="1008" t="s">
        <v>665</v>
      </c>
      <c r="E141" s="1009" t="s">
        <v>666</v>
      </c>
      <c r="F141" s="1010"/>
      <c r="G141" s="1010"/>
      <c r="H141" s="1010"/>
      <c r="I141" s="1010"/>
      <c r="J141" s="1010"/>
      <c r="K141" s="1011"/>
    </row>
    <row r="142" spans="1:15" customFormat="1" hidden="1"/>
    <row r="143" spans="1:15" ht="20.25" hidden="1">
      <c r="B143" s="1012" t="s">
        <v>667</v>
      </c>
      <c r="C143" s="1013" t="s">
        <v>668</v>
      </c>
      <c r="D143" s="277" t="s">
        <v>669</v>
      </c>
      <c r="E143" s="278"/>
      <c r="F143" s="278"/>
      <c r="G143" s="278"/>
      <c r="H143" s="278"/>
      <c r="I143" s="278"/>
      <c r="J143" s="278"/>
      <c r="K143" s="278"/>
    </row>
    <row r="144" spans="1:15" ht="15.75" hidden="1" thickBot="1"/>
    <row r="145" spans="1:12" ht="15.75" hidden="1" thickBot="1">
      <c r="B145" s="1014" t="s">
        <v>1005</v>
      </c>
      <c r="C145" s="1015"/>
      <c r="D145" s="1015"/>
      <c r="E145" s="1015"/>
      <c r="F145" s="1016"/>
      <c r="G145" s="1016"/>
      <c r="H145" s="1016"/>
      <c r="I145" s="1016"/>
      <c r="J145" s="1016"/>
      <c r="K145" s="1017"/>
    </row>
    <row r="146" spans="1:12" hidden="1">
      <c r="B146" s="1018" t="s">
        <v>1006</v>
      </c>
      <c r="C146" s="1019" t="s">
        <v>64</v>
      </c>
      <c r="D146" s="1020" t="s">
        <v>1007</v>
      </c>
      <c r="E146" s="1021"/>
      <c r="F146" s="1022"/>
      <c r="G146" s="1022"/>
      <c r="H146" s="1022"/>
      <c r="I146" s="1022"/>
      <c r="J146" s="1022"/>
      <c r="K146" s="1023"/>
    </row>
    <row r="147" spans="1:12" hidden="1">
      <c r="B147" s="1024"/>
      <c r="C147" s="1025" t="s">
        <v>1008</v>
      </c>
      <c r="D147" s="1026" t="s">
        <v>1009</v>
      </c>
      <c r="E147" s="1027"/>
      <c r="F147" s="1028"/>
      <c r="G147" s="1028"/>
      <c r="H147" s="1028"/>
      <c r="I147" s="1028"/>
      <c r="J147" s="1028"/>
      <c r="K147" s="1029"/>
    </row>
    <row r="148" spans="1:12" hidden="1">
      <c r="B148" s="1024"/>
      <c r="C148" s="1030">
        <v>2013</v>
      </c>
      <c r="D148" s="1031" t="s">
        <v>1010</v>
      </c>
      <c r="E148" s="1032"/>
      <c r="F148" s="1033"/>
      <c r="G148" s="1033"/>
      <c r="H148" s="1033"/>
      <c r="I148" s="1033"/>
      <c r="J148" s="1033"/>
      <c r="K148" s="1034"/>
    </row>
    <row r="149" spans="1:12" hidden="1">
      <c r="B149" s="1024"/>
      <c r="C149" s="1030">
        <v>2014</v>
      </c>
      <c r="D149" s="1031" t="s">
        <v>1011</v>
      </c>
      <c r="E149" s="1032"/>
      <c r="F149" s="1033"/>
      <c r="G149" s="1033"/>
      <c r="H149" s="1033"/>
      <c r="I149" s="1033"/>
      <c r="J149" s="1033"/>
      <c r="K149" s="1034"/>
    </row>
    <row r="150" spans="1:12" ht="14.25" hidden="1">
      <c r="A150" s="780"/>
      <c r="B150" s="1024"/>
      <c r="C150" s="1030">
        <v>2015</v>
      </c>
      <c r="D150" s="1031" t="s">
        <v>1012</v>
      </c>
      <c r="E150" s="1032"/>
      <c r="F150" s="1033"/>
      <c r="G150" s="1033"/>
      <c r="H150" s="1033"/>
      <c r="I150" s="1033"/>
      <c r="J150" s="1033"/>
      <c r="K150" s="1034"/>
    </row>
    <row r="151" spans="1:12" ht="14.25" hidden="1">
      <c r="A151" s="780"/>
      <c r="B151" s="1024"/>
      <c r="C151" s="1030">
        <v>2016</v>
      </c>
      <c r="D151" s="1031" t="s">
        <v>1013</v>
      </c>
      <c r="E151" s="1032"/>
      <c r="F151" s="1033"/>
      <c r="G151" s="1033"/>
      <c r="H151" s="1033"/>
      <c r="I151" s="1033"/>
      <c r="J151" s="1033"/>
      <c r="K151" s="1034"/>
    </row>
    <row r="152" spans="1:12" ht="14.25" hidden="1">
      <c r="A152" s="780"/>
      <c r="B152" s="1035"/>
      <c r="C152" s="1036">
        <v>2017</v>
      </c>
      <c r="D152" s="1037" t="s">
        <v>1014</v>
      </c>
      <c r="E152" s="1038"/>
      <c r="F152" s="1039"/>
      <c r="G152" s="1039"/>
      <c r="H152" s="1039"/>
      <c r="I152" s="1039"/>
      <c r="J152" s="1039"/>
      <c r="K152" s="1040"/>
    </row>
    <row r="153" spans="1:12" ht="14.25" hidden="1">
      <c r="A153" s="780"/>
      <c r="B153" s="1035"/>
      <c r="C153" s="1036">
        <v>2018</v>
      </c>
      <c r="D153" s="1037" t="s">
        <v>1015</v>
      </c>
      <c r="E153" s="1038"/>
      <c r="F153" s="1039"/>
      <c r="G153" s="1039"/>
      <c r="H153" s="1039"/>
      <c r="I153" s="1039"/>
      <c r="J153" s="1039"/>
      <c r="K153" s="1040"/>
    </row>
    <row r="154" spans="1:12" ht="14.25" hidden="1">
      <c r="A154" s="780"/>
      <c r="B154" s="1035"/>
      <c r="C154" s="1036">
        <v>2019</v>
      </c>
      <c r="D154" s="1037" t="s">
        <v>1016</v>
      </c>
      <c r="E154" s="1038"/>
      <c r="F154" s="1039"/>
      <c r="G154" s="1039"/>
      <c r="H154" s="1039"/>
      <c r="I154" s="1039"/>
      <c r="J154" s="1039"/>
      <c r="K154" s="1040"/>
    </row>
    <row r="155" spans="1:12" ht="14.25" hidden="1">
      <c r="A155" s="780"/>
      <c r="B155" s="1035"/>
      <c r="C155" s="1036">
        <v>2020</v>
      </c>
      <c r="D155" s="1037" t="s">
        <v>1017</v>
      </c>
      <c r="E155" s="1038"/>
      <c r="F155" s="1039"/>
      <c r="G155" s="1039"/>
      <c r="H155" s="1039"/>
      <c r="I155" s="1039"/>
      <c r="J155" s="1039"/>
      <c r="K155" s="1040"/>
    </row>
    <row r="156" spans="1:12" hidden="1" thickBot="1">
      <c r="A156" s="780"/>
      <c r="B156" s="1041"/>
      <c r="C156" s="1042">
        <v>2021</v>
      </c>
      <c r="D156" s="1043" t="s">
        <v>1018</v>
      </c>
      <c r="E156" s="1044"/>
      <c r="F156" s="1045"/>
      <c r="G156" s="1045"/>
      <c r="H156" s="1045"/>
      <c r="I156" s="1045"/>
      <c r="J156" s="1045"/>
      <c r="K156" s="1046"/>
    </row>
    <row r="157" spans="1:12" ht="14.25">
      <c r="A157" s="780"/>
      <c r="B157" s="780"/>
      <c r="C157" s="780"/>
    </row>
    <row r="158" spans="1:12" ht="14.25">
      <c r="A158" s="780"/>
      <c r="B158" s="780"/>
      <c r="C158" s="780"/>
    </row>
    <row r="159" spans="1:12">
      <c r="A159"/>
      <c r="B159"/>
      <c r="C159"/>
      <c r="D159"/>
      <c r="E159"/>
      <c r="F159"/>
      <c r="G159"/>
      <c r="H159"/>
      <c r="I159"/>
      <c r="J159"/>
      <c r="K159"/>
      <c r="L159"/>
    </row>
    <row r="160" spans="1:12">
      <c r="A160"/>
      <c r="B160"/>
      <c r="C160"/>
      <c r="D160"/>
      <c r="E160"/>
      <c r="F160"/>
      <c r="G160"/>
      <c r="H160"/>
      <c r="I160"/>
      <c r="J160"/>
      <c r="K160"/>
      <c r="L160"/>
    </row>
    <row r="161" spans="1:12">
      <c r="A161"/>
      <c r="B161"/>
      <c r="C161"/>
      <c r="D161"/>
      <c r="E161"/>
      <c r="F161"/>
      <c r="G161"/>
      <c r="H161"/>
      <c r="I161"/>
      <c r="J161"/>
      <c r="K161"/>
      <c r="L161"/>
    </row>
    <row r="162" spans="1:12">
      <c r="A162"/>
      <c r="B162"/>
      <c r="C162"/>
      <c r="D162"/>
      <c r="E162"/>
      <c r="F162"/>
      <c r="G162"/>
      <c r="H162"/>
      <c r="I162"/>
      <c r="J162"/>
      <c r="K162"/>
      <c r="L162"/>
    </row>
    <row r="163" spans="1:12">
      <c r="A163"/>
      <c r="B163"/>
      <c r="C163"/>
      <c r="D163"/>
      <c r="E163"/>
      <c r="F163"/>
      <c r="G163"/>
      <c r="H163"/>
      <c r="I163"/>
      <c r="J163"/>
      <c r="K163"/>
      <c r="L163"/>
    </row>
  </sheetData>
  <sheetProtection formatColumns="0" formatRows="0" insertRows="0" autoFilter="0"/>
  <dataConsolidate/>
  <mergeCells count="18">
    <mergeCell ref="C60:I60"/>
    <mergeCell ref="E19:H19"/>
    <mergeCell ref="C20:D20"/>
    <mergeCell ref="E20:H20"/>
    <mergeCell ref="C23:D23"/>
    <mergeCell ref="E23:H23"/>
    <mergeCell ref="E24:H24"/>
    <mergeCell ref="C25:D25"/>
    <mergeCell ref="E25:H25"/>
    <mergeCell ref="B33:I33"/>
    <mergeCell ref="C58:D58"/>
    <mergeCell ref="E59:I59"/>
    <mergeCell ref="B8:I8"/>
    <mergeCell ref="B12:I12"/>
    <mergeCell ref="C14:E14"/>
    <mergeCell ref="C15:E15"/>
    <mergeCell ref="C18:D18"/>
    <mergeCell ref="E18:H18"/>
  </mergeCells>
  <conditionalFormatting sqref="C68">
    <cfRule type="expression" dxfId="47" priority="49">
      <formula>SUM(dms_SingleYear_Model)&gt;0</formula>
    </cfRule>
  </conditionalFormatting>
  <conditionalFormatting sqref="C95">
    <cfRule type="expression" dxfId="46" priority="48">
      <formula>dms_MultiYear_Flag=1</formula>
    </cfRule>
  </conditionalFormatting>
  <conditionalFormatting sqref="C44">
    <cfRule type="expression" dxfId="45" priority="12">
      <formula>dms_PRCPlength_Num&lt;1</formula>
    </cfRule>
  </conditionalFormatting>
  <conditionalFormatting sqref="H39">
    <cfRule type="expression" dxfId="44" priority="47">
      <formula>dms_CRCPlength_Num&lt;6</formula>
    </cfRule>
  </conditionalFormatting>
  <conditionalFormatting sqref="H40:H41">
    <cfRule type="expression" dxfId="43" priority="46">
      <formula>dms_CRCPlength_Num&lt;6</formula>
    </cfRule>
  </conditionalFormatting>
  <conditionalFormatting sqref="H35">
    <cfRule type="expression" dxfId="42" priority="44">
      <formula>dms_CRCPlength_Num&lt;6</formula>
    </cfRule>
  </conditionalFormatting>
  <conditionalFormatting sqref="H36">
    <cfRule type="expression" dxfId="41" priority="45">
      <formula>dms_CRCPlength_Num&lt;6</formula>
    </cfRule>
  </conditionalFormatting>
  <conditionalFormatting sqref="G41">
    <cfRule type="expression" dxfId="40" priority="43">
      <formula>dms_CRCPlength_Num&lt;15</formula>
    </cfRule>
  </conditionalFormatting>
  <conditionalFormatting sqref="F41">
    <cfRule type="expression" dxfId="39" priority="42">
      <formula>dms_CRCPlength_Num&lt;14</formula>
    </cfRule>
  </conditionalFormatting>
  <conditionalFormatting sqref="E41">
    <cfRule type="expression" dxfId="38" priority="41">
      <formula>dms_CRCPlength_Num&lt;13</formula>
    </cfRule>
  </conditionalFormatting>
  <conditionalFormatting sqref="D41">
    <cfRule type="expression" dxfId="37" priority="40">
      <formula>dms_CRCPlength_Num&lt;12</formula>
    </cfRule>
  </conditionalFormatting>
  <conditionalFormatting sqref="C41">
    <cfRule type="expression" dxfId="36" priority="39">
      <formula>dms_CRCPlength_Num&lt;11</formula>
    </cfRule>
  </conditionalFormatting>
  <conditionalFormatting sqref="G40">
    <cfRule type="expression" dxfId="35" priority="38">
      <formula>dms_CRCPlength_Num&lt;10</formula>
    </cfRule>
  </conditionalFormatting>
  <conditionalFormatting sqref="F40">
    <cfRule type="expression" dxfId="34" priority="37">
      <formula>dms_CRCPlength_Num&lt;9</formula>
    </cfRule>
  </conditionalFormatting>
  <conditionalFormatting sqref="E40">
    <cfRule type="expression" dxfId="33" priority="36">
      <formula>dms_CRCPlength_Num&lt;8</formula>
    </cfRule>
  </conditionalFormatting>
  <conditionalFormatting sqref="D40">
    <cfRule type="expression" dxfId="32" priority="35">
      <formula>dms_CRCPlength_Num&lt;7</formula>
    </cfRule>
  </conditionalFormatting>
  <conditionalFormatting sqref="C40">
    <cfRule type="expression" dxfId="31" priority="34">
      <formula>dms_CRCPlength_Num&lt;6</formula>
    </cfRule>
  </conditionalFormatting>
  <conditionalFormatting sqref="G39">
    <cfRule type="expression" dxfId="30" priority="33">
      <formula>dms_CRCPlength_Num&lt;5</formula>
    </cfRule>
  </conditionalFormatting>
  <conditionalFormatting sqref="F39">
    <cfRule type="expression" dxfId="29" priority="32">
      <formula>dms_CRCPlength_Num&lt;4</formula>
    </cfRule>
  </conditionalFormatting>
  <conditionalFormatting sqref="E39">
    <cfRule type="expression" dxfId="28" priority="31">
      <formula>dms_CRCPlength_Num&lt;3</formula>
    </cfRule>
  </conditionalFormatting>
  <conditionalFormatting sqref="D39">
    <cfRule type="expression" dxfId="27" priority="30">
      <formula>dms_CRCPlength_Num&lt;2</formula>
    </cfRule>
  </conditionalFormatting>
  <conditionalFormatting sqref="G36">
    <cfRule type="expression" dxfId="26" priority="29">
      <formula>dms_FRCPlength_Num&lt;10</formula>
    </cfRule>
  </conditionalFormatting>
  <conditionalFormatting sqref="F36">
    <cfRule type="expression" dxfId="25" priority="28">
      <formula>dms_FRCPlength_Num&lt;9</formula>
    </cfRule>
  </conditionalFormatting>
  <conditionalFormatting sqref="E36">
    <cfRule type="expression" dxfId="24" priority="27">
      <formula>dms_FRCPlength_Num&lt;8</formula>
    </cfRule>
  </conditionalFormatting>
  <conditionalFormatting sqref="D36">
    <cfRule type="expression" dxfId="23" priority="26">
      <formula>dms_FRCPlength_Num&lt;7</formula>
    </cfRule>
  </conditionalFormatting>
  <conditionalFormatting sqref="C36">
    <cfRule type="expression" dxfId="22" priority="25">
      <formula>dms_FRCPlength_Num&lt;6</formula>
    </cfRule>
  </conditionalFormatting>
  <conditionalFormatting sqref="G35">
    <cfRule type="expression" dxfId="21" priority="24">
      <formula>dms_FRCPlength_Num&lt;5</formula>
    </cfRule>
  </conditionalFormatting>
  <conditionalFormatting sqref="F35">
    <cfRule type="expression" dxfId="20" priority="23">
      <formula>dms_FRCPlength_Num&lt;4</formula>
    </cfRule>
  </conditionalFormatting>
  <conditionalFormatting sqref="E35">
    <cfRule type="expression" dxfId="19" priority="22">
      <formula>dms_FRCPlength_Num&lt;3</formula>
    </cfRule>
  </conditionalFormatting>
  <conditionalFormatting sqref="G44">
    <cfRule type="expression" dxfId="18" priority="16">
      <formula>dms_PRCPlength_Num&lt;5</formula>
    </cfRule>
  </conditionalFormatting>
  <conditionalFormatting sqref="F44">
    <cfRule type="expression" dxfId="17" priority="15">
      <formula>dms_PRCPlength_Num&lt;4</formula>
    </cfRule>
  </conditionalFormatting>
  <conditionalFormatting sqref="E44">
    <cfRule type="expression" dxfId="16" priority="14">
      <formula>dms_PRCPlength_Num&lt;3</formula>
    </cfRule>
  </conditionalFormatting>
  <conditionalFormatting sqref="D44">
    <cfRule type="expression" dxfId="15" priority="13">
      <formula>dms_PRCPlength_Num&lt;2</formula>
    </cfRule>
  </conditionalFormatting>
  <conditionalFormatting sqref="B99">
    <cfRule type="expression" dxfId="14" priority="11">
      <formula>dms_Model="CA"</formula>
    </cfRule>
  </conditionalFormatting>
  <conditionalFormatting sqref="B97">
    <cfRule type="expression" dxfId="13" priority="10">
      <formula>"dms_Model=""EB"""</formula>
    </cfRule>
  </conditionalFormatting>
  <conditionalFormatting sqref="B120">
    <cfRule type="expression" dxfId="12" priority="9">
      <formula>dms_Model="ARR"</formula>
    </cfRule>
  </conditionalFormatting>
  <conditionalFormatting sqref="B107">
    <cfRule type="expression" dxfId="11" priority="8">
      <formula>IF(OR(dms_Model="ARR",dms_Model="Reset"),"True")</formula>
    </cfRule>
  </conditionalFormatting>
  <conditionalFormatting sqref="C105">
    <cfRule type="cellIs" dxfId="10" priority="7" operator="equal">
      <formula>"error"</formula>
    </cfRule>
  </conditionalFormatting>
  <conditionalFormatting sqref="G45">
    <cfRule type="expression" dxfId="9" priority="5">
      <formula>dms_CRCPlength_Num&lt;15</formula>
    </cfRule>
  </conditionalFormatting>
  <conditionalFormatting sqref="F45">
    <cfRule type="expression" dxfId="8" priority="4">
      <formula>dms_CRCPlength_Num&lt;14</formula>
    </cfRule>
  </conditionalFormatting>
  <conditionalFormatting sqref="E45">
    <cfRule type="expression" dxfId="7" priority="3">
      <formula>dms_CRCPlength_Num&lt;13</formula>
    </cfRule>
  </conditionalFormatting>
  <conditionalFormatting sqref="D45">
    <cfRule type="expression" dxfId="6" priority="2">
      <formula>dms_CRCPlength_Num&lt;12</formula>
    </cfRule>
  </conditionalFormatting>
  <conditionalFormatting sqref="C45 H45">
    <cfRule type="expression" dxfId="5" priority="1">
      <formula>dms_CRCPlength_Num&lt;11</formula>
    </cfRule>
  </conditionalFormatting>
  <dataValidations count="16">
    <dataValidation type="list" allowBlank="1" showInputMessage="1" showErrorMessage="1" sqref="C48 C50 C35">
      <formula1>IF(dms_RPT="financial",dms_Financial_Years,dms_Calendar_Years)</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5"/>
    <dataValidation type="list" allowBlank="1" showInputMessage="1" showErrorMessage="1" sqref="C93">
      <formula1>"Yes, No, yes, no"</formula1>
    </dataValidation>
    <dataValidation type="list" allowBlank="1" showInputMessage="1" showErrorMessage="1" promptTitle="Model" prompt="Make sure corresponding Source type is correctly selected !!!_x000a__x000a_eg: ABC=Reporting, Reset=Regulatory proposal  etc" sqref="C67">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9">
      <formula1>dms_DataQuality_List</formula1>
    </dataValidation>
    <dataValidation type="list" allowBlank="1" showInputMessage="1" showErrorMessage="1" sqref="C66">
      <formula1>"Financial, Calendar, Other"</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allowBlank="1" showInputMessage="1" showErrorMessage="1" sqref="C69">
      <formula1>"Public, Confidential"</formula1>
    </dataValidation>
    <dataValidation type="list" allowBlank="1" showInputMessage="1" showErrorMessage="1" sqref="C62">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s>
  <pageMargins left="0.25" right="0.25" top="0.75" bottom="0.75" header="0.3" footer="0.3"/>
  <pageSetup paperSize="9" scale="9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8685034B-7B51-4785-8F10-E187BAFFA16B}">
            <xm:f>NOT(ISERROR(SEARCH("error - NR not present",C103)))</xm:f>
            <xm:f>"error - NR not present"</xm:f>
            <x14:dxf>
              <font>
                <color rgb="FF9C0006"/>
              </font>
              <fill>
                <patternFill>
                  <bgColor rgb="FFFFC7CE"/>
                </patternFill>
              </fill>
            </x14:dxf>
          </x14:cfRule>
          <xm:sqref>C103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Z81"/>
  <sheetViews>
    <sheetView tabSelected="1" topLeftCell="A53" zoomScale="84" zoomScaleNormal="85" workbookViewId="0">
      <selection activeCell="C62" sqref="C62"/>
    </sheetView>
  </sheetViews>
  <sheetFormatPr defaultColWidth="9.140625" defaultRowHeight="15"/>
  <cols>
    <col min="1" max="1" width="29.7109375" style="197" customWidth="1"/>
    <col min="2" max="2" width="65.7109375" style="282" customWidth="1"/>
    <col min="3" max="20" width="12.28515625" style="282" customWidth="1"/>
    <col min="21" max="21" width="18" style="282" customWidth="1"/>
    <col min="22" max="23" width="12.28515625" style="282" customWidth="1"/>
    <col min="24" max="16384" width="9.140625" style="282"/>
  </cols>
  <sheetData>
    <row r="1" spans="1:26" ht="30" customHeight="1">
      <c r="B1" s="279" t="s">
        <v>302</v>
      </c>
      <c r="C1" s="279"/>
      <c r="D1" s="279"/>
      <c r="E1" s="279"/>
      <c r="F1" s="279"/>
      <c r="G1" s="280"/>
      <c r="H1" s="280"/>
      <c r="I1" s="280"/>
      <c r="J1" s="280"/>
      <c r="K1" s="280"/>
      <c r="L1" s="280"/>
      <c r="M1" s="280"/>
      <c r="N1" s="280"/>
      <c r="O1" s="280"/>
      <c r="P1" s="280"/>
      <c r="Q1" s="280"/>
      <c r="R1" s="280"/>
      <c r="S1" s="280"/>
      <c r="T1" s="280"/>
      <c r="U1" s="280"/>
      <c r="V1" s="280"/>
      <c r="W1" s="280"/>
      <c r="X1" s="280"/>
      <c r="Y1" s="280"/>
      <c r="Z1" s="280"/>
    </row>
    <row r="2" spans="1:26" ht="30" customHeight="1">
      <c r="B2" s="283" t="str">
        <f>dms_TradingName</f>
        <v>Directlink</v>
      </c>
      <c r="C2" s="283"/>
      <c r="D2" s="283"/>
      <c r="E2" s="283"/>
      <c r="F2" s="283"/>
      <c r="G2" s="280"/>
      <c r="H2" s="280"/>
      <c r="I2" s="280"/>
      <c r="J2" s="280"/>
      <c r="K2" s="280"/>
      <c r="L2" s="280"/>
      <c r="M2" s="280"/>
      <c r="N2" s="280"/>
      <c r="O2" s="280"/>
      <c r="P2" s="280"/>
      <c r="Q2" s="280"/>
      <c r="R2" s="280"/>
      <c r="S2" s="280"/>
      <c r="T2" s="280"/>
      <c r="U2" s="280"/>
      <c r="V2" s="280"/>
      <c r="W2" s="280"/>
      <c r="X2" s="280"/>
      <c r="Y2" s="280"/>
      <c r="Z2" s="280"/>
    </row>
    <row r="3" spans="1:26" ht="30" customHeight="1">
      <c r="B3" s="200" t="str">
        <f ca="1">dms_Reg_Year_Span</f>
        <v>2020-21 to 2024-25</v>
      </c>
      <c r="C3" s="279"/>
      <c r="D3" s="279"/>
      <c r="E3" s="279"/>
      <c r="F3" s="279"/>
      <c r="G3" s="280"/>
      <c r="H3" s="280"/>
      <c r="I3" s="280"/>
      <c r="J3" s="280"/>
      <c r="K3" s="280"/>
      <c r="L3" s="280"/>
      <c r="M3" s="280"/>
      <c r="N3" s="280"/>
      <c r="O3" s="280"/>
      <c r="P3" s="280"/>
      <c r="Q3" s="280"/>
      <c r="R3" s="280"/>
      <c r="S3" s="280"/>
      <c r="T3" s="280"/>
      <c r="U3" s="280"/>
      <c r="V3" s="280"/>
      <c r="W3" s="280"/>
      <c r="X3" s="280"/>
      <c r="Y3" s="280"/>
      <c r="Z3" s="280"/>
    </row>
    <row r="4" spans="1:26" ht="30" customHeight="1">
      <c r="B4" s="284" t="s">
        <v>670</v>
      </c>
      <c r="C4" s="284"/>
      <c r="D4" s="284"/>
      <c r="E4" s="284"/>
      <c r="F4" s="284"/>
      <c r="G4" s="284"/>
      <c r="H4" s="284"/>
      <c r="I4" s="284"/>
      <c r="J4" s="284"/>
      <c r="K4" s="284"/>
      <c r="L4" s="284"/>
      <c r="M4" s="284"/>
      <c r="N4" s="284"/>
      <c r="O4" s="284"/>
      <c r="P4" s="284"/>
      <c r="Q4" s="284"/>
      <c r="R4" s="284"/>
      <c r="S4" s="284"/>
      <c r="T4" s="284"/>
      <c r="U4" s="284"/>
      <c r="V4" s="284"/>
      <c r="W4" s="284"/>
      <c r="X4" s="284"/>
      <c r="Y4" s="284"/>
      <c r="Z4" s="284"/>
    </row>
    <row r="6" spans="1:26" ht="25.5" customHeight="1">
      <c r="B6" s="285" t="s">
        <v>671</v>
      </c>
      <c r="C6" s="285"/>
      <c r="D6" s="285"/>
      <c r="E6" s="285"/>
      <c r="F6" s="285"/>
      <c r="G6" s="285"/>
      <c r="H6" s="285"/>
      <c r="I6" s="285"/>
      <c r="J6" s="285"/>
      <c r="K6" s="285"/>
      <c r="L6" s="285"/>
      <c r="M6" s="285"/>
      <c r="N6" s="285"/>
      <c r="O6" s="285"/>
      <c r="P6" s="285"/>
      <c r="Q6" s="285"/>
      <c r="R6" s="285"/>
      <c r="S6" s="285"/>
      <c r="T6" s="285"/>
      <c r="U6" s="285"/>
      <c r="V6" s="285"/>
      <c r="W6" s="285"/>
    </row>
    <row r="7" spans="1:26" ht="21.75" customHeight="1">
      <c r="A7" s="428"/>
      <c r="B7" s="429" t="str">
        <f>CONCATENATE(dms_TradingName, " is required to populate all input cells (yellow) in this worksheet.")</f>
        <v>Directlink is required to populate all input cells (yellow) in this worksheet.</v>
      </c>
      <c r="C7" s="430"/>
      <c r="D7" s="430"/>
      <c r="E7" s="430"/>
      <c r="F7" s="430"/>
      <c r="G7" s="430"/>
      <c r="H7" s="430"/>
      <c r="I7" s="430"/>
      <c r="J7" s="430"/>
      <c r="K7" s="430"/>
      <c r="L7" s="430"/>
      <c r="M7" s="431"/>
      <c r="N7"/>
      <c r="O7"/>
      <c r="P7"/>
      <c r="Q7"/>
      <c r="R7" s="285"/>
      <c r="S7" s="285"/>
      <c r="T7" s="285"/>
      <c r="U7" s="285"/>
      <c r="V7" s="285"/>
      <c r="W7" s="285"/>
    </row>
    <row r="8" spans="1:26" ht="128.25" customHeight="1">
      <c r="A8" s="432"/>
      <c r="B8" s="1235" t="s">
        <v>756</v>
      </c>
      <c r="C8" s="1236"/>
      <c r="D8" s="1236"/>
      <c r="E8" s="1236"/>
      <c r="F8" s="1236"/>
      <c r="G8" s="1236"/>
      <c r="H8" s="1236"/>
      <c r="I8" s="1236"/>
      <c r="J8" s="1236"/>
      <c r="K8" s="1236"/>
      <c r="L8" s="1236"/>
      <c r="M8" s="1237"/>
      <c r="N8"/>
      <c r="O8"/>
      <c r="P8"/>
      <c r="Q8"/>
      <c r="R8"/>
      <c r="S8" s="433"/>
      <c r="T8"/>
      <c r="U8"/>
      <c r="V8"/>
      <c r="W8"/>
    </row>
    <row r="9" spans="1:26">
      <c r="B9" s="286"/>
      <c r="C9" s="286"/>
      <c r="D9" s="286"/>
      <c r="E9" s="286"/>
      <c r="F9" s="286"/>
      <c r="G9" s="286"/>
      <c r="H9" s="286"/>
      <c r="I9" s="286"/>
      <c r="J9" s="286"/>
      <c r="K9" s="286"/>
      <c r="L9" s="286"/>
      <c r="M9" s="286"/>
      <c r="N9" s="286"/>
      <c r="O9" s="286"/>
      <c r="P9" s="286"/>
      <c r="Q9" s="286"/>
      <c r="R9" s="286"/>
      <c r="S9" s="286"/>
      <c r="T9" s="286"/>
      <c r="U9" s="286"/>
      <c r="V9" s="286"/>
      <c r="W9" s="286"/>
    </row>
    <row r="10" spans="1:26">
      <c r="B10" s="286"/>
      <c r="C10" s="286"/>
      <c r="D10" s="286"/>
      <c r="E10" s="286"/>
      <c r="F10" s="286"/>
      <c r="G10" s="286"/>
      <c r="H10" s="286"/>
      <c r="I10" s="286"/>
      <c r="J10" s="286"/>
      <c r="K10" s="286"/>
      <c r="L10" s="286"/>
      <c r="M10" s="286"/>
      <c r="N10" s="286"/>
      <c r="O10" s="286"/>
      <c r="P10" s="286"/>
      <c r="Q10" s="286"/>
      <c r="R10" s="286"/>
      <c r="S10" s="286"/>
      <c r="T10" s="286"/>
      <c r="U10" s="286"/>
      <c r="V10" s="286"/>
      <c r="W10" s="286"/>
    </row>
    <row r="11" spans="1:26" customFormat="1" ht="15.75" thickBot="1">
      <c r="A11" s="197"/>
      <c r="B11" s="186"/>
      <c r="C11" s="186"/>
      <c r="D11" s="186"/>
      <c r="E11" s="186"/>
      <c r="F11" s="186"/>
      <c r="G11" s="186"/>
      <c r="H11" s="186"/>
      <c r="I11" s="186"/>
      <c r="J11" s="186"/>
      <c r="K11" s="186"/>
      <c r="L11" s="186"/>
      <c r="M11" s="186"/>
      <c r="N11" s="186"/>
    </row>
    <row r="12" spans="1:26" customFormat="1" ht="16.5" thickBot="1">
      <c r="A12" s="197"/>
      <c r="B12" s="287" t="s">
        <v>672</v>
      </c>
      <c r="C12" s="288"/>
      <c r="D12" s="289"/>
      <c r="E12" s="289"/>
      <c r="F12" s="289"/>
      <c r="G12" s="289"/>
      <c r="H12" s="289"/>
      <c r="I12" s="289"/>
      <c r="J12" s="289"/>
      <c r="K12" s="289"/>
      <c r="L12" s="289"/>
      <c r="M12" s="289"/>
      <c r="N12" s="1144"/>
    </row>
    <row r="13" spans="1:26" s="291" customFormat="1" ht="15.75">
      <c r="A13" s="197"/>
      <c r="B13" s="290"/>
      <c r="C13" s="1244" t="s">
        <v>323</v>
      </c>
      <c r="D13" s="1245"/>
      <c r="E13" s="1245"/>
      <c r="F13" s="1245"/>
      <c r="G13" s="1245"/>
      <c r="H13" s="1245"/>
      <c r="I13" s="1245"/>
      <c r="J13" s="1245"/>
      <c r="K13" s="1245"/>
      <c r="L13" s="1245"/>
      <c r="M13" s="1245" t="s">
        <v>673</v>
      </c>
      <c r="N13" s="1246"/>
      <c r="O13"/>
      <c r="P13"/>
      <c r="Q13"/>
      <c r="R13"/>
      <c r="S13"/>
      <c r="T13"/>
      <c r="U13"/>
      <c r="V13"/>
      <c r="W13"/>
    </row>
    <row r="14" spans="1:26" ht="16.5" thickBot="1">
      <c r="B14" s="290"/>
      <c r="C14" s="292" t="str">
        <f>IF(dms_RPT="financial",VALUE(LEFT(D14,4)-1)&amp;"-"&amp;TEXT(VALUE(MID(D14,3,2)),"0#"),VALUE(LEFT(D14,4)+1))</f>
        <v>2008-09</v>
      </c>
      <c r="D14" s="292" t="str">
        <f>IF(dms_RPT="financial",VALUE(LEFT(E14,4)-1)&amp;"-"&amp;TEXT(VALUE(MID(E14,3,2)),"0#"),VALUE(LEFT(E14,4)+1))</f>
        <v>2009-10</v>
      </c>
      <c r="E14" s="293" t="str">
        <f>PRCP_y1</f>
        <v>2010-11</v>
      </c>
      <c r="F14" s="293" t="str">
        <f>PRCP_y2</f>
        <v>2011-12</v>
      </c>
      <c r="G14" s="293" t="str">
        <f>PRCP_y3</f>
        <v>2012-13</v>
      </c>
      <c r="H14" s="293" t="str">
        <f>PRCP_y4</f>
        <v>2013-14</v>
      </c>
      <c r="I14" s="293" t="str">
        <f>PRCP_y5</f>
        <v>2014-15</v>
      </c>
      <c r="J14" s="293" t="str">
        <f>CRCP_y1</f>
        <v>2015-16</v>
      </c>
      <c r="K14" s="293" t="str">
        <f>CRCP_y2</f>
        <v>2016-17</v>
      </c>
      <c r="L14" s="293" t="str">
        <f>CRCP_y3</f>
        <v>2017-18</v>
      </c>
      <c r="M14" s="293" t="str">
        <f>CRCP_y4</f>
        <v>2018-19</v>
      </c>
      <c r="N14" s="294" t="str">
        <f>CRCP_y5</f>
        <v>2019-20</v>
      </c>
      <c r="O14"/>
      <c r="P14"/>
      <c r="Q14"/>
      <c r="R14"/>
      <c r="S14"/>
      <c r="T14"/>
      <c r="U14"/>
      <c r="V14"/>
      <c r="W14"/>
    </row>
    <row r="15" spans="1:26">
      <c r="B15" s="295" t="s">
        <v>754</v>
      </c>
      <c r="C15" s="452"/>
      <c r="D15" s="297">
        <v>172.1</v>
      </c>
      <c r="E15" s="298">
        <v>178.3</v>
      </c>
      <c r="F15" s="1119"/>
      <c r="G15" s="1119"/>
      <c r="H15" s="1119"/>
      <c r="I15" s="1119"/>
      <c r="J15" s="299"/>
      <c r="K15" s="299"/>
      <c r="L15" s="299"/>
      <c r="M15" s="453"/>
      <c r="N15" s="454"/>
      <c r="O15"/>
      <c r="P15"/>
      <c r="Q15"/>
      <c r="R15"/>
      <c r="S15"/>
      <c r="T15"/>
      <c r="U15"/>
      <c r="V15"/>
      <c r="W15"/>
    </row>
    <row r="16" spans="1:26">
      <c r="B16" s="300" t="s">
        <v>755</v>
      </c>
      <c r="C16" s="448"/>
      <c r="D16" s="449"/>
      <c r="E16" s="1122">
        <v>99.2</v>
      </c>
      <c r="F16" s="1122">
        <v>100.4</v>
      </c>
      <c r="G16" s="1122">
        <v>102.8</v>
      </c>
      <c r="H16" s="1124">
        <v>105.9</v>
      </c>
      <c r="I16" s="1124">
        <v>107.5</v>
      </c>
      <c r="J16" s="1124">
        <v>108.6</v>
      </c>
      <c r="K16" s="1124">
        <v>110.7</v>
      </c>
      <c r="L16" s="1124">
        <v>113</v>
      </c>
      <c r="M16" s="1123">
        <v>114.8</v>
      </c>
      <c r="N16" s="1145">
        <f>M16*1.017</f>
        <v>116.75159999999998</v>
      </c>
      <c r="P16" s="282" t="s">
        <v>1023</v>
      </c>
      <c r="Q16"/>
      <c r="R16"/>
      <c r="S16"/>
      <c r="T16"/>
      <c r="U16"/>
      <c r="V16"/>
      <c r="W16"/>
    </row>
    <row r="17" spans="1:26">
      <c r="B17" s="302" t="s">
        <v>674</v>
      </c>
      <c r="C17" s="296"/>
      <c r="D17" s="303"/>
      <c r="E17" s="1121">
        <f>E15/D15-1</f>
        <v>3.6025566531086683E-2</v>
      </c>
      <c r="F17" s="1125">
        <f t="shared" ref="F17:N17" si="0">+F16/E16-1</f>
        <v>1.2096774193548487E-2</v>
      </c>
      <c r="G17" s="1125">
        <f t="shared" si="0"/>
        <v>2.3904382470119501E-2</v>
      </c>
      <c r="H17" s="1125">
        <f t="shared" si="0"/>
        <v>3.0155642023346418E-2</v>
      </c>
      <c r="I17" s="1125">
        <f t="shared" si="0"/>
        <v>1.5108593012275628E-2</v>
      </c>
      <c r="J17" s="1125">
        <f t="shared" si="0"/>
        <v>1.0232558139534831E-2</v>
      </c>
      <c r="K17" s="1125">
        <f t="shared" si="0"/>
        <v>1.9337016574585641E-2</v>
      </c>
      <c r="L17" s="1125">
        <f t="shared" si="0"/>
        <v>2.0776874435411097E-2</v>
      </c>
      <c r="M17" s="1125">
        <f t="shared" si="0"/>
        <v>1.5929203539823078E-2</v>
      </c>
      <c r="N17" s="1126">
        <f t="shared" si="0"/>
        <v>1.6999999999999904E-2</v>
      </c>
      <c r="O17"/>
      <c r="P17"/>
      <c r="Q17"/>
      <c r="R17"/>
      <c r="S17"/>
      <c r="T17"/>
      <c r="U17"/>
      <c r="V17"/>
      <c r="W17"/>
    </row>
    <row r="18" spans="1:26" ht="15.75" thickBot="1">
      <c r="B18" s="304" t="str">
        <f>CONCATENATE("Reconstructed cumulative index (",CRCP_y5,"=1)")</f>
        <v>Reconstructed cumulative index (2019-20=1)</v>
      </c>
      <c r="C18" s="305"/>
      <c r="D18" s="1120">
        <f t="shared" ref="D18:L18" si="1">E18/(1+E17)</f>
        <v>0.82012180398273749</v>
      </c>
      <c r="E18" s="1120">
        <f t="shared" si="1"/>
        <v>0.84966715659571246</v>
      </c>
      <c r="F18" s="1127">
        <f t="shared" si="1"/>
        <v>0.85994538832872525</v>
      </c>
      <c r="G18" s="1127">
        <f t="shared" si="1"/>
        <v>0.88050185179475049</v>
      </c>
      <c r="H18" s="1127">
        <f t="shared" si="1"/>
        <v>0.90705395043836656</v>
      </c>
      <c r="I18" s="1127">
        <f t="shared" si="1"/>
        <v>0.92075825941571665</v>
      </c>
      <c r="J18" s="1127">
        <f t="shared" si="1"/>
        <v>0.93017997183764489</v>
      </c>
      <c r="K18" s="1127">
        <f t="shared" si="1"/>
        <v>0.94816687737041705</v>
      </c>
      <c r="L18" s="1127">
        <f t="shared" si="1"/>
        <v>0.96786682152535808</v>
      </c>
      <c r="M18" s="1127">
        <f>N18/(1+N17)</f>
        <v>0.98328416912487715</v>
      </c>
      <c r="N18" s="1128">
        <v>1</v>
      </c>
      <c r="O18"/>
      <c r="P18"/>
      <c r="Q18"/>
      <c r="R18"/>
      <c r="S18"/>
      <c r="T18"/>
      <c r="U18"/>
      <c r="V18"/>
      <c r="W18"/>
    </row>
    <row r="19" spans="1:26">
      <c r="B19" s="306"/>
      <c r="C19" s="307"/>
      <c r="D19" s="307"/>
      <c r="E19" s="307"/>
      <c r="F19" s="307"/>
      <c r="G19" s="307"/>
      <c r="H19" s="307"/>
      <c r="I19" s="307"/>
      <c r="J19" s="307"/>
      <c r="K19" s="307"/>
      <c r="L19" s="307"/>
      <c r="M19" s="307"/>
      <c r="N19" s="307"/>
      <c r="O19" s="308"/>
      <c r="P19" s="308"/>
      <c r="Q19" s="308"/>
      <c r="R19" s="308"/>
      <c r="S19" s="308"/>
      <c r="T19" s="308"/>
      <c r="U19" s="308"/>
      <c r="V19" s="308"/>
      <c r="W19" s="308"/>
    </row>
    <row r="20" spans="1:26">
      <c r="B20" s="306"/>
      <c r="C20" s="307"/>
      <c r="D20" s="307"/>
      <c r="E20" s="307"/>
      <c r="F20" s="307"/>
      <c r="G20" s="307"/>
      <c r="H20" s="307"/>
      <c r="I20" s="307"/>
      <c r="J20" s="307"/>
      <c r="K20" s="307"/>
      <c r="L20" s="307"/>
      <c r="M20" s="307"/>
      <c r="N20" s="307"/>
      <c r="O20" s="308"/>
      <c r="P20" s="308"/>
      <c r="Q20" s="308"/>
      <c r="R20" s="308"/>
      <c r="S20" s="308"/>
      <c r="T20" s="308"/>
      <c r="U20" s="308"/>
      <c r="V20" s="308"/>
      <c r="W20" s="308"/>
    </row>
    <row r="21" spans="1:26">
      <c r="B21" s="306"/>
      <c r="C21" s="307"/>
      <c r="D21" s="307"/>
      <c r="E21" s="307"/>
      <c r="F21" s="307"/>
      <c r="G21" s="307"/>
      <c r="H21" s="307"/>
      <c r="I21" s="307"/>
      <c r="J21" s="307"/>
      <c r="K21" s="307"/>
      <c r="L21" s="307"/>
      <c r="M21" s="307"/>
      <c r="N21" s="307"/>
      <c r="O21" s="308"/>
      <c r="P21" s="308"/>
      <c r="Q21" s="308"/>
      <c r="R21" s="308"/>
      <c r="S21" s="308"/>
      <c r="T21" s="308"/>
      <c r="U21" s="308"/>
      <c r="V21" s="308"/>
      <c r="W21" s="308"/>
    </row>
    <row r="22" spans="1:26" s="312" customFormat="1" ht="18.75">
      <c r="A22" s="197"/>
      <c r="B22" s="310" t="s">
        <v>751</v>
      </c>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row>
    <row r="23" spans="1:26" customFormat="1" ht="15.75" thickBot="1">
      <c r="A23" s="197"/>
    </row>
    <row r="24" spans="1:26" customFormat="1" ht="15.75" thickBot="1">
      <c r="A24" s="197"/>
      <c r="B24" s="1102" t="s">
        <v>1020</v>
      </c>
      <c r="C24" s="1103" t="s">
        <v>513</v>
      </c>
    </row>
    <row r="25" spans="1:26" s="316" customFormat="1" ht="16.5" thickBot="1">
      <c r="A25" s="197"/>
      <c r="B25" s="313" t="s">
        <v>675</v>
      </c>
      <c r="C25" s="436"/>
      <c r="D25" s="436"/>
      <c r="E25" s="436"/>
      <c r="F25" s="436"/>
      <c r="G25" s="436"/>
      <c r="H25" s="436"/>
      <c r="I25" s="436"/>
      <c r="J25" s="436"/>
      <c r="K25" s="436"/>
      <c r="L25" s="436"/>
      <c r="M25" s="314"/>
      <c r="N25" s="314"/>
      <c r="O25" s="314"/>
      <c r="P25" s="314"/>
      <c r="Q25" s="314"/>
      <c r="R25" s="314"/>
      <c r="S25" s="314"/>
      <c r="T25" s="315"/>
      <c r="U25"/>
      <c r="V25"/>
      <c r="W25"/>
      <c r="X25"/>
      <c r="Y25"/>
    </row>
    <row r="26" spans="1:26">
      <c r="B26" s="1138"/>
      <c r="C26" s="1249" t="str">
        <f>CONCATENATE("$m, real ",dms_RPTMonth," ",(LEFT(PRCP_y1,2)&amp;RIGHT(PRCP_y1,2))-1)</f>
        <v>$m, real June 2010</v>
      </c>
      <c r="D26" s="1250"/>
      <c r="E26" s="1250"/>
      <c r="F26" s="1250"/>
      <c r="G26" s="1251"/>
      <c r="H26" s="1252" t="str">
        <f>CONCATENATE("$m, real ",dms_RPTMonth," ",(LEFT(PRCP_y5,2)&amp;RIGHT(PRCP_y5,2)))</f>
        <v>$m, real June 2015</v>
      </c>
      <c r="I26" s="1250"/>
      <c r="J26" s="1250"/>
      <c r="K26" s="1250"/>
      <c r="L26" s="1253"/>
      <c r="M26" s="317"/>
      <c r="N26" s="1227" t="str">
        <f>CONCATENATE("$m, real ", dms_DollarReal)</f>
        <v>$m, real June 2020</v>
      </c>
      <c r="O26" s="1228"/>
      <c r="P26" s="1228"/>
      <c r="Q26" s="1228"/>
      <c r="R26" s="1228"/>
      <c r="S26" s="1228"/>
      <c r="T26" s="1229"/>
      <c r="U26"/>
      <c r="V26"/>
      <c r="W26"/>
      <c r="X26"/>
      <c r="Y26"/>
      <c r="Z26" s="301"/>
    </row>
    <row r="27" spans="1:26" ht="15.75" thickBot="1">
      <c r="B27" s="1139"/>
      <c r="C27" s="1216" t="s">
        <v>676</v>
      </c>
      <c r="D27" s="1217"/>
      <c r="E27" s="1217"/>
      <c r="F27" s="1217"/>
      <c r="G27" s="1218"/>
      <c r="H27" s="1213" t="s">
        <v>580</v>
      </c>
      <c r="I27" s="1214"/>
      <c r="J27" s="1214"/>
      <c r="K27" s="1214"/>
      <c r="L27" s="1215"/>
      <c r="M27" s="317"/>
      <c r="N27" s="1230" t="s">
        <v>676</v>
      </c>
      <c r="O27" s="1231"/>
      <c r="P27" s="1232" t="s">
        <v>580</v>
      </c>
      <c r="Q27" s="1233"/>
      <c r="R27" s="1233"/>
      <c r="S27" s="1233"/>
      <c r="T27" s="1234"/>
      <c r="U27"/>
      <c r="V27"/>
      <c r="W27"/>
      <c r="X27"/>
      <c r="Y27"/>
      <c r="Z27" s="301"/>
    </row>
    <row r="28" spans="1:26" ht="15.75" thickBot="1">
      <c r="B28" s="1139"/>
      <c r="C28" s="1053" t="str">
        <f>PRCP_y1</f>
        <v>2010-11</v>
      </c>
      <c r="D28" s="1054" t="str">
        <f>PRCP_y2</f>
        <v>2011-12</v>
      </c>
      <c r="E28" s="1054" t="str">
        <f>PRCP_y3</f>
        <v>2012-13</v>
      </c>
      <c r="F28" s="1054" t="str">
        <f>PRCP_y4</f>
        <v>2013-14</v>
      </c>
      <c r="G28" s="1055" t="str">
        <f>PRCP_y5</f>
        <v>2014-15</v>
      </c>
      <c r="H28" s="1110" t="str">
        <f>CRCP_y1</f>
        <v>2015-16</v>
      </c>
      <c r="I28" s="1111" t="str">
        <f>CRCP_y2</f>
        <v>2016-17</v>
      </c>
      <c r="J28" s="1111" t="str">
        <f>CRCP_y3</f>
        <v>2017-18</v>
      </c>
      <c r="K28" s="1111" t="str">
        <f>CRCP_y4</f>
        <v>2018-19</v>
      </c>
      <c r="L28" s="1112" t="str">
        <f>CRCP_y5</f>
        <v>2019-20</v>
      </c>
      <c r="M28" s="317"/>
      <c r="N28" s="1090" t="str">
        <f>dms_PRCP_BaseYear</f>
        <v>2013-14</v>
      </c>
      <c r="O28" s="1096" t="str">
        <f>PRCP_y5</f>
        <v>2014-15</v>
      </c>
      <c r="P28" s="1097" t="str">
        <f>CRCP_y1</f>
        <v>2015-16</v>
      </c>
      <c r="Q28" s="1097" t="str">
        <f>CRCP_y2</f>
        <v>2016-17</v>
      </c>
      <c r="R28" s="1097" t="str">
        <f>CRCP_y3</f>
        <v>2017-18</v>
      </c>
      <c r="S28" s="1097" t="str">
        <f>CRCP_y4</f>
        <v>2018-19</v>
      </c>
      <c r="T28" s="1098" t="str">
        <f>CRCP_y5</f>
        <v>2019-20</v>
      </c>
      <c r="U28"/>
      <c r="V28"/>
      <c r="W28"/>
      <c r="X28"/>
      <c r="Y28"/>
      <c r="Z28" s="301"/>
    </row>
    <row r="29" spans="1:26">
      <c r="B29" s="434" t="s">
        <v>677</v>
      </c>
      <c r="C29" s="1069"/>
      <c r="D29" s="1070"/>
      <c r="E29" s="1070"/>
      <c r="F29" s="1070"/>
      <c r="G29" s="1062"/>
      <c r="H29" s="1108">
        <v>4.155108904691434</v>
      </c>
      <c r="I29" s="1109">
        <v>3.4395557243120609</v>
      </c>
      <c r="J29" s="1109">
        <v>3.5207695256708025</v>
      </c>
      <c r="K29" s="1113">
        <v>3.473936985321203</v>
      </c>
      <c r="L29" s="1140">
        <v>3.4881316880658879</v>
      </c>
      <c r="M29" s="317"/>
      <c r="N29" s="1132">
        <f>+LOOKUP(dms_PRCP_BaseYear,C$28:G$28,C29:G29)/$D$18</f>
        <v>0</v>
      </c>
      <c r="O29" s="1089">
        <f t="shared" ref="O29:O36" si="2">+G29/$D$18</f>
        <v>0</v>
      </c>
      <c r="P29" s="1099">
        <f>+H29/$I$18</f>
        <v>4.5127033748555583</v>
      </c>
      <c r="Q29" s="1100">
        <f>+I29/$I$18</f>
        <v>3.7355686893264379</v>
      </c>
      <c r="R29" s="1100">
        <f>+J29/$I$18</f>
        <v>3.8237718637516962</v>
      </c>
      <c r="S29" s="1100">
        <f>+K29/$I$18</f>
        <v>3.7729088496318792</v>
      </c>
      <c r="T29" s="1101">
        <f>+L29/$I$18</f>
        <v>3.7883251683013337</v>
      </c>
      <c r="U29"/>
      <c r="V29"/>
      <c r="W29"/>
      <c r="X29"/>
      <c r="Y29"/>
      <c r="Z29" s="301"/>
    </row>
    <row r="30" spans="1:26">
      <c r="B30" s="440" t="s">
        <v>678</v>
      </c>
      <c r="C30" s="1059"/>
      <c r="D30" s="1056"/>
      <c r="E30" s="1056"/>
      <c r="F30" s="1056"/>
      <c r="G30" s="1063"/>
      <c r="H30" s="1061"/>
      <c r="I30" s="437"/>
      <c r="J30" s="437"/>
      <c r="K30" s="437"/>
      <c r="L30" s="1141"/>
      <c r="M30" s="320"/>
      <c r="N30" s="1133"/>
      <c r="O30" s="318"/>
      <c r="P30" s="321"/>
      <c r="Q30" s="322"/>
      <c r="R30" s="322"/>
      <c r="S30" s="322"/>
      <c r="T30" s="323"/>
      <c r="U30"/>
      <c r="V30"/>
      <c r="W30"/>
      <c r="X30"/>
      <c r="Y30"/>
      <c r="Z30" s="301"/>
    </row>
    <row r="31" spans="1:26">
      <c r="B31" s="435" t="s">
        <v>679</v>
      </c>
      <c r="C31" s="1071"/>
      <c r="D31" s="1072"/>
      <c r="E31" s="1072"/>
      <c r="F31" s="1072"/>
      <c r="G31" s="1064"/>
      <c r="H31" s="1060">
        <v>-6.9896717605381964E-2</v>
      </c>
      <c r="I31" s="1048">
        <v>-7.112165180778722E-2</v>
      </c>
      <c r="J31" s="1048">
        <v>-6.9243362519562715E-2</v>
      </c>
      <c r="K31" s="1048">
        <v>-6.7495914564558598E-2</v>
      </c>
      <c r="L31" s="1142">
        <v>-6.6146830876148727E-2</v>
      </c>
      <c r="M31" s="320"/>
      <c r="N31" s="1134">
        <f t="shared" ref="N31:N36" si="3">+LOOKUP(dms_PRCP_BaseYear,C$28:G$28,C31:G31)/$D$18</f>
        <v>0</v>
      </c>
      <c r="O31" s="1074">
        <f t="shared" si="2"/>
        <v>0</v>
      </c>
      <c r="P31" s="324">
        <f>H31/$I$18</f>
        <v>-7.5912126652804779E-2</v>
      </c>
      <c r="Q31" s="324">
        <f t="shared" ref="Q31:T36" si="4">I31/$I$18</f>
        <v>-7.7242480401879546E-2</v>
      </c>
      <c r="R31" s="324">
        <f t="shared" si="4"/>
        <v>-7.5202542916641663E-2</v>
      </c>
      <c r="S31" s="324">
        <f t="shared" si="4"/>
        <v>-7.3304707152330423E-2</v>
      </c>
      <c r="T31" s="441">
        <f t="shared" si="4"/>
        <v>-7.1839519439253638E-2</v>
      </c>
      <c r="U31"/>
      <c r="V31"/>
      <c r="W31"/>
      <c r="X31"/>
      <c r="Y31"/>
      <c r="Z31" s="301"/>
    </row>
    <row r="32" spans="1:26">
      <c r="B32" s="435" t="s">
        <v>1022</v>
      </c>
      <c r="C32" s="1071"/>
      <c r="D32" s="1072"/>
      <c r="E32" s="1072"/>
      <c r="F32" s="1072"/>
      <c r="G32" s="1064"/>
      <c r="H32" s="1060">
        <v>-0.27151277867707613</v>
      </c>
      <c r="I32" s="1048">
        <v>-0.26472495921014921</v>
      </c>
      <c r="J32" s="1048">
        <v>-0.27029652598874315</v>
      </c>
      <c r="K32" s="1048">
        <v>-0.27705393913846171</v>
      </c>
      <c r="L32" s="1142">
        <v>-0.2647700968366517</v>
      </c>
      <c r="M32" s="320"/>
      <c r="N32" s="1134">
        <f t="shared" si="3"/>
        <v>0</v>
      </c>
      <c r="O32" s="1074">
        <f t="shared" si="2"/>
        <v>0</v>
      </c>
      <c r="P32" s="324">
        <f t="shared" ref="P32" si="5">H32/$I$18</f>
        <v>-0.29487954726506538</v>
      </c>
      <c r="Q32" s="324">
        <f t="shared" ref="Q32" si="6">I32/$I$18</f>
        <v>-0.28750755858343874</v>
      </c>
      <c r="R32" s="324">
        <f t="shared" ref="R32" si="7">J32/$I$18</f>
        <v>-0.29355862217327766</v>
      </c>
      <c r="S32" s="324">
        <f t="shared" ref="S32" si="8">K32/$I$18</f>
        <v>-0.30089758772760961</v>
      </c>
      <c r="T32" s="441">
        <f t="shared" ref="T32" si="9">L32/$I$18</f>
        <v>-0.28755658081706076</v>
      </c>
      <c r="U32"/>
      <c r="V32"/>
      <c r="W32"/>
      <c r="X32"/>
      <c r="Y32"/>
      <c r="Z32" s="301"/>
    </row>
    <row r="33" spans="1:26">
      <c r="B33" s="435" t="s">
        <v>757</v>
      </c>
      <c r="C33" s="1071"/>
      <c r="D33" s="1072"/>
      <c r="E33" s="1072"/>
      <c r="F33" s="1072"/>
      <c r="G33" s="1064"/>
      <c r="H33" s="1060"/>
      <c r="I33" s="1048"/>
      <c r="J33" s="1048"/>
      <c r="K33" s="1048"/>
      <c r="L33" s="1142"/>
      <c r="M33" s="320"/>
      <c r="N33" s="1134">
        <f t="shared" si="3"/>
        <v>0</v>
      </c>
      <c r="O33" s="1074">
        <f t="shared" si="2"/>
        <v>0</v>
      </c>
      <c r="P33" s="324">
        <f t="shared" ref="P33:P36" si="10">H33/$I$18</f>
        <v>0</v>
      </c>
      <c r="Q33" s="324">
        <f t="shared" si="4"/>
        <v>0</v>
      </c>
      <c r="R33" s="324">
        <f t="shared" si="4"/>
        <v>0</v>
      </c>
      <c r="S33" s="324">
        <f t="shared" si="4"/>
        <v>0</v>
      </c>
      <c r="T33" s="441">
        <f>L33/$I$18</f>
        <v>0</v>
      </c>
      <c r="U33"/>
      <c r="V33"/>
      <c r="W33"/>
      <c r="X33"/>
      <c r="Y33"/>
      <c r="Z33" s="301"/>
    </row>
    <row r="34" spans="1:26">
      <c r="B34" s="438" t="s">
        <v>680</v>
      </c>
      <c r="C34" s="1071"/>
      <c r="D34" s="1072"/>
      <c r="E34" s="1072"/>
      <c r="F34" s="1072"/>
      <c r="G34" s="1064"/>
      <c r="H34" s="1060"/>
      <c r="I34" s="1048"/>
      <c r="J34" s="1048"/>
      <c r="K34" s="1048"/>
      <c r="L34" s="1142"/>
      <c r="M34" s="327"/>
      <c r="N34" s="1134">
        <f t="shared" si="3"/>
        <v>0</v>
      </c>
      <c r="O34" s="1074">
        <f t="shared" si="2"/>
        <v>0</v>
      </c>
      <c r="P34" s="324">
        <f t="shared" si="10"/>
        <v>0</v>
      </c>
      <c r="Q34" s="324">
        <f t="shared" si="4"/>
        <v>0</v>
      </c>
      <c r="R34" s="324">
        <f t="shared" si="4"/>
        <v>0</v>
      </c>
      <c r="S34" s="324">
        <f t="shared" si="4"/>
        <v>0</v>
      </c>
      <c r="T34" s="441">
        <f t="shared" si="4"/>
        <v>0</v>
      </c>
      <c r="U34"/>
      <c r="V34"/>
      <c r="W34"/>
      <c r="X34"/>
      <c r="Y34"/>
      <c r="Z34" s="319"/>
    </row>
    <row r="35" spans="1:26">
      <c r="B35" s="439" t="s">
        <v>752</v>
      </c>
      <c r="C35" s="1071"/>
      <c r="D35" s="1072"/>
      <c r="E35" s="1072"/>
      <c r="F35" s="1072"/>
      <c r="G35" s="1064"/>
      <c r="H35" s="1060"/>
      <c r="I35" s="1048"/>
      <c r="J35" s="1048"/>
      <c r="K35" s="1048"/>
      <c r="L35" s="1142"/>
      <c r="M35" s="327"/>
      <c r="N35" s="1134">
        <f t="shared" si="3"/>
        <v>0</v>
      </c>
      <c r="O35" s="1074">
        <f t="shared" si="2"/>
        <v>0</v>
      </c>
      <c r="P35" s="324">
        <f t="shared" si="10"/>
        <v>0</v>
      </c>
      <c r="Q35" s="324">
        <f t="shared" si="4"/>
        <v>0</v>
      </c>
      <c r="R35" s="324">
        <f t="shared" si="4"/>
        <v>0</v>
      </c>
      <c r="S35" s="324">
        <f t="shared" si="4"/>
        <v>0</v>
      </c>
      <c r="T35" s="441">
        <f t="shared" si="4"/>
        <v>0</v>
      </c>
      <c r="U35"/>
      <c r="V35"/>
      <c r="W35"/>
      <c r="X35"/>
      <c r="Y35"/>
      <c r="Z35" s="319"/>
    </row>
    <row r="36" spans="1:26" ht="15.75" thickBot="1">
      <c r="B36" s="1083" t="s">
        <v>753</v>
      </c>
      <c r="C36" s="1081"/>
      <c r="D36" s="1073"/>
      <c r="E36" s="1073"/>
      <c r="F36" s="1073"/>
      <c r="G36" s="1082"/>
      <c r="H36" s="1084"/>
      <c r="I36" s="1085"/>
      <c r="J36" s="1085"/>
      <c r="K36" s="1085"/>
      <c r="L36" s="1143"/>
      <c r="M36" s="328"/>
      <c r="N36" s="1135">
        <f t="shared" si="3"/>
        <v>0</v>
      </c>
      <c r="O36" s="1075">
        <f t="shared" si="2"/>
        <v>0</v>
      </c>
      <c r="P36" s="442">
        <f t="shared" si="10"/>
        <v>0</v>
      </c>
      <c r="Q36" s="442">
        <f t="shared" si="4"/>
        <v>0</v>
      </c>
      <c r="R36" s="442">
        <f t="shared" si="4"/>
        <v>0</v>
      </c>
      <c r="S36" s="442">
        <f t="shared" si="4"/>
        <v>0</v>
      </c>
      <c r="T36" s="443">
        <f t="shared" si="4"/>
        <v>0</v>
      </c>
      <c r="U36"/>
      <c r="V36"/>
      <c r="W36"/>
      <c r="X36"/>
      <c r="Y36"/>
      <c r="Z36" s="319"/>
    </row>
    <row r="37" spans="1:26" ht="15.75" thickBot="1">
      <c r="B37" s="1086" t="s">
        <v>681</v>
      </c>
      <c r="C37" s="1087">
        <f t="shared" ref="C37:G37" si="11">SUM(C29:C36)</f>
        <v>0</v>
      </c>
      <c r="D37" s="1087">
        <f t="shared" si="11"/>
        <v>0</v>
      </c>
      <c r="E37" s="1087">
        <f t="shared" si="11"/>
        <v>0</v>
      </c>
      <c r="F37" s="1087">
        <f t="shared" si="11"/>
        <v>0</v>
      </c>
      <c r="G37" s="1087">
        <f t="shared" si="11"/>
        <v>0</v>
      </c>
      <c r="H37" s="1087">
        <f>SUM(H29:H36)</f>
        <v>3.8136994084089757</v>
      </c>
      <c r="I37" s="1087">
        <f>SUM(I29:I36)</f>
        <v>3.1037091132941246</v>
      </c>
      <c r="J37" s="1087">
        <f>SUM(J29:J36)</f>
        <v>3.1812296371624966</v>
      </c>
      <c r="K37" s="1087">
        <f>SUM(K29:K36)</f>
        <v>3.1293871316181829</v>
      </c>
      <c r="L37" s="1088">
        <f>SUM(L29:L36)</f>
        <v>3.1572147603530878</v>
      </c>
      <c r="M37" s="328"/>
      <c r="N37" s="1076">
        <f t="shared" ref="N37" si="12">+SUM(N29:N36)</f>
        <v>0</v>
      </c>
      <c r="O37" s="329">
        <f t="shared" ref="O37" si="13">+SUM(O29:O36)</f>
        <v>0</v>
      </c>
      <c r="P37" s="329">
        <f t="shared" ref="P37:T37" si="14">+SUM(P29:P36)</f>
        <v>4.1419117009376887</v>
      </c>
      <c r="Q37" s="329">
        <f t="shared" si="14"/>
        <v>3.3708186503411195</v>
      </c>
      <c r="R37" s="329">
        <f t="shared" si="14"/>
        <v>3.4550106986617766</v>
      </c>
      <c r="S37" s="329">
        <f t="shared" si="14"/>
        <v>3.3987065547519393</v>
      </c>
      <c r="T37" s="330">
        <f t="shared" si="14"/>
        <v>3.4289290680450195</v>
      </c>
      <c r="U37"/>
      <c r="V37"/>
      <c r="W37"/>
      <c r="X37"/>
      <c r="Y37"/>
      <c r="Z37" s="319"/>
    </row>
    <row r="38" spans="1:26" ht="15.75" thickBot="1">
      <c r="B38" s="331"/>
      <c r="C38" s="332"/>
      <c r="D38" s="332"/>
      <c r="E38" s="332"/>
      <c r="F38" s="332"/>
      <c r="G38" s="333"/>
      <c r="H38" s="333"/>
      <c r="I38" s="333"/>
      <c r="J38" s="333"/>
      <c r="K38" s="333"/>
      <c r="L38" s="333"/>
      <c r="M38" s="334"/>
      <c r="N38" s="332"/>
      <c r="O38" s="332"/>
      <c r="P38" s="332"/>
      <c r="Q38" s="332"/>
      <c r="R38" s="332"/>
      <c r="S38" s="332"/>
      <c r="T38" s="332"/>
      <c r="U38"/>
      <c r="V38"/>
      <c r="W38"/>
      <c r="X38"/>
      <c r="Y38"/>
      <c r="Z38" s="335"/>
    </row>
    <row r="39" spans="1:26" s="316" customFormat="1" ht="16.5" thickBot="1">
      <c r="A39" s="197"/>
      <c r="B39" s="313" t="s">
        <v>682</v>
      </c>
      <c r="C39" s="314"/>
      <c r="D39" s="314"/>
      <c r="E39" s="314"/>
      <c r="F39" s="314"/>
      <c r="G39" s="314"/>
      <c r="H39" s="314"/>
      <c r="I39" s="314"/>
      <c r="J39" s="314"/>
      <c r="K39" s="314"/>
      <c r="L39" s="314"/>
      <c r="M39" s="314"/>
      <c r="N39" s="314"/>
      <c r="O39" s="314"/>
      <c r="P39" s="314"/>
      <c r="Q39" s="314"/>
      <c r="R39" s="314"/>
      <c r="S39" s="314"/>
      <c r="T39" s="315"/>
      <c r="U39"/>
      <c r="V39"/>
      <c r="W39"/>
      <c r="X39"/>
      <c r="Y39"/>
    </row>
    <row r="40" spans="1:26">
      <c r="B40" s="336"/>
      <c r="C40" s="1210" t="s">
        <v>683</v>
      </c>
      <c r="D40" s="1211"/>
      <c r="E40" s="1211"/>
      <c r="F40" s="1211"/>
      <c r="G40" s="1211"/>
      <c r="H40" s="1211"/>
      <c r="I40" s="1211"/>
      <c r="J40" s="1211"/>
      <c r="K40" s="1211"/>
      <c r="L40" s="1212"/>
      <c r="M40" s="337"/>
      <c r="N40" s="1227" t="str">
        <f>CONCATENATE("$m, real ", dms_DollarReal)</f>
        <v>$m, real June 2020</v>
      </c>
      <c r="O40" s="1228"/>
      <c r="P40" s="1228"/>
      <c r="Q40" s="1228"/>
      <c r="R40" s="1228"/>
      <c r="S40" s="1228"/>
      <c r="T40" s="1229"/>
      <c r="U40"/>
      <c r="V40"/>
      <c r="W40"/>
      <c r="X40"/>
      <c r="Y40"/>
      <c r="Z40" s="301"/>
    </row>
    <row r="41" spans="1:26" ht="15.75" thickBot="1">
      <c r="B41" s="336"/>
      <c r="C41" s="1216" t="s">
        <v>676</v>
      </c>
      <c r="D41" s="1217"/>
      <c r="E41" s="1217"/>
      <c r="F41" s="1217"/>
      <c r="G41" s="1218"/>
      <c r="H41" s="1213" t="s">
        <v>580</v>
      </c>
      <c r="I41" s="1214"/>
      <c r="J41" s="1214"/>
      <c r="K41" s="1214"/>
      <c r="L41" s="1215"/>
      <c r="M41" s="337"/>
      <c r="N41" s="1230" t="s">
        <v>676</v>
      </c>
      <c r="O41" s="1231"/>
      <c r="P41" s="1232" t="s">
        <v>580</v>
      </c>
      <c r="Q41" s="1233"/>
      <c r="R41" s="1233"/>
      <c r="S41" s="1233"/>
      <c r="T41" s="1234"/>
      <c r="U41"/>
      <c r="V41"/>
      <c r="W41"/>
      <c r="X41"/>
      <c r="Y41"/>
      <c r="Z41" s="301"/>
    </row>
    <row r="42" spans="1:26" ht="15.75" thickBot="1">
      <c r="B42" s="338"/>
      <c r="C42" s="1053" t="str">
        <f>PRCP_y1</f>
        <v>2010-11</v>
      </c>
      <c r="D42" s="1054" t="str">
        <f>PRCP_y2</f>
        <v>2011-12</v>
      </c>
      <c r="E42" s="1054" t="str">
        <f>PRCP_y3</f>
        <v>2012-13</v>
      </c>
      <c r="F42" s="1054" t="str">
        <f>PRCP_y4</f>
        <v>2013-14</v>
      </c>
      <c r="G42" s="1055" t="str">
        <f>PRCP_y5</f>
        <v>2014-15</v>
      </c>
      <c r="H42" s="1065" t="str">
        <f>CRCP_y1</f>
        <v>2015-16</v>
      </c>
      <c r="I42" s="1066" t="str">
        <f>CRCP_y2</f>
        <v>2016-17</v>
      </c>
      <c r="J42" s="1066" t="str">
        <f>CRCP_y3</f>
        <v>2017-18</v>
      </c>
      <c r="K42" s="1066" t="str">
        <f>CRCP_y4</f>
        <v>2018-19</v>
      </c>
      <c r="L42" s="1112" t="str">
        <f>CRCP_y5</f>
        <v>2019-20</v>
      </c>
      <c r="M42" s="327"/>
      <c r="N42" s="1090" t="str">
        <f>dms_PRCP_BaseYear</f>
        <v>2013-14</v>
      </c>
      <c r="O42" s="1096" t="str">
        <f>PRCP_y5</f>
        <v>2014-15</v>
      </c>
      <c r="P42" s="1097" t="str">
        <f>CRCP_y1</f>
        <v>2015-16</v>
      </c>
      <c r="Q42" s="1097" t="str">
        <f>CRCP_y2</f>
        <v>2016-17</v>
      </c>
      <c r="R42" s="1097" t="str">
        <f>CRCP_y3</f>
        <v>2017-18</v>
      </c>
      <c r="S42" s="1097" t="str">
        <f>CRCP_y4</f>
        <v>2018-19</v>
      </c>
      <c r="T42" s="1098" t="str">
        <f>CRCP_y5</f>
        <v>2019-20</v>
      </c>
      <c r="U42"/>
      <c r="V42"/>
      <c r="W42" s="1049"/>
      <c r="X42"/>
      <c r="Y42"/>
    </row>
    <row r="43" spans="1:26">
      <c r="B43" s="434" t="s">
        <v>684</v>
      </c>
      <c r="C43" s="1069"/>
      <c r="D43" s="1070"/>
      <c r="E43" s="1070"/>
      <c r="F43" s="1070"/>
      <c r="G43" s="1062"/>
      <c r="H43" s="1115">
        <v>4.0315744800000006</v>
      </c>
      <c r="I43" s="1116">
        <v>3.8455995700000005</v>
      </c>
      <c r="J43" s="1117">
        <v>4.2595279600000007</v>
      </c>
      <c r="K43" s="1117">
        <v>4.3971521244966549</v>
      </c>
      <c r="L43" s="1068"/>
      <c r="M43" s="327"/>
      <c r="N43" s="1136">
        <f ca="1">+LOOKUP(dms_PRCP_BaseYear,C$42:G$42,C43:G43)/LOOKUP(dms_PRCP_BaseYear,C$14:N$14,C$18:N$18)*(1+LOOKUP(dms_PRCP_BaseYear,C$14:N$14,C$17:M$17))^0.5</f>
        <v>0</v>
      </c>
      <c r="O43" s="1091">
        <f>+G43/I$18*(1+I$17)^0.5</f>
        <v>0</v>
      </c>
      <c r="P43" s="1092">
        <f t="shared" ref="P43:P50" si="15">+H43/J$18*(1+J$17)^0.5</f>
        <v>4.3563060538713074</v>
      </c>
      <c r="Q43" s="1093">
        <f t="shared" ref="Q43:Q50" si="16">+I43/K$18*(1+K$17)^0.5</f>
        <v>4.0948517056228022</v>
      </c>
      <c r="R43" s="1093">
        <f t="shared" ref="R43:R50" si="17">+J43/L$18*(1+L$17)^0.5</f>
        <v>4.446428182983257</v>
      </c>
      <c r="S43" s="1094">
        <f t="shared" ref="S43:S50" si="18">+K43/M$18*(1+M$17)^0.5</f>
        <v>4.5073799240359351</v>
      </c>
      <c r="T43" s="1095"/>
      <c r="U43"/>
      <c r="V43"/>
      <c r="W43" s="1049"/>
      <c r="X43"/>
      <c r="Y43"/>
    </row>
    <row r="44" spans="1:26">
      <c r="B44" s="440" t="s">
        <v>685</v>
      </c>
      <c r="C44" s="1059"/>
      <c r="D44" s="1056"/>
      <c r="E44" s="1056"/>
      <c r="F44" s="1056"/>
      <c r="G44" s="1067"/>
      <c r="H44" s="1105"/>
      <c r="I44" s="1106"/>
      <c r="J44" s="1107"/>
      <c r="K44" s="1107"/>
      <c r="L44" s="1068"/>
      <c r="M44" s="328"/>
      <c r="N44" s="1133"/>
      <c r="O44" s="318"/>
      <c r="P44" s="321"/>
      <c r="Q44" s="322"/>
      <c r="R44" s="322"/>
      <c r="S44" s="318"/>
      <c r="T44" s="339"/>
      <c r="U44"/>
      <c r="V44"/>
      <c r="W44"/>
      <c r="X44"/>
      <c r="Y44"/>
      <c r="Z44" s="301"/>
    </row>
    <row r="45" spans="1:26">
      <c r="B45" s="1057" t="str">
        <f>B31</f>
        <v>Debt raising costs</v>
      </c>
      <c r="C45" s="1071"/>
      <c r="D45" s="1072"/>
      <c r="E45" s="1072"/>
      <c r="F45" s="1072"/>
      <c r="G45" s="1047"/>
      <c r="H45" s="1114">
        <v>0</v>
      </c>
      <c r="I45" s="1048">
        <v>0</v>
      </c>
      <c r="J45" s="1085">
        <v>0</v>
      </c>
      <c r="K45" s="1082">
        <v>0</v>
      </c>
      <c r="L45" s="1129"/>
      <c r="M45" s="327"/>
      <c r="N45" s="1137">
        <f t="shared" ref="N45:N50" ca="1" si="19">+LOOKUP(dms_PRCP_BaseYear,C$42:G$42,C45:G45)/LOOKUP(dms_PRCP_BaseYear,C$14:N$14,C$18:N$18)*(1+LOOKUP(dms_PRCP_BaseYear,C$14:N$14,C$17:M$17))^0.5</f>
        <v>0</v>
      </c>
      <c r="O45" s="1077">
        <f t="shared" ref="O45:O50" si="20">+G45/I$18*(1+I$17)^0.5</f>
        <v>0</v>
      </c>
      <c r="P45" s="340">
        <f t="shared" si="15"/>
        <v>0</v>
      </c>
      <c r="Q45" s="340">
        <f t="shared" si="16"/>
        <v>0</v>
      </c>
      <c r="R45" s="340">
        <f t="shared" si="17"/>
        <v>0</v>
      </c>
      <c r="S45" s="446">
        <f t="shared" si="18"/>
        <v>0</v>
      </c>
      <c r="T45" s="342"/>
      <c r="U45"/>
      <c r="V45"/>
      <c r="W45"/>
      <c r="X45"/>
      <c r="Y45"/>
      <c r="Z45" s="301"/>
    </row>
    <row r="46" spans="1:26">
      <c r="B46" s="1057" t="str">
        <f>B32</f>
        <v xml:space="preserve">Insurance costs </v>
      </c>
      <c r="C46" s="1071"/>
      <c r="D46" s="1072"/>
      <c r="E46" s="1072"/>
      <c r="F46" s="1072"/>
      <c r="G46" s="1064"/>
      <c r="H46" s="1108">
        <v>-0.754072352</v>
      </c>
      <c r="I46" s="1048">
        <v>-0.48788082199999999</v>
      </c>
      <c r="J46" s="1048">
        <v>-0.40899999999999997</v>
      </c>
      <c r="K46" s="1064">
        <v>-0.45608869543605357</v>
      </c>
      <c r="L46" s="1129"/>
      <c r="M46" s="328"/>
      <c r="N46" s="1137">
        <f t="shared" ca="1" si="19"/>
        <v>0</v>
      </c>
      <c r="O46" s="1077">
        <f t="shared" si="20"/>
        <v>0</v>
      </c>
      <c r="P46" s="340">
        <f t="shared" si="15"/>
        <v>-0.81481068212203167</v>
      </c>
      <c r="Q46" s="340">
        <f t="shared" si="16"/>
        <v>-0.51950276666672157</v>
      </c>
      <c r="R46" s="340">
        <f t="shared" si="17"/>
        <v>-0.4269461649079424</v>
      </c>
      <c r="S46" s="446">
        <f t="shared" si="18"/>
        <v>-0.46752192582455465</v>
      </c>
      <c r="T46" s="342"/>
      <c r="U46"/>
      <c r="V46"/>
      <c r="W46"/>
      <c r="X46"/>
      <c r="Y46"/>
      <c r="Z46" s="301"/>
    </row>
    <row r="47" spans="1:26">
      <c r="B47" s="1057" t="str">
        <f>B33</f>
        <v>Excluded cost category 2</v>
      </c>
      <c r="C47" s="1071"/>
      <c r="D47" s="1072"/>
      <c r="E47" s="1072"/>
      <c r="F47" s="1072"/>
      <c r="G47" s="1064"/>
      <c r="H47" s="1060"/>
      <c r="I47" s="1048"/>
      <c r="J47" s="1109"/>
      <c r="K47" s="1109"/>
      <c r="L47" s="1068"/>
      <c r="M47" s="328"/>
      <c r="N47" s="1137">
        <f t="shared" ca="1" si="19"/>
        <v>0</v>
      </c>
      <c r="O47" s="1077">
        <f t="shared" si="20"/>
        <v>0</v>
      </c>
      <c r="P47" s="340">
        <f t="shared" si="15"/>
        <v>0</v>
      </c>
      <c r="Q47" s="340">
        <f t="shared" si="16"/>
        <v>0</v>
      </c>
      <c r="R47" s="340">
        <f t="shared" si="17"/>
        <v>0</v>
      </c>
      <c r="S47" s="446">
        <f t="shared" si="18"/>
        <v>0</v>
      </c>
      <c r="T47" s="342"/>
      <c r="U47"/>
      <c r="V47" s="1219" t="str">
        <f>CONCATENATE(dms_TradingName," to nominate base year used to forecast opex 
(drop down menu)")</f>
        <v>Directlink to nominate base year used to forecast opex 
(drop down menu)</v>
      </c>
      <c r="W47" s="1220"/>
      <c r="X47"/>
      <c r="Y47"/>
      <c r="Z47" s="301"/>
    </row>
    <row r="48" spans="1:26" ht="15" customHeight="1">
      <c r="B48" s="1058" t="s">
        <v>680</v>
      </c>
      <c r="C48" s="1071"/>
      <c r="D48" s="1072"/>
      <c r="E48" s="1072"/>
      <c r="F48" s="1072"/>
      <c r="G48" s="1064"/>
      <c r="H48" s="1060"/>
      <c r="I48" s="1048"/>
      <c r="J48" s="1118"/>
      <c r="K48" s="1118"/>
      <c r="L48" s="1068"/>
      <c r="M48" s="325"/>
      <c r="N48" s="1137">
        <f t="shared" ca="1" si="19"/>
        <v>0</v>
      </c>
      <c r="O48" s="1077">
        <f t="shared" si="20"/>
        <v>0</v>
      </c>
      <c r="P48" s="340">
        <f t="shared" si="15"/>
        <v>0</v>
      </c>
      <c r="Q48" s="340">
        <f t="shared" si="16"/>
        <v>0</v>
      </c>
      <c r="R48" s="340">
        <f t="shared" si="17"/>
        <v>0</v>
      </c>
      <c r="S48" s="446">
        <f t="shared" si="18"/>
        <v>0</v>
      </c>
      <c r="T48" s="343"/>
      <c r="U48"/>
      <c r="V48" s="1221"/>
      <c r="W48" s="1222"/>
      <c r="X48"/>
      <c r="Y48"/>
      <c r="Z48" s="326"/>
    </row>
    <row r="49" spans="1:26" ht="15" customHeight="1">
      <c r="B49" s="1058" t="s">
        <v>686</v>
      </c>
      <c r="C49" s="1071"/>
      <c r="D49" s="1072"/>
      <c r="E49" s="1072"/>
      <c r="F49" s="1072"/>
      <c r="G49" s="1064"/>
      <c r="H49" s="1060">
        <v>0</v>
      </c>
      <c r="I49" s="1048">
        <v>0</v>
      </c>
      <c r="J49" s="1109">
        <v>0</v>
      </c>
      <c r="K49" s="1109">
        <v>0</v>
      </c>
      <c r="L49" s="1068"/>
      <c r="M49" s="325"/>
      <c r="N49" s="1137">
        <f t="shared" ca="1" si="19"/>
        <v>0</v>
      </c>
      <c r="O49" s="1077">
        <f t="shared" si="20"/>
        <v>0</v>
      </c>
      <c r="P49" s="340">
        <f t="shared" si="15"/>
        <v>0</v>
      </c>
      <c r="Q49" s="340">
        <f t="shared" si="16"/>
        <v>0</v>
      </c>
      <c r="R49" s="340">
        <f t="shared" si="17"/>
        <v>0</v>
      </c>
      <c r="S49" s="446">
        <f t="shared" si="18"/>
        <v>0</v>
      </c>
      <c r="T49" s="343"/>
      <c r="U49"/>
      <c r="V49" s="1221"/>
      <c r="W49" s="1222"/>
      <c r="X49"/>
      <c r="Y49"/>
      <c r="Z49" s="326"/>
    </row>
    <row r="50" spans="1:26" ht="15.75" customHeight="1" thickBot="1">
      <c r="B50" s="1083" t="s">
        <v>753</v>
      </c>
      <c r="C50" s="1081"/>
      <c r="D50" s="1073"/>
      <c r="E50" s="1073"/>
      <c r="F50" s="1073"/>
      <c r="G50" s="1082"/>
      <c r="H50" s="1084"/>
      <c r="I50" s="1085"/>
      <c r="J50" s="1085"/>
      <c r="K50" s="1085"/>
      <c r="L50" s="1130"/>
      <c r="M50" s="325"/>
      <c r="N50" s="379">
        <f t="shared" ca="1" si="19"/>
        <v>0</v>
      </c>
      <c r="O50" s="1078">
        <f t="shared" si="20"/>
        <v>0</v>
      </c>
      <c r="P50" s="444">
        <f t="shared" si="15"/>
        <v>0</v>
      </c>
      <c r="Q50" s="444">
        <f t="shared" si="16"/>
        <v>0</v>
      </c>
      <c r="R50" s="444">
        <f t="shared" si="17"/>
        <v>0</v>
      </c>
      <c r="S50" s="447">
        <f t="shared" si="18"/>
        <v>0</v>
      </c>
      <c r="T50" s="445"/>
      <c r="U50"/>
      <c r="V50" s="1221"/>
      <c r="W50" s="1222"/>
      <c r="X50"/>
      <c r="Y50"/>
      <c r="Z50" s="326"/>
    </row>
    <row r="51" spans="1:26" s="346" customFormat="1" ht="15.75" customHeight="1" thickBot="1">
      <c r="A51" s="197"/>
      <c r="B51" s="1131" t="s">
        <v>687</v>
      </c>
      <c r="C51" s="1087">
        <f t="shared" ref="C51:G51" si="21">SUM(C43:C50)</f>
        <v>0</v>
      </c>
      <c r="D51" s="1087">
        <f t="shared" si="21"/>
        <v>0</v>
      </c>
      <c r="E51" s="1087">
        <f t="shared" si="21"/>
        <v>0</v>
      </c>
      <c r="F51" s="1087">
        <f t="shared" si="21"/>
        <v>0</v>
      </c>
      <c r="G51" s="1087">
        <f t="shared" si="21"/>
        <v>0</v>
      </c>
      <c r="H51" s="329">
        <f>SUM(H43:H50)</f>
        <v>3.2775021280000005</v>
      </c>
      <c r="I51" s="329">
        <f>SUM(I43:I50)</f>
        <v>3.3577187480000004</v>
      </c>
      <c r="J51" s="329">
        <f>SUM(J43:J50)</f>
        <v>3.8505279600000009</v>
      </c>
      <c r="K51" s="329">
        <f>SUM(K43:K50)</f>
        <v>3.9410634290606015</v>
      </c>
      <c r="L51" s="330"/>
      <c r="M51" s="344"/>
      <c r="N51" s="1076">
        <f t="shared" ref="N51" ca="1" si="22">N43+SUM(N45:N50)</f>
        <v>0</v>
      </c>
      <c r="O51" s="329">
        <f t="shared" ref="O51" si="23">O43+SUM(O45:O50)</f>
        <v>0</v>
      </c>
      <c r="P51" s="329">
        <f t="shared" ref="P51:R51" si="24">P43+SUM(P45:P50)</f>
        <v>3.5414953717492756</v>
      </c>
      <c r="Q51" s="329">
        <f t="shared" si="24"/>
        <v>3.5753489389560809</v>
      </c>
      <c r="R51" s="329">
        <f t="shared" si="24"/>
        <v>4.0194820180753146</v>
      </c>
      <c r="S51" s="329">
        <f>S43+SUM(S45:S50)</f>
        <v>4.0398579982113807</v>
      </c>
      <c r="T51" s="330">
        <f>(T37-(LOOKUP(U51,P28:T28,P37:T37)-LOOKUP(U51,P42:T42,P51:T51)))+U52</f>
        <v>3.9934003874585575</v>
      </c>
      <c r="U51" s="1051" t="s">
        <v>483</v>
      </c>
      <c r="V51" s="1223"/>
      <c r="W51" s="1224"/>
      <c r="X51"/>
      <c r="Y51"/>
      <c r="Z51" s="345"/>
    </row>
    <row r="52" spans="1:26" customFormat="1">
      <c r="A52" s="197"/>
      <c r="T52" s="1049"/>
      <c r="U52" s="1052"/>
      <c r="V52" s="1050" t="s">
        <v>1019</v>
      </c>
    </row>
    <row r="53" spans="1:26" customFormat="1">
      <c r="A53" s="197"/>
      <c r="V53" s="1050"/>
    </row>
    <row r="54" spans="1:26" customFormat="1" ht="15.75" thickBot="1">
      <c r="A54" s="197"/>
      <c r="V54" s="1050"/>
    </row>
    <row r="55" spans="1:26" s="24" customFormat="1" ht="18.75" thickBot="1">
      <c r="A55" s="197"/>
      <c r="B55" s="461"/>
      <c r="C55" s="1080"/>
      <c r="D55" s="1080"/>
      <c r="E55" s="1080"/>
      <c r="F55" s="1080"/>
      <c r="G55" s="1080"/>
      <c r="J55" s="1079"/>
      <c r="N55" s="460" t="str">
        <f>CONCATENATE("Incremental gain $m, real ", dms_DollarReal)</f>
        <v>Incremental gain $m, real June 2020</v>
      </c>
      <c r="O55" s="348"/>
      <c r="P55" s="347"/>
      <c r="Q55" s="348"/>
      <c r="R55" s="348"/>
      <c r="S55" s="348"/>
      <c r="T55" s="349"/>
      <c r="U55"/>
      <c r="V55"/>
      <c r="W55"/>
      <c r="X55"/>
      <c r="Y55"/>
      <c r="Z55"/>
    </row>
    <row r="56" spans="1:26" ht="15.75" thickBot="1">
      <c r="B56" s="317"/>
      <c r="C56" s="317"/>
      <c r="D56" s="317"/>
      <c r="E56" s="317"/>
      <c r="F56" s="317"/>
      <c r="G56" s="317"/>
      <c r="H56" s="317"/>
      <c r="I56" s="317"/>
      <c r="J56" s="1079"/>
      <c r="K56" s="317"/>
      <c r="L56" s="317"/>
      <c r="M56" s="317"/>
      <c r="N56" s="350"/>
      <c r="O56" s="459"/>
      <c r="P56" s="351">
        <f ca="1">IF(dms_EBSS_status="No",(P37-P51)-(O37-O51)+IF(N28=O28,O37-O51,N37-N51),(P37-P51))</f>
        <v>0.60041632918841303</v>
      </c>
      <c r="Q56" s="352">
        <f>(Q37-Q51)-(P37-P51)</f>
        <v>-0.8049466178033744</v>
      </c>
      <c r="R56" s="352">
        <f>(R37-R51)-(Q37-Q51)</f>
        <v>-0.35994103079857664</v>
      </c>
      <c r="S56" s="352">
        <f>(S37-S51)-(R37-R51)</f>
        <v>-7.6680124045903408E-2</v>
      </c>
      <c r="T56" s="353">
        <f>(T37-T51)-(S37-S51)</f>
        <v>7.6680124045903408E-2</v>
      </c>
      <c r="U56"/>
      <c r="V56"/>
      <c r="W56"/>
      <c r="X56"/>
      <c r="Y56"/>
      <c r="Z56"/>
    </row>
    <row r="57" spans="1:26" ht="23.25" customHeight="1" thickBot="1">
      <c r="C57" s="354"/>
      <c r="D57" s="354"/>
      <c r="E57" s="354"/>
      <c r="F57" s="354"/>
      <c r="G57" s="317"/>
      <c r="H57" s="317"/>
      <c r="I57" s="317"/>
      <c r="J57" s="1079"/>
      <c r="K57" s="317"/>
      <c r="L57" s="317"/>
      <c r="M57" s="309"/>
      <c r="N57" s="355"/>
      <c r="O57" s="355"/>
      <c r="P57" s="355"/>
      <c r="Q57" s="355"/>
      <c r="R57" s="355"/>
      <c r="S57" s="355"/>
      <c r="T57" s="355"/>
      <c r="U57"/>
      <c r="V57"/>
      <c r="W57"/>
      <c r="X57"/>
      <c r="Y57"/>
      <c r="Z57"/>
    </row>
    <row r="58" spans="1:26" s="24" customFormat="1" ht="18.75" thickBot="1">
      <c r="A58" s="197"/>
      <c r="J58" s="1079"/>
      <c r="N58" s="356" t="s">
        <v>688</v>
      </c>
      <c r="O58" s="357"/>
      <c r="P58" s="348"/>
      <c r="Q58" s="348"/>
      <c r="R58" s="348"/>
      <c r="S58" s="348"/>
      <c r="T58" s="348"/>
      <c r="U58" s="348"/>
      <c r="V58" s="348"/>
      <c r="W58" s="348"/>
      <c r="X58" s="348"/>
      <c r="Y58" s="358"/>
      <c r="Z58" s="359"/>
    </row>
    <row r="59" spans="1:26" ht="30" customHeight="1">
      <c r="C59" s="354"/>
      <c r="D59" s="354"/>
      <c r="E59" s="354"/>
      <c r="F59" s="354"/>
      <c r="G59" s="317"/>
      <c r="H59" s="317"/>
      <c r="I59" s="317"/>
      <c r="J59" s="1079"/>
      <c r="K59" s="317"/>
      <c r="L59" s="317"/>
      <c r="M59" s="309"/>
      <c r="N59" s="360"/>
      <c r="O59" s="361"/>
      <c r="P59" s="1247" t="s">
        <v>580</v>
      </c>
      <c r="Q59" s="1248"/>
      <c r="R59" s="1248"/>
      <c r="S59" s="1248"/>
      <c r="T59" s="1248"/>
      <c r="U59" s="1225" t="s">
        <v>579</v>
      </c>
      <c r="V59" s="1226"/>
      <c r="W59" s="1226"/>
      <c r="X59" s="1226"/>
      <c r="Y59" s="1226"/>
      <c r="Z59" s="450"/>
    </row>
    <row r="60" spans="1:26">
      <c r="C60" s="354"/>
      <c r="D60" s="354"/>
      <c r="E60" s="354"/>
      <c r="F60" s="354"/>
      <c r="G60" s="317"/>
      <c r="H60" s="317"/>
      <c r="I60" s="317"/>
      <c r="J60" s="317"/>
      <c r="K60" s="317"/>
      <c r="L60" s="317"/>
      <c r="M60" s="309"/>
      <c r="N60" s="362"/>
      <c r="O60" s="363"/>
      <c r="P60" s="364" t="str">
        <f>CONCATENATE("$m, real ", dms_DollarReal)</f>
        <v>$m, real June 2020</v>
      </c>
      <c r="Q60" s="365"/>
      <c r="R60" s="365"/>
      <c r="S60" s="365"/>
      <c r="T60" s="365"/>
      <c r="U60" s="365"/>
      <c r="V60" s="365"/>
      <c r="W60" s="366"/>
      <c r="X60" s="367"/>
      <c r="Y60" s="368"/>
      <c r="Z60" s="451"/>
    </row>
    <row r="61" spans="1:26" ht="15.75" thickBot="1">
      <c r="C61" s="354"/>
      <c r="D61" s="354"/>
      <c r="E61" s="354"/>
      <c r="F61" s="354"/>
      <c r="G61" s="317"/>
      <c r="H61" s="317"/>
      <c r="I61" s="317"/>
      <c r="J61" s="317"/>
      <c r="K61" s="317"/>
      <c r="L61" s="317"/>
      <c r="M61" s="309"/>
      <c r="N61" s="362"/>
      <c r="O61" s="363"/>
      <c r="P61" s="369" t="str">
        <f>CRCP_y1</f>
        <v>2015-16</v>
      </c>
      <c r="Q61" s="370" t="str">
        <f>CRCP_y2</f>
        <v>2016-17</v>
      </c>
      <c r="R61" s="370" t="str">
        <f>CRCP_y3</f>
        <v>2017-18</v>
      </c>
      <c r="S61" s="370" t="str">
        <f>CRCP_y4</f>
        <v>2018-19</v>
      </c>
      <c r="T61" s="370" t="str">
        <f>CRCP_y5</f>
        <v>2019-20</v>
      </c>
      <c r="U61" s="371" t="str">
        <f>FRCP_y1</f>
        <v>2020-21</v>
      </c>
      <c r="V61" s="371" t="str">
        <f>FRCP_y2</f>
        <v>2021-22</v>
      </c>
      <c r="W61" s="371" t="str">
        <f>FRCP_y3</f>
        <v>2022-23</v>
      </c>
      <c r="X61" s="371" t="str">
        <f>FRCP_y4</f>
        <v>2023-24</v>
      </c>
      <c r="Y61" s="371" t="str">
        <f>FRCP_y5</f>
        <v>2024-25</v>
      </c>
      <c r="Z61" s="372" t="s">
        <v>689</v>
      </c>
    </row>
    <row r="62" spans="1:26" ht="15.75" thickBot="1">
      <c r="B62" s="317"/>
      <c r="C62" s="309"/>
      <c r="D62" s="309"/>
      <c r="E62" s="309"/>
      <c r="F62" s="309"/>
      <c r="G62" s="309"/>
      <c r="H62" s="317"/>
      <c r="I62" s="317"/>
      <c r="J62" s="317"/>
      <c r="K62" s="317"/>
      <c r="L62" s="317"/>
      <c r="M62" s="317"/>
      <c r="N62" s="1238" t="str">
        <f>CRCP_y1</f>
        <v>2015-16</v>
      </c>
      <c r="O62" s="1239"/>
      <c r="P62" s="373"/>
      <c r="Q62" s="374">
        <f ca="1">$P$56</f>
        <v>0.60041632918841303</v>
      </c>
      <c r="R62" s="375">
        <f ca="1">$P$56</f>
        <v>0.60041632918841303</v>
      </c>
      <c r="S62" s="376">
        <f ca="1">$P$56</f>
        <v>0.60041632918841303</v>
      </c>
      <c r="T62" s="375">
        <f ca="1">$P$56</f>
        <v>0.60041632918841303</v>
      </c>
      <c r="U62" s="455">
        <f ca="1">$P$56</f>
        <v>0.60041632918841303</v>
      </c>
      <c r="V62" s="377"/>
      <c r="W62" s="377"/>
      <c r="X62" s="377"/>
      <c r="Y62" s="377"/>
      <c r="Z62" s="378"/>
    </row>
    <row r="63" spans="1:26" ht="15.75" thickBot="1">
      <c r="B63" s="317"/>
      <c r="C63" s="317"/>
      <c r="D63" s="317"/>
      <c r="E63" s="317"/>
      <c r="F63" s="317"/>
      <c r="G63" s="317"/>
      <c r="H63" s="317"/>
      <c r="I63" s="317"/>
      <c r="J63" s="317"/>
      <c r="K63" s="317"/>
      <c r="L63" s="317"/>
      <c r="M63" s="317"/>
      <c r="N63" s="1240" t="str">
        <f>CRCP_y2</f>
        <v>2016-17</v>
      </c>
      <c r="O63" s="1241"/>
      <c r="P63" s="373"/>
      <c r="Q63" s="373"/>
      <c r="R63" s="379">
        <f>$Q$56</f>
        <v>-0.8049466178033744</v>
      </c>
      <c r="S63" s="380">
        <f>$Q$56</f>
        <v>-0.8049466178033744</v>
      </c>
      <c r="T63" s="341">
        <f>$Q$56</f>
        <v>-0.8049466178033744</v>
      </c>
      <c r="U63" s="380">
        <f>$Q$56</f>
        <v>-0.8049466178033744</v>
      </c>
      <c r="V63" s="455">
        <f>$Q$56</f>
        <v>-0.8049466178033744</v>
      </c>
      <c r="W63" s="377"/>
      <c r="X63" s="377"/>
      <c r="Y63" s="377"/>
      <c r="Z63" s="378"/>
    </row>
    <row r="64" spans="1:26" ht="15.75" thickBot="1">
      <c r="B64" s="317"/>
      <c r="C64" s="317"/>
      <c r="D64" s="317"/>
      <c r="E64" s="317"/>
      <c r="F64" s="317"/>
      <c r="G64" s="317"/>
      <c r="H64" s="317"/>
      <c r="I64" s="317"/>
      <c r="J64" s="317"/>
      <c r="K64" s="317"/>
      <c r="L64" s="317"/>
      <c r="M64" s="317"/>
      <c r="N64" s="1240" t="str">
        <f>CRCP_y3</f>
        <v>2017-18</v>
      </c>
      <c r="O64" s="1241"/>
      <c r="P64" s="377"/>
      <c r="Q64" s="377"/>
      <c r="R64" s="373"/>
      <c r="S64" s="381">
        <f>$R$56</f>
        <v>-0.35994103079857664</v>
      </c>
      <c r="T64" s="341">
        <f>$R$56</f>
        <v>-0.35994103079857664</v>
      </c>
      <c r="U64" s="380">
        <f>$R$56</f>
        <v>-0.35994103079857664</v>
      </c>
      <c r="V64" s="341">
        <f>$R$56</f>
        <v>-0.35994103079857664</v>
      </c>
      <c r="W64" s="456">
        <f>$R$56</f>
        <v>-0.35994103079857664</v>
      </c>
      <c r="X64" s="457"/>
      <c r="Y64" s="377"/>
      <c r="Z64" s="378"/>
    </row>
    <row r="65" spans="1:26" ht="15.75" thickBot="1">
      <c r="B65" s="317"/>
      <c r="C65" s="317"/>
      <c r="D65" s="317"/>
      <c r="E65" s="317"/>
      <c r="F65" s="317"/>
      <c r="G65" s="317"/>
      <c r="H65" s="317"/>
      <c r="I65" s="317"/>
      <c r="J65" s="317"/>
      <c r="K65" s="317"/>
      <c r="L65" s="317"/>
      <c r="M65" s="317"/>
      <c r="N65" s="1240" t="str">
        <f>CRCP_y4</f>
        <v>2018-19</v>
      </c>
      <c r="O65" s="1241"/>
      <c r="P65" s="377"/>
      <c r="Q65" s="377"/>
      <c r="R65" s="377"/>
      <c r="S65" s="373"/>
      <c r="T65" s="379">
        <f>$S$56</f>
        <v>-7.6680124045903408E-2</v>
      </c>
      <c r="U65" s="341">
        <f>$S$56</f>
        <v>-7.6680124045903408E-2</v>
      </c>
      <c r="V65" s="382">
        <f>$S$56</f>
        <v>-7.6680124045903408E-2</v>
      </c>
      <c r="W65" s="380">
        <f>$S$56</f>
        <v>-7.6680124045903408E-2</v>
      </c>
      <c r="X65" s="458">
        <f>$S$56</f>
        <v>-7.6680124045903408E-2</v>
      </c>
      <c r="Y65" s="457"/>
      <c r="Z65" s="378"/>
    </row>
    <row r="66" spans="1:26" ht="15.75" thickBot="1">
      <c r="B66" s="384"/>
      <c r="C66" s="384"/>
      <c r="D66" s="384"/>
      <c r="E66" s="384"/>
      <c r="F66" s="384"/>
      <c r="G66" s="384"/>
      <c r="H66" s="384"/>
      <c r="I66" s="384"/>
      <c r="J66" s="385"/>
      <c r="K66" s="385"/>
      <c r="L66" s="385"/>
      <c r="M66" s="385"/>
      <c r="N66" s="1242" t="str">
        <f>CRCP_y5</f>
        <v>2019-20</v>
      </c>
      <c r="O66" s="1243"/>
      <c r="P66" s="383"/>
      <c r="Q66" s="383"/>
      <c r="R66" s="377"/>
      <c r="S66" s="383"/>
      <c r="T66" s="373"/>
      <c r="U66" s="381">
        <f>+$T$56</f>
        <v>7.6680124045903408E-2</v>
      </c>
      <c r="V66" s="386">
        <f>+$T$56</f>
        <v>7.6680124045903408E-2</v>
      </c>
      <c r="W66" s="387">
        <f>+$T$56</f>
        <v>7.6680124045903408E-2</v>
      </c>
      <c r="X66" s="388">
        <f>+$T$56</f>
        <v>7.6680124045903408E-2</v>
      </c>
      <c r="Y66" s="389">
        <f>+$T$56</f>
        <v>7.6680124045903408E-2</v>
      </c>
      <c r="Z66" s="378"/>
    </row>
    <row r="67" spans="1:26" s="346" customFormat="1" ht="15.75" thickBot="1">
      <c r="A67" s="197"/>
      <c r="B67" s="384"/>
      <c r="C67" s="384"/>
      <c r="D67" s="384"/>
      <c r="E67" s="384"/>
      <c r="F67" s="384"/>
      <c r="G67" s="384"/>
      <c r="H67" s="384"/>
      <c r="I67" s="384"/>
      <c r="J67" s="385"/>
      <c r="K67" s="385"/>
      <c r="L67" s="385"/>
      <c r="M67" s="385"/>
      <c r="N67" s="390" t="str">
        <f>CONCATENATE("Total Carryover Amount ($m, ",dms_DollarReal,")")</f>
        <v>Total Carryover Amount ($m, June 2020)</v>
      </c>
      <c r="O67" s="391"/>
      <c r="P67" s="392"/>
      <c r="Q67" s="392"/>
      <c r="R67" s="392"/>
      <c r="S67" s="392"/>
      <c r="T67" s="393"/>
      <c r="U67" s="394">
        <f ca="1">+SUM(U62:U66)</f>
        <v>-0.56447131941353801</v>
      </c>
      <c r="V67" s="395">
        <f>+SUM(V63:V66)</f>
        <v>-1.164887648601951</v>
      </c>
      <c r="W67" s="396">
        <f>+SUM(W64:W66)</f>
        <v>-0.35994103079857664</v>
      </c>
      <c r="X67" s="397">
        <f>+SUM(X65:X66)</f>
        <v>0</v>
      </c>
      <c r="Y67" s="397">
        <f>+SUM(Y66)</f>
        <v>7.6680124045903408E-2</v>
      </c>
      <c r="Z67" s="398">
        <f ca="1">+SUM(U67:Y67)</f>
        <v>-2.0126198747681623</v>
      </c>
    </row>
    <row r="68" spans="1:26" ht="15.75" thickBot="1">
      <c r="J68" s="385"/>
      <c r="K68" s="385"/>
      <c r="L68" s="385"/>
      <c r="M68" s="385"/>
      <c r="N68" s="399"/>
      <c r="O68" s="399"/>
      <c r="P68" s="399"/>
      <c r="Q68" s="399"/>
      <c r="R68" s="399"/>
      <c r="S68" s="399"/>
      <c r="T68" s="399"/>
      <c r="U68" s="400"/>
      <c r="V68" s="400"/>
      <c r="W68" s="400"/>
      <c r="X68" s="400"/>
      <c r="Y68" s="400"/>
      <c r="Z68" s="326"/>
    </row>
    <row r="69" spans="1:26" ht="15.75" thickBot="1">
      <c r="J69" s="384"/>
      <c r="K69" s="384"/>
      <c r="L69" s="384"/>
      <c r="M69" s="384"/>
      <c r="N69" s="401" t="str">
        <f>CONCATENATE("PTRM inputs ($m, ",dms_DollarReal,")")</f>
        <v>PTRM inputs ($m, June 2020)</v>
      </c>
      <c r="O69" s="402"/>
      <c r="P69" s="403"/>
      <c r="Q69" s="403"/>
      <c r="R69" s="403"/>
      <c r="S69" s="403"/>
      <c r="T69" s="404"/>
      <c r="U69" s="405">
        <f ca="1">U67</f>
        <v>-0.56447131941353801</v>
      </c>
      <c r="V69" s="405">
        <f>V67</f>
        <v>-1.164887648601951</v>
      </c>
      <c r="W69" s="405">
        <f>W67</f>
        <v>-0.35994103079857664</v>
      </c>
      <c r="X69" s="406">
        <f>X67</f>
        <v>0</v>
      </c>
      <c r="Y69" s="406">
        <f>Y67</f>
        <v>7.6680124045903408E-2</v>
      </c>
      <c r="Z69" s="398">
        <f ca="1">+SUM(U69:Y69)</f>
        <v>-2.0126198747681623</v>
      </c>
    </row>
    <row r="70" spans="1:26">
      <c r="J70" s="281"/>
      <c r="K70" s="281"/>
      <c r="L70" s="407"/>
      <c r="M70" s="407"/>
      <c r="N70" s="407"/>
      <c r="O70" s="407"/>
      <c r="P70" s="408"/>
      <c r="Q70" s="407"/>
      <c r="R70" s="407"/>
      <c r="S70" s="407"/>
      <c r="T70" s="408"/>
      <c r="U70" s="408"/>
      <c r="V70" s="408"/>
      <c r="W70" s="409"/>
      <c r="X70" s="409"/>
      <c r="Y70" s="281"/>
      <c r="Z70" s="281"/>
    </row>
    <row r="71" spans="1:26" s="412" customFormat="1" ht="18">
      <c r="A71" s="197"/>
      <c r="B71" s="282"/>
      <c r="C71" s="282"/>
      <c r="D71" s="282"/>
      <c r="E71" s="282"/>
      <c r="F71" s="282"/>
      <c r="G71" s="282"/>
      <c r="H71" s="282"/>
      <c r="I71" s="282"/>
      <c r="J71" s="410"/>
      <c r="K71" s="410"/>
      <c r="L71" s="410"/>
      <c r="M71" s="411"/>
      <c r="N71" s="411"/>
      <c r="O71" s="411"/>
      <c r="P71" s="411"/>
      <c r="Q71" s="411"/>
      <c r="R71" s="411"/>
      <c r="S71" s="411"/>
      <c r="T71" s="411"/>
      <c r="U71" s="411"/>
      <c r="V71" s="411"/>
      <c r="W71" s="411"/>
    </row>
    <row r="72" spans="1:26">
      <c r="J72" s="407"/>
      <c r="K72" s="407"/>
      <c r="L72" s="407"/>
      <c r="M72" s="413"/>
      <c r="N72" s="414"/>
      <c r="O72" s="414"/>
      <c r="P72" s="414"/>
      <c r="Q72" s="413"/>
      <c r="R72" s="413"/>
      <c r="S72" s="413"/>
      <c r="T72" s="409"/>
      <c r="U72" s="409"/>
      <c r="V72" s="281"/>
      <c r="W72" s="281"/>
    </row>
    <row r="73" spans="1:26" s="291" customFormat="1">
      <c r="A73" s="197"/>
      <c r="B73" s="282"/>
      <c r="C73" s="282"/>
      <c r="D73" s="282"/>
      <c r="E73" s="282"/>
      <c r="F73" s="282"/>
      <c r="G73" s="282"/>
      <c r="H73" s="282"/>
      <c r="I73" s="282"/>
    </row>
    <row r="74" spans="1:26">
      <c r="J74" s="413"/>
      <c r="K74" s="413"/>
      <c r="L74" s="413"/>
      <c r="M74" s="415"/>
      <c r="N74" s="415"/>
      <c r="O74" s="415"/>
      <c r="P74" s="409"/>
      <c r="Q74" s="409"/>
      <c r="R74" s="281"/>
      <c r="S74" s="281"/>
      <c r="T74" s="281"/>
      <c r="U74" s="281"/>
      <c r="V74" s="281"/>
      <c r="W74" s="281"/>
    </row>
    <row r="75" spans="1:26">
      <c r="J75" s="407"/>
      <c r="K75" s="407"/>
      <c r="L75" s="407"/>
      <c r="M75" s="414"/>
      <c r="N75" s="414"/>
      <c r="O75" s="414"/>
      <c r="P75" s="409"/>
      <c r="Q75" s="409"/>
      <c r="R75" s="281"/>
      <c r="S75" s="281"/>
      <c r="T75" s="281"/>
      <c r="U75" s="281"/>
      <c r="V75" s="281"/>
      <c r="W75" s="281"/>
    </row>
    <row r="76" spans="1:26">
      <c r="J76" s="407"/>
      <c r="K76" s="407"/>
      <c r="L76" s="407"/>
      <c r="M76" s="413"/>
      <c r="N76" s="413"/>
      <c r="O76" s="413"/>
      <c r="P76" s="416"/>
      <c r="Q76" s="409"/>
      <c r="R76" s="281"/>
      <c r="S76" s="281"/>
      <c r="T76" s="281"/>
      <c r="U76" s="281"/>
      <c r="V76" s="281"/>
      <c r="W76" s="281"/>
    </row>
    <row r="77" spans="1:26">
      <c r="J77" s="407"/>
      <c r="K77" s="407"/>
      <c r="L77" s="407"/>
      <c r="M77" s="407"/>
      <c r="N77" s="407"/>
      <c r="O77" s="407"/>
      <c r="P77" s="409"/>
      <c r="Q77" s="416"/>
      <c r="R77" s="281"/>
      <c r="S77" s="281"/>
      <c r="T77" s="281"/>
      <c r="U77" s="281"/>
      <c r="V77" s="281"/>
      <c r="W77" s="281"/>
    </row>
    <row r="78" spans="1:26">
      <c r="M78" s="407"/>
      <c r="N78" s="407"/>
      <c r="O78" s="407"/>
      <c r="P78" s="409"/>
      <c r="Q78" s="409"/>
      <c r="R78" s="281"/>
      <c r="S78" s="281"/>
      <c r="T78" s="281"/>
      <c r="U78" s="281"/>
      <c r="V78" s="281"/>
      <c r="W78" s="281"/>
    </row>
    <row r="79" spans="1:26">
      <c r="M79" s="407"/>
      <c r="N79" s="407"/>
      <c r="O79" s="407"/>
      <c r="P79" s="409"/>
      <c r="Q79" s="409"/>
      <c r="R79" s="281"/>
      <c r="S79" s="281"/>
      <c r="T79" s="281"/>
      <c r="U79" s="281"/>
      <c r="V79" s="281"/>
      <c r="W79" s="281"/>
    </row>
    <row r="80" spans="1:26">
      <c r="Q80" s="409"/>
      <c r="R80" s="281"/>
      <c r="S80" s="281"/>
      <c r="T80" s="281"/>
      <c r="U80" s="281"/>
      <c r="V80" s="281"/>
      <c r="W80" s="281"/>
    </row>
    <row r="81" spans="1:23" s="346" customFormat="1">
      <c r="A81" s="197"/>
      <c r="B81" s="282"/>
      <c r="C81" s="282"/>
      <c r="D81" s="282"/>
      <c r="E81" s="282"/>
      <c r="F81" s="282"/>
      <c r="G81" s="282"/>
      <c r="H81" s="282"/>
      <c r="I81" s="282"/>
      <c r="W81" s="417"/>
    </row>
  </sheetData>
  <sheetProtection autoFilter="0"/>
  <mergeCells count="24">
    <mergeCell ref="B8:M8"/>
    <mergeCell ref="N62:O62"/>
    <mergeCell ref="N63:O63"/>
    <mergeCell ref="N64:O64"/>
    <mergeCell ref="N65:O65"/>
    <mergeCell ref="N66:O66"/>
    <mergeCell ref="C13:L13"/>
    <mergeCell ref="M13:N13"/>
    <mergeCell ref="N26:T26"/>
    <mergeCell ref="N27:O27"/>
    <mergeCell ref="P27:T27"/>
    <mergeCell ref="P59:T59"/>
    <mergeCell ref="C26:G26"/>
    <mergeCell ref="H26:L26"/>
    <mergeCell ref="V47:W51"/>
    <mergeCell ref="U59:Y59"/>
    <mergeCell ref="N40:T40"/>
    <mergeCell ref="N41:O41"/>
    <mergeCell ref="P41:T41"/>
    <mergeCell ref="C40:L40"/>
    <mergeCell ref="H41:L41"/>
    <mergeCell ref="H27:L27"/>
    <mergeCell ref="C41:G41"/>
    <mergeCell ref="C27:G27"/>
  </mergeCells>
  <conditionalFormatting sqref="F29 F31:F36 F43 F45:F50">
    <cfRule type="expression" dxfId="3" priority="4">
      <formula>dms_PRCP_BaseYear=PRCP_y4</formula>
    </cfRule>
  </conditionalFormatting>
  <conditionalFormatting sqref="E29 E31:E36 E43 E45:E50">
    <cfRule type="expression" dxfId="2" priority="3">
      <formula>dms_PRCP_BaseYear=PRCP_y3</formula>
    </cfRule>
  </conditionalFormatting>
  <conditionalFormatting sqref="D29 D31:D36 D43 D45:D50">
    <cfRule type="expression" dxfId="1" priority="2">
      <formula>dms_PRCP_BaseYear=PRCP_y2</formula>
    </cfRule>
  </conditionalFormatting>
  <conditionalFormatting sqref="C29 C31:C36 C43 C45:C50">
    <cfRule type="expression" dxfId="0" priority="1">
      <formula>dms_PRCP_BaseYear=PRCP_y1</formula>
    </cfRule>
  </conditionalFormatting>
  <dataValidations xWindow="1107" yWindow="545" count="2">
    <dataValidation type="list" allowBlank="1" showInputMessage="1" showErrorMessage="1" sqref="U51">
      <formula1>$P$42:$S$42</formula1>
    </dataValidation>
    <dataValidation type="custom" allowBlank="1" showInputMessage="1" showErrorMessage="1" error="Must be a number" promptTitle="Opex allowance" prompt="Enter value. _x000a__x000a_As set out in the approved PTRM for the current regulatory control period." sqref="C29:L29">
      <formula1>ISNUMBER(C29)</formula1>
    </dataValidation>
  </dataValidations>
  <pageMargins left="0.7" right="0.7" top="0.75" bottom="0.75" header="0.3" footer="0.3"/>
  <pageSetup paperSize="8" scale="42" fitToWidth="0" orientation="landscape" r:id="rId1"/>
  <rowBreaks count="1" manualBreakCount="1">
    <brk id="51" min="1" max="25" man="1"/>
  </rowBreaks>
  <drawing r:id="rId2"/>
  <extLst>
    <ext xmlns:x14="http://schemas.microsoft.com/office/spreadsheetml/2009/9/main" uri="{CCE6A557-97BC-4b89-ADB6-D9C93CAAB3DF}">
      <x14:dataValidations xmlns:xm="http://schemas.microsoft.com/office/excel/2006/main" xWindow="1107" yWindow="545" count="1">
        <x14:dataValidation type="list" allowBlank="1" showInputMessage="1" showErrorMessage="1">
          <x14:formula1>
            <xm:f>'Business &amp; other details'!$C$44:$G$44</xm:f>
          </x14:formula1>
          <xm:sqref>C24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386</vt:i4>
      </vt:variant>
    </vt:vector>
  </HeadingPairs>
  <TitlesOfParts>
    <vt:vector size="388" baseType="lpstr">
      <vt:lpstr>Business &amp; other details</vt:lpstr>
      <vt:lpstr> EBSS</vt:lpstr>
      <vt:lpstr>CRCP_y1</vt:lpstr>
      <vt:lpstr>CRCP_y2</vt:lpstr>
      <vt:lpstr>CRCP_y3</vt:lpstr>
      <vt:lpstr>CRCP_y4</vt:lpstr>
      <vt:lpstr>CRCP_y5</vt:lpstr>
      <vt:lpstr>CRCP_y6</vt:lpstr>
      <vt:lpstr>CRCP_y7</vt:lpstr>
      <vt:lpstr>CRY</vt:lpstr>
      <vt:lpstr>CRY_calendar</vt:lpstr>
      <vt:lpstr>CRY_financial</vt:lpstr>
      <vt:lpstr>dms_0203_ProjectType</vt:lpstr>
      <vt:lpstr>dms_020301_ProjectType_List</vt:lpstr>
      <vt:lpstr>dms_020302_ProjectType_List</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'Business &amp; other details'!dms_060101_StartDateTxt</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dms_Calendar_Years</vt:lpstr>
      <vt:lpstr>dms_CalYears</vt:lpstr>
      <vt:lpstr>dms_CBD_flag</vt:lpstr>
      <vt:lpstr>dms_CBD_flag_NSP</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dms_CRCP_FinalYear_Result</vt:lpstr>
      <vt:lpstr>dms_CRCP_FirstYear_Result</vt:lpstr>
      <vt:lpstr>dms_CRCP_index</vt:lpstr>
      <vt:lpstr>dms_CRCP_years</vt:lpstr>
      <vt:lpstr>dms_CRCP_yL</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dms_DataQuality</vt:lpstr>
      <vt:lpstr>dms_DataQuality_List</vt:lpstr>
      <vt:lpstr>dms_Defined_Names_Used</vt:lpstr>
      <vt:lpstr>dms_DeterminationRef</vt:lpstr>
      <vt:lpstr>dms_DeterminationRef_List</vt:lpstr>
      <vt:lpstr>dms_DISCARD</vt:lpstr>
      <vt:lpstr>dms_dollar_nom_UOM</vt:lpstr>
      <vt:lpstr>dms_DollarReal</vt:lpstr>
      <vt:lpstr>dms_DollarReal_Prev</vt:lpstr>
      <vt:lpstr>dms_EB</vt:lpstr>
      <vt:lpstr>dms_EBSS_status</vt:lpstr>
      <vt:lpstr>dms_FeederName_1</vt:lpstr>
      <vt:lpstr>dms_FeederName_2</vt:lpstr>
      <vt:lpstr>dms_FeederName_3</vt:lpstr>
      <vt:lpstr>dms_FeederName_4</vt:lpstr>
      <vt:lpstr>dms_FeederName_5</vt:lpstr>
      <vt:lpstr>dms_FeederType_5_flag</vt:lpstr>
      <vt:lpstr>dms_FifthFeeder_flag_NSP</vt:lpstr>
      <vt:lpstr>dms_FinalYear_List</vt:lpstr>
      <vt:lpstr>dms_Financial_Years</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dms_FRCP_y15</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dms_LeapYear_Result</vt:lpstr>
      <vt:lpstr>dms_LongRural_flag</vt:lpstr>
      <vt:lpstr>dms_LongRural_flag_NSP</vt:lpstr>
      <vt:lpstr>dms_MAIFI_flag_List</vt:lpstr>
      <vt:lpstr>dms_Model</vt:lpstr>
      <vt:lpstr>dms_Model_List</vt:lpstr>
      <vt:lpstr>dms_Multi_RYE_flag</vt:lpstr>
      <vt:lpstr>dms_MultiYear_FinalYear_Ref</vt:lpstr>
      <vt:lpstr>dms_MultiYear_FinalYear_Result</vt:lpstr>
      <vt:lpstr>dms_MultiYear_Flag</vt:lpstr>
      <vt:lpstr>dms_MultiYear_ResponseFlag</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dms_PRCP_BaseYear</vt:lpstr>
      <vt:lpstr>dms_PRCPlength_Num</vt:lpstr>
      <vt:lpstr>dms_PState</vt:lpstr>
      <vt:lpstr>dms_PState_List</vt:lpstr>
      <vt:lpstr>dms_PSuburb</vt:lpstr>
      <vt:lpstr>dms_PSuburb_List</vt:lpstr>
      <vt:lpstr>dms_Public_Lighting</vt:lpstr>
      <vt:lpstr>dms_Public_Lighting_List</vt:lpstr>
      <vt:lpstr>dms_RCP_cyear_list</vt:lpstr>
      <vt:lpstr>dms_RCP_fyear_list</vt:lpstr>
      <vt:lpstr>dms_Reason_Interruption</vt:lpstr>
      <vt:lpstr>dms_Reason_Interruption_Detailed</vt:lpstr>
      <vt:lpstr>dms_Reg_Year_Span</vt:lpstr>
      <vt:lpstr>dms_RPT</vt:lpstr>
      <vt:lpstr>dms_RPT_List</vt:lpstr>
      <vt:lpstr>dms_RPTMonth</vt:lpstr>
      <vt:lpstr>dms_RPTMonth_List</vt:lpstr>
      <vt:lpstr>DMS_RSwapc2</vt:lpstr>
      <vt:lpstr>dms_RYE</vt:lpstr>
      <vt:lpstr>dms_RYE_01</vt:lpstr>
      <vt:lpstr>dms_RYE_02</vt:lpstr>
      <vt:lpstr>dms_RYE_03</vt:lpstr>
      <vt:lpstr>dms_RYE_04</vt:lpstr>
      <vt:lpstr>dms_RYE_05</vt:lpstr>
      <vt:lpstr>dms_RYE_Formula_Result</vt:lpstr>
      <vt:lpstr>dms_Sector</vt:lpstr>
      <vt:lpstr>dms_Sector_List</vt:lpstr>
      <vt:lpstr>dms_Segment</vt:lpstr>
      <vt:lpstr>dms_Segment_List</vt:lpstr>
      <vt:lpstr>dms_ShortRural_flag</vt:lpstr>
      <vt:lpstr>dms_ShortRural_flag_NSP</vt:lpstr>
      <vt:lpstr>dms_SingleYear_FinalYear_Ref</vt:lpstr>
      <vt:lpstr>dms_SingleYear_FinalYear_Result</vt:lpstr>
      <vt:lpstr>dms_SingleYear_Model</vt:lpstr>
      <vt:lpstr>dms_Source</vt:lpstr>
      <vt:lpstr>dms_SourceList</vt:lpstr>
      <vt:lpstr>dms_Specified_FinalYear</vt:lpstr>
      <vt:lpstr>dms_State</vt:lpstr>
      <vt:lpstr>dms_State_List</vt:lpstr>
      <vt:lpstr>dms_STPIS_Exclusion_List</vt:lpstr>
      <vt:lpstr>dms_SubmissionDate</vt:lpstr>
      <vt:lpstr>dms_Suburb</vt:lpstr>
      <vt:lpstr>dms_Suburb_List</vt:lpstr>
      <vt:lpstr>dms_TradingName</vt:lpstr>
      <vt:lpstr>dms_TradingName_List</vt:lpstr>
      <vt:lpstr>dms_TradingNameFull</vt:lpstr>
      <vt:lpstr>dms_TradingNameFull_List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dms_y17</vt:lpstr>
      <vt:lpstr>dms_y18</vt:lpstr>
      <vt:lpstr>dms_y19</vt:lpstr>
      <vt:lpstr>dms_y2</vt:lpstr>
      <vt:lpstr>dms_y20</vt:lpstr>
      <vt:lpstr>dms_y3</vt:lpstr>
      <vt:lpstr>dms_y4</vt:lpstr>
      <vt:lpstr>dms_y5</vt:lpstr>
      <vt:lpstr>dms_y6</vt:lpstr>
      <vt:lpstr>dms_y7</vt:lpstr>
      <vt:lpstr>dms_y8</vt:lpstr>
      <vt:lpstr>dms_y9</vt:lpstr>
      <vt:lpstr>FRCP_y1</vt:lpstr>
      <vt:lpstr>FRCP_y2</vt:lpstr>
      <vt:lpstr>FRCP_y3</vt:lpstr>
      <vt:lpstr>FRCP_y4</vt:lpstr>
      <vt:lpstr>FRCP_y5</vt:lpstr>
      <vt:lpstr>FRCP_y6</vt:lpstr>
      <vt:lpstr>FRCP_y7</vt:lpstr>
      <vt:lpstr>FRY</vt:lpstr>
      <vt:lpstr>MAIFI_flag</vt:lpstr>
      <vt:lpstr>PRCP_y1</vt:lpstr>
      <vt:lpstr>PRCP_y10</vt:lpstr>
      <vt:lpstr>PRCP_y2</vt:lpstr>
      <vt:lpstr>PRCP_y3</vt:lpstr>
      <vt:lpstr>PRCP_y4</vt:lpstr>
      <vt:lpstr>PRCP_y5</vt:lpstr>
      <vt:lpstr>PRCP_y6</vt:lpstr>
      <vt:lpstr>PRCP_y7</vt:lpstr>
      <vt:lpstr>PRCP_y8</vt:lpstr>
      <vt:lpstr>PRCP_y9</vt:lpstr>
      <vt:lpstr>Reason_for_interruption</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2019-09-19T07:41:58Z</dcterms:created>
  <dcterms:modified xsi:type="dcterms:W3CDTF">2019-09-19T07:42:08Z</dcterms:modified>
  <cp:category/>
  <cp:contentStatus/>
</cp:coreProperties>
</file>