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Directlink 2020 reset\Reset models (PTRM&amp;RFM)\02 Draft decision\PTRM inputs\"/>
    </mc:Choice>
  </mc:AlternateContent>
  <bookViews>
    <workbookView xWindow="0" yWindow="0" windowWidth="19200" windowHeight="7050" tabRatio="691" activeTab="2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D18" i="4" l="1"/>
  <c r="D8" i="4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28" i="3" s="1"/>
  <c r="F9" i="3" l="1"/>
  <c r="F11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E7" i="4" l="1"/>
  <c r="F7" i="4"/>
  <c r="G7" i="4"/>
  <c r="H7" i="4"/>
  <c r="D7" i="4"/>
  <c r="I6" i="3"/>
  <c r="I11" i="3" s="1"/>
  <c r="J6" i="3"/>
  <c r="J11" i="3" s="1"/>
  <c r="K6" i="3"/>
  <c r="K11" i="3" s="1"/>
  <c r="L6" i="3"/>
  <c r="L11" i="3" s="1"/>
  <c r="H6" i="3"/>
  <c r="H11" i="3" s="1"/>
  <c r="L19" i="13"/>
  <c r="M19" i="13"/>
  <c r="P19" i="13"/>
  <c r="G19" i="13"/>
  <c r="N19" i="13"/>
  <c r="O19" i="13"/>
  <c r="H19" i="13"/>
  <c r="I19" i="13"/>
  <c r="J19" i="13"/>
  <c r="K19" i="13"/>
  <c r="H15" i="3" l="1"/>
  <c r="H21" i="3" s="1"/>
  <c r="I15" i="3"/>
  <c r="I21" i="3" s="1"/>
  <c r="L15" i="3"/>
  <c r="L21" i="3" s="1"/>
  <c r="K15" i="3"/>
  <c r="K21" i="3" s="1"/>
  <c r="J15" i="3"/>
  <c r="J21" i="3" s="1"/>
  <c r="L22" i="13"/>
  <c r="G22" i="13" l="1"/>
  <c r="D9" i="4" s="1"/>
  <c r="D11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E11" i="4" s="1"/>
  <c r="M9" i="13"/>
  <c r="N9" i="13" s="1"/>
  <c r="O9" i="13" s="1"/>
  <c r="P9" i="13" s="1"/>
  <c r="C15" i="13"/>
  <c r="G15" i="13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5" i="3"/>
  <c r="I25" i="3"/>
  <c r="J25" i="3"/>
  <c r="K25" i="3"/>
  <c r="L25" i="3"/>
  <c r="H11" i="4"/>
  <c r="H15" i="13" l="1"/>
  <c r="D10" i="4"/>
  <c r="D12" i="4" s="1"/>
  <c r="C42" i="4"/>
  <c r="C44" i="4"/>
  <c r="G10" i="13"/>
  <c r="H10" i="13" s="1"/>
  <c r="I10" i="13" s="1"/>
  <c r="J10" i="13" s="1"/>
  <c r="K10" i="13" s="1"/>
  <c r="L10" i="13" s="1"/>
  <c r="I28" i="3" s="1"/>
  <c r="G11" i="4"/>
  <c r="F11" i="4"/>
  <c r="F19" i="4"/>
  <c r="E19" i="4" s="1"/>
  <c r="D19" i="4" s="1"/>
  <c r="D21" i="4" s="1"/>
  <c r="E25" i="4"/>
  <c r="E27" i="4" s="1"/>
  <c r="N14" i="13"/>
  <c r="B1" i="5"/>
  <c r="B1" i="3"/>
  <c r="B1" i="13"/>
  <c r="B1" i="4"/>
  <c r="D20" i="4" l="1"/>
  <c r="I15" i="13"/>
  <c r="E10" i="4"/>
  <c r="E12" i="4" s="1"/>
  <c r="G14" i="4" s="1"/>
  <c r="F13" i="4"/>
  <c r="G13" i="4"/>
  <c r="E13" i="4"/>
  <c r="E18" i="4" s="1"/>
  <c r="E21" i="4" s="1"/>
  <c r="H13" i="4"/>
  <c r="H28" i="3"/>
  <c r="N22" i="13"/>
  <c r="F25" i="4" s="1"/>
  <c r="F27" i="4" s="1"/>
  <c r="M10" i="13"/>
  <c r="N10" i="13" s="1"/>
  <c r="K28" i="3" s="1"/>
  <c r="O14" i="13"/>
  <c r="O22" i="13" s="1"/>
  <c r="J15" i="13" l="1"/>
  <c r="F10" i="4"/>
  <c r="F12" i="4" s="1"/>
  <c r="F20" i="4" s="1"/>
  <c r="H14" i="4"/>
  <c r="E20" i="4"/>
  <c r="F14" i="4"/>
  <c r="F18" i="4" s="1"/>
  <c r="F21" i="4" s="1"/>
  <c r="J28" i="3"/>
  <c r="O10" i="13"/>
  <c r="P10" i="13" s="1"/>
  <c r="P14" i="13"/>
  <c r="G25" i="4"/>
  <c r="G27" i="4" s="1"/>
  <c r="G15" i="4" l="1"/>
  <c r="G18" i="4" s="1"/>
  <c r="G21" i="4" s="1"/>
  <c r="K15" i="13"/>
  <c r="G10" i="4"/>
  <c r="G12" i="4" s="1"/>
  <c r="H15" i="4"/>
  <c r="P22" i="13"/>
  <c r="H25" i="4" s="1"/>
  <c r="H27" i="4" s="1"/>
  <c r="L28" i="3"/>
  <c r="H10" i="4" l="1"/>
  <c r="H12" i="4" s="1"/>
  <c r="H20" i="4" s="1"/>
  <c r="L15" i="13"/>
  <c r="H29" i="3"/>
  <c r="D26" i="4" s="1"/>
  <c r="D28" i="4" s="1"/>
  <c r="G20" i="4"/>
  <c r="H16" i="4"/>
  <c r="H18" i="4" s="1"/>
  <c r="H21" i="4" s="1"/>
  <c r="D35" i="4" s="1"/>
  <c r="M15" i="13" l="1"/>
  <c r="I29" i="3"/>
  <c r="E26" i="4" s="1"/>
  <c r="E28" i="4" s="1"/>
  <c r="N15" i="13" l="1"/>
  <c r="J29" i="3"/>
  <c r="F26" i="4" s="1"/>
  <c r="F28" i="4" s="1"/>
  <c r="K29" i="3" l="1"/>
  <c r="G26" i="4" s="1"/>
  <c r="G28" i="4" s="1"/>
  <c r="O15" i="13"/>
  <c r="P15" i="13" l="1"/>
  <c r="L29" i="3"/>
  <c r="H26" i="4" s="1"/>
  <c r="H28" i="4" s="1"/>
  <c r="D31" i="4" s="1"/>
  <c r="D34" i="4" l="1"/>
  <c r="D36" i="4" s="1"/>
  <c r="D42" i="4" s="1"/>
  <c r="D33" i="4"/>
  <c r="E42" i="4" l="1"/>
  <c r="J8" i="10"/>
  <c r="F42" i="4" l="1"/>
  <c r="K8" i="10"/>
  <c r="G42" i="4" l="1"/>
  <c r="L8" i="10"/>
  <c r="H42" i="4" l="1"/>
  <c r="M8" i="10"/>
  <c r="N8" i="10" l="1"/>
  <c r="O8" i="10" s="1"/>
  <c r="D44" i="4"/>
</calcChain>
</file>

<file path=xl/comments1.xml><?xml version="1.0" encoding="utf-8"?>
<comments xmlns="http://schemas.openxmlformats.org/spreadsheetml/2006/main">
  <authors>
    <author>Author</author>
    <author>Goyal, Riya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amended to be consistent with 2015-20 final decision allowance 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K17" authorId="1" shapeId="0">
      <text>
        <r>
          <rPr>
            <b/>
            <sz val="9"/>
            <color indexed="81"/>
            <rFont val="Tahoma"/>
            <charset val="1"/>
          </rPr>
          <t>AER:</t>
        </r>
        <r>
          <rPr>
            <sz val="9"/>
            <color indexed="81"/>
            <rFont val="Tahoma"/>
            <charset val="1"/>
          </rPr>
          <t xml:space="preserve">
amended to be consisted with Directlink's updated estimate for 2018-19 capex (see #IR012)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<sst xmlns="http://schemas.openxmlformats.org/spreadsheetml/2006/main" count="194" uniqueCount="105">
  <si>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</si>
  <si>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</si>
  <si>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</si>
  <si>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</si>
  <si>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</si>
  <si>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</si>
  <si>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</si>
  <si>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</si>
  <si>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</si>
  <si>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</si>
  <si>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</si>
  <si>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</si>
  <si>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</si>
  <si>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</si>
  <si>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</si>
  <si>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</si>
  <si>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</si>
  <si>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</si>
  <si>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</si>
  <si>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</si>
  <si>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</si>
  <si>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</si>
  <si>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</si>
  <si>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</si>
  <si>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</si>
  <si>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</si>
  <si>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</si>
  <si>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</si>
  <si>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</si>
  <si>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</si>
  <si>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</si>
  <si>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</si>
  <si>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</si>
  <si>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</si>
  <si>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</si>
  <si>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</si>
  <si>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</si>
  <si>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</si>
  <si>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</si>
  <si>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</si>
  <si>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</si>
  <si>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</si>
  <si>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</si>
  <si>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</si>
  <si>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</si>
  <si>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</si>
  <si>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</si>
  <si>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</si>
  <si>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</si>
  <si>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</si>
  <si>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</si>
  <si>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</si>
  <si>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</si>
  <si>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</si>
  <si>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</si>
  <si>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</si>
  <si>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</si>
  <si>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</si>
  <si>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</si>
  <si>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</si>
  <si>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</si>
  <si>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</si>
  <si>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</si>
  <si>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</si>
  <si>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</si>
  <si>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</si>
  <si>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</si>
  <si>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</si>
  <si>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</si>
  <si>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</si>
  <si>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</si>
  <si>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</si>
  <si>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</si>
  <si>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</si>
  <si>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</si>
  <si>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</si>
  <si>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</si>
  <si>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</si>
  <si>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</si>
  <si>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</si>
  <si>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</si>
  <si>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</si>
  <si>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</si>
  <si>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</si>
  <si>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</si>
  <si>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</si>
  <si>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</si>
  <si>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</si>
  <si>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</si>
  <si>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</si>
  <si>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</si>
  <si>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</si>
  <si>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</si>
  <si>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</si>
  <si>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</si>
  <si>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</si>
  <si>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</si>
  <si>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</si>
  <si>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Discount factor</t>
  </si>
  <si>
    <t>Base regulatory year</t>
  </si>
  <si>
    <t>Directlink</t>
  </si>
  <si>
    <t>Draft Decision</t>
  </si>
  <si>
    <t>2020-25</t>
  </si>
  <si>
    <t>2020-21</t>
  </si>
  <si>
    <t>AER 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</si>
</sst>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2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101" fillId="56" borderId="0" xfId="265" applyFont="1" applyFill="1" applyBorder="1" applyAlignment="1" applyProtection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CCFF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A13" sqref="A13:XFD13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Directlink 2020-25 Draft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7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7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7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7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7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7"/>
      <c r="D12" s="32"/>
      <c r="E12" s="32"/>
      <c r="F12" s="30"/>
      <c r="G12" s="30"/>
      <c r="H12" s="30"/>
      <c r="I12" s="30"/>
      <c r="J12" s="30"/>
      <c r="K12" s="30"/>
      <c r="L12" s="30"/>
      <c r="M12" s="30"/>
    </row>
    <row r="13" spans="2:13" s="8" customFormat="1" ht="12.6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0.6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zoomScaleNormal="100" workbookViewId="0">
      <selection activeCell="A20" sqref="A20:XFD20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Directlink 2020-25 Draft Decision - Capital expenditure sharing scheme model</v>
      </c>
      <c r="F1" s="103"/>
      <c r="G1" s="104" t="s">
        <v>47</v>
      </c>
      <c r="H1" s="155" t="s">
        <v>48</v>
      </c>
      <c r="I1" s="160" t="s">
        <v>36</v>
      </c>
      <c r="M1" s="105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6" t="s">
        <v>100</v>
      </c>
      <c r="J6" s="79"/>
      <c r="K6" s="79"/>
      <c r="L6" s="79"/>
      <c r="M6" s="79"/>
    </row>
    <row r="7" spans="1:13" s="70" customFormat="1" ht="11.25" customHeight="1">
      <c r="C7" s="69" t="s">
        <v>89</v>
      </c>
      <c r="D7" s="156" t="s">
        <v>101</v>
      </c>
      <c r="I7" s="79"/>
      <c r="J7" s="79"/>
      <c r="K7" s="79"/>
      <c r="L7" s="79"/>
    </row>
    <row r="8" spans="1:13" s="70" customFormat="1" ht="11.25" customHeight="1">
      <c r="C8" s="69" t="s">
        <v>90</v>
      </c>
      <c r="D8" s="156" t="s">
        <v>102</v>
      </c>
      <c r="J8" s="79"/>
      <c r="K8" s="79"/>
      <c r="L8" s="79"/>
      <c r="M8" s="79"/>
    </row>
    <row r="9" spans="1:13" s="70" customFormat="1" ht="11.25" customHeight="1">
      <c r="C9" s="186" t="s">
        <v>99</v>
      </c>
      <c r="D9" s="156" t="s">
        <v>103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3" t="s">
        <v>88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85" t="str">
        <f t="shared" ref="D13:F13" si="0">IF(LEN(E13)&gt;4,CONCATENATE(LEFT(E13,4)-1&amp;"–"&amp;IF(RIGHT(E13,2)="00","99",IF(RIGHT(E13,2)-1&lt;10,"0","")&amp;RIGHT(E13,2)-1)),E13-1)</f>
        <v>2015–16</v>
      </c>
      <c r="E13" s="185" t="str">
        <f t="shared" si="0"/>
        <v>2016–17</v>
      </c>
      <c r="F13" s="185" t="str">
        <f t="shared" si="0"/>
        <v>2017–18</v>
      </c>
      <c r="G13" s="185" t="str">
        <f>IF(LEN(H13)&gt;4,CONCATENATE(LEFT(H13,4)-1&amp;"–"&amp;IF(RIGHT(H13,2)="00","99",IF(RIGHT(H13,2)-1&lt;10,"0","")&amp;RIGHT(H13,2)-1)),H13-1)</f>
        <v>2018–19</v>
      </c>
      <c r="H13" s="185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6" t="s">
        <v>8</v>
      </c>
      <c r="E14" s="156" t="s">
        <v>8</v>
      </c>
      <c r="F14" s="156" t="s">
        <v>8</v>
      </c>
      <c r="G14" s="156" t="s">
        <v>8</v>
      </c>
      <c r="H14" s="156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6" t="s">
        <v>7</v>
      </c>
      <c r="E15" s="156" t="s">
        <v>7</v>
      </c>
      <c r="F15" s="156" t="s">
        <v>7</v>
      </c>
      <c r="G15" s="156" t="s">
        <v>29</v>
      </c>
      <c r="H15" s="156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85" t="str">
        <f>D9</f>
        <v>2020-21</v>
      </c>
      <c r="E18" s="185" t="str">
        <f>IF(LEN(D18)&gt;4,CONCATENATE(LEFT(D18,4)+1&amp;"–"&amp;IF(RIGHT(D18,2)+1&gt;9,"","0")&amp;RIGHT(D18,2)+1),D18+1)</f>
        <v>2021–22</v>
      </c>
      <c r="F18" s="185" t="str">
        <f t="shared" ref="F18:H18" si="1">IF(LEN(E18)&gt;4,CONCATENATE(LEFT(E18,4)+1&amp;"–"&amp;IF(RIGHT(E18,2)+1&gt;9,"","0")&amp;RIGHT(E18,2)+1),E18+1)</f>
        <v>2022–23</v>
      </c>
      <c r="G18" s="185" t="str">
        <f t="shared" si="1"/>
        <v>2023–24</v>
      </c>
      <c r="H18" s="185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62" customFormat="1" ht="12.75" customHeight="1">
      <c r="A20" s="8"/>
      <c r="B20" s="29" t="s">
        <v>34</v>
      </c>
    </row>
    <row r="21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tabSelected="1" zoomScaleNormal="100" workbookViewId="0">
      <selection activeCell="J13" sqref="J13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Directlink 2020-25 Draft Decision - Capital expenditure sharing scheme model</v>
      </c>
      <c r="D1" s="12"/>
      <c r="E1" s="12"/>
      <c r="F1" s="12"/>
      <c r="G1" s="103"/>
      <c r="I1" s="104" t="s">
        <v>47</v>
      </c>
      <c r="J1" s="155" t="s">
        <v>48</v>
      </c>
      <c r="K1" s="160" t="s">
        <v>36</v>
      </c>
      <c r="L1" s="189" t="s">
        <v>104</v>
      </c>
      <c r="N1" s="105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2" t="str">
        <f>IF(LEN(G7)&gt;4,CONCATENATE(LEFT(G7,4)-1&amp;"–"&amp;IF(RIGHT(G7,2)="00","99",IF(RIGHT(G7,2)-1&lt;10,"0","")&amp;RIGHT(G7,2)-1)),G7-1)</f>
        <v>2014–15</v>
      </c>
      <c r="G7" s="171" t="str">
        <f>'Input | General'!D13</f>
        <v>2015–16</v>
      </c>
      <c r="H7" s="171" t="str">
        <f>'Input | General'!E13</f>
        <v>2016–17</v>
      </c>
      <c r="I7" s="171" t="str">
        <f>'Input | General'!F13</f>
        <v>2017–18</v>
      </c>
      <c r="J7" s="171" t="str">
        <f>'Input | General'!G13</f>
        <v>2018–19</v>
      </c>
      <c r="K7" s="171" t="str">
        <f>'Input | General'!H13</f>
        <v>2019–20</v>
      </c>
      <c r="L7" s="171" t="str">
        <f>'Input | General'!D18</f>
        <v>2020-21</v>
      </c>
      <c r="M7" s="171" t="str">
        <f>'Input | General'!E18</f>
        <v>2021–22</v>
      </c>
      <c r="N7" s="171" t="str">
        <f>'Input | General'!F18</f>
        <v>2022–23</v>
      </c>
      <c r="O7" s="171" t="str">
        <f>'Input | General'!G18</f>
        <v>2023–24</v>
      </c>
      <c r="P7" s="171" t="str">
        <f>'Input | General'!H18</f>
        <v>2024–25</v>
      </c>
    </row>
    <row r="8" spans="1:20" ht="11.25" customHeight="1">
      <c r="A8" s="11"/>
      <c r="B8" s="11"/>
      <c r="C8" s="80" t="s">
        <v>81</v>
      </c>
      <c r="D8" s="78" t="s">
        <v>86</v>
      </c>
      <c r="E8" s="78" t="s">
        <v>51</v>
      </c>
      <c r="F8" s="78"/>
      <c r="G8" s="157">
        <v>1.6885553470919357E-2</v>
      </c>
      <c r="H8" s="157">
        <v>1.4760147601476037E-2</v>
      </c>
      <c r="I8" s="157">
        <v>1.9090909090909047E-2</v>
      </c>
      <c r="J8" s="157">
        <v>2.5000000000000001E-2</v>
      </c>
      <c r="K8" s="157">
        <v>2.5000000000000001E-2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86</v>
      </c>
      <c r="E9" s="78" t="s">
        <v>51</v>
      </c>
      <c r="F9" s="78"/>
      <c r="G9" s="128"/>
      <c r="H9" s="128"/>
      <c r="I9" s="128"/>
      <c r="J9" s="128"/>
      <c r="K9" s="128"/>
      <c r="L9" s="157">
        <v>2.5000000000000001E-2</v>
      </c>
      <c r="M9" s="140">
        <f t="shared" ref="M9:P9" si="0">L9</f>
        <v>2.5000000000000001E-2</v>
      </c>
      <c r="N9" s="140">
        <f t="shared" si="0"/>
        <v>2.5000000000000001E-2</v>
      </c>
      <c r="O9" s="140">
        <f t="shared" si="0"/>
        <v>2.5000000000000001E-2</v>
      </c>
      <c r="P9" s="140">
        <f t="shared" si="0"/>
        <v>2.5000000000000001E-2</v>
      </c>
    </row>
    <row r="10" spans="1:20" ht="11.25" customHeight="1">
      <c r="A10" s="11"/>
      <c r="B10" s="11"/>
      <c r="C10" s="138" t="str">
        <f>"CPI Index (base year "&amp;F7&amp;")"</f>
        <v>CPI Index (base year 2014–15)</v>
      </c>
      <c r="D10" s="78" t="s">
        <v>86</v>
      </c>
      <c r="E10" s="78" t="s">
        <v>30</v>
      </c>
      <c r="F10" s="136">
        <v>1</v>
      </c>
      <c r="G10" s="121">
        <f>IF(G7&lt;&gt;"",(F10*(1+G8)),"")</f>
        <v>1.0168855534709194</v>
      </c>
      <c r="H10" s="121">
        <f>IF(H7&lt;&gt;"",(G10*(1+H8)),"")</f>
        <v>1.0318949343339587</v>
      </c>
      <c r="I10" s="121">
        <f>IF(I7&lt;&gt;"",(H10*(1+I8)),"")</f>
        <v>1.0515947467166979</v>
      </c>
      <c r="J10" s="121">
        <f>IF(J7&lt;&gt;"",(I10*(1+J8)),"")</f>
        <v>1.0778846153846153</v>
      </c>
      <c r="K10" s="121">
        <f>IF(K7&lt;&gt;"",(J10*(1+K8)),"")</f>
        <v>1.1048317307692306</v>
      </c>
      <c r="L10" s="87">
        <f t="shared" ref="L10:P10" si="1">IF(L7&lt;&gt;"",(K10*(1+L9)),"")</f>
        <v>1.1324525240384613</v>
      </c>
      <c r="M10" s="87">
        <f t="shared" si="1"/>
        <v>1.1607638371394227</v>
      </c>
      <c r="N10" s="87">
        <f t="shared" si="1"/>
        <v>1.1897829330679082</v>
      </c>
      <c r="O10" s="87">
        <f t="shared" si="1"/>
        <v>1.2195275063946058</v>
      </c>
      <c r="P10" s="87">
        <f t="shared" si="1"/>
        <v>1.2500156940544709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9"/>
      <c r="L11" s="129"/>
      <c r="M11" s="129"/>
      <c r="N11" s="129"/>
      <c r="O11" s="129"/>
      <c r="P11" s="129"/>
    </row>
    <row r="12" spans="1:20" ht="11.25" customHeight="1">
      <c r="A12" s="11"/>
      <c r="B12" s="11"/>
      <c r="C12" s="80"/>
      <c r="D12" s="78"/>
      <c r="E12" s="78"/>
      <c r="F12" s="78"/>
      <c r="G12" s="125"/>
      <c r="H12" s="125"/>
      <c r="I12" s="125"/>
      <c r="J12" s="125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157">
        <v>1.6885553470919357E-2</v>
      </c>
      <c r="H13" s="157">
        <v>1.4760147601476037E-2</v>
      </c>
      <c r="I13" s="157">
        <v>1.9090909090909047E-2</v>
      </c>
      <c r="J13" s="188">
        <v>1.7841213202497874E-2</v>
      </c>
      <c r="K13" s="188">
        <v>0.02</v>
      </c>
      <c r="L13" s="125"/>
      <c r="M13" s="125"/>
      <c r="N13" s="125"/>
      <c r="O13" s="125"/>
      <c r="P13" s="125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88">
        <v>2.4498899036147659E-2</v>
      </c>
      <c r="M14" s="140">
        <f t="shared" ref="M14:P14" si="2">L14</f>
        <v>2.4498899036147659E-2</v>
      </c>
      <c r="N14" s="140">
        <f t="shared" si="2"/>
        <v>2.4498899036147659E-2</v>
      </c>
      <c r="O14" s="140">
        <f t="shared" si="2"/>
        <v>2.4498899036147659E-2</v>
      </c>
      <c r="P14" s="140">
        <f t="shared" si="2"/>
        <v>2.4498899036147659E-2</v>
      </c>
    </row>
    <row r="15" spans="1:20" ht="11.25" customHeight="1">
      <c r="A15" s="11"/>
      <c r="B15" s="11"/>
      <c r="C15" s="138" t="str">
        <f>"CPI Index (base year "&amp;F7&amp;")"</f>
        <v>CPI Index (base year 2014–15)</v>
      </c>
      <c r="D15" s="78" t="s">
        <v>49</v>
      </c>
      <c r="E15" s="78" t="s">
        <v>30</v>
      </c>
      <c r="F15" s="136">
        <v>1</v>
      </c>
      <c r="G15" s="121">
        <f>IF(G7&lt;&gt;"",(F15*(1+G13)),"")</f>
        <v>1.0168855534709194</v>
      </c>
      <c r="H15" s="121">
        <f>IF(H7&lt;&gt;"",(G15*(1+H13)),"")</f>
        <v>1.0318949343339587</v>
      </c>
      <c r="I15" s="121">
        <f>IF(I7&lt;&gt;"",(H15*(1+I13)),"")</f>
        <v>1.0515947467166979</v>
      </c>
      <c r="J15" s="121">
        <f>IF(J7&lt;&gt;"",(I15*(1+J13)),"")</f>
        <v>1.0703564727954973</v>
      </c>
      <c r="K15" s="87">
        <f>IF(K7&lt;&gt;"",(J15*(1+K13)),"")</f>
        <v>1.0917636022514072</v>
      </c>
      <c r="L15" s="87">
        <f t="shared" ref="L15:P15" si="3">IF(L7&lt;&gt;"",(K15*(1+L14)),"")</f>
        <v>1.1185106085143053</v>
      </c>
      <c r="M15" s="87">
        <f t="shared" si="3"/>
        <v>1.1459128869831574</v>
      </c>
      <c r="N15" s="87">
        <f t="shared" si="3"/>
        <v>1.1739864911055782</v>
      </c>
      <c r="O15" s="87">
        <f t="shared" si="3"/>
        <v>1.2027478676209751</v>
      </c>
      <c r="P15" s="87">
        <f t="shared" si="3"/>
        <v>1.2322138661957633</v>
      </c>
    </row>
    <row r="16" spans="1:20" s="127" customFormat="1" ht="11.25" customHeight="1">
      <c r="A16" s="2"/>
      <c r="B16" s="2"/>
      <c r="C16" s="80"/>
      <c r="D16" s="126"/>
      <c r="E16" s="126"/>
      <c r="F16" s="126"/>
      <c r="G16" s="86"/>
      <c r="H16" s="86"/>
      <c r="I16" s="86"/>
      <c r="J16" s="86"/>
      <c r="K16" s="130"/>
      <c r="L16" s="130"/>
      <c r="M16" s="130"/>
      <c r="N16" s="130"/>
      <c r="O16" s="130"/>
      <c r="P16" s="130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1" t="str">
        <f>G7</f>
        <v>2015–16</v>
      </c>
      <c r="H19" s="171" t="str">
        <f t="shared" ref="H19:P19" si="4">H7</f>
        <v>2016–17</v>
      </c>
      <c r="I19" s="171" t="str">
        <f t="shared" si="4"/>
        <v>2017–18</v>
      </c>
      <c r="J19" s="171" t="str">
        <f t="shared" si="4"/>
        <v>2018–19</v>
      </c>
      <c r="K19" s="171" t="str">
        <f t="shared" si="4"/>
        <v>2019–20</v>
      </c>
      <c r="L19" s="171" t="str">
        <f t="shared" si="4"/>
        <v>2020-21</v>
      </c>
      <c r="M19" s="171" t="str">
        <f t="shared" si="4"/>
        <v>2021–22</v>
      </c>
      <c r="N19" s="171" t="str">
        <f t="shared" si="4"/>
        <v>2022–23</v>
      </c>
      <c r="O19" s="171" t="str">
        <f t="shared" si="4"/>
        <v>2023–24</v>
      </c>
      <c r="P19" s="171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57">
        <v>2.8284302053042689E-2</v>
      </c>
      <c r="H20" s="157">
        <v>2.8984734486499922E-2</v>
      </c>
      <c r="I20" s="157">
        <v>2.9429207036236839E-2</v>
      </c>
      <c r="J20" s="157">
        <v>2.9545146020704176E-2</v>
      </c>
      <c r="K20" s="188">
        <v>2.9654045371822368E-2</v>
      </c>
      <c r="L20" s="86"/>
      <c r="M20" s="86"/>
      <c r="N20" s="86"/>
      <c r="O20" s="86"/>
      <c r="P20" s="86"/>
    </row>
    <row r="21" spans="1:16" ht="11.25" customHeight="1">
      <c r="C21" s="151" t="s">
        <v>96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88">
        <v>2.1720435746576339E-2</v>
      </c>
      <c r="M21" s="188">
        <v>2.104194635341803E-2</v>
      </c>
      <c r="N21" s="188">
        <v>2.0363456960259721E-2</v>
      </c>
      <c r="O21" s="188">
        <v>1.9684967567101273E-2</v>
      </c>
      <c r="P21" s="188">
        <v>1.9006478173942833E-2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1">
        <f>IF(AND(G13&lt;&gt;"",G20&lt;&gt;""),((1+G20)*(1+G13)-1),"")</f>
        <v>4.5647451618666457E-2</v>
      </c>
      <c r="H22" s="141">
        <f>IF(AND(H13&lt;&gt;"",H20&lt;&gt;""),((1+H20)*(1+H13)-1),"")</f>
        <v>4.4172701047186402E-2</v>
      </c>
      <c r="I22" s="141">
        <f>IF(AND(I13&lt;&gt;"",I20&lt;&gt;""),((1+I20)*(1+I13)-1),"")</f>
        <v>4.9081946443292113E-2</v>
      </c>
      <c r="J22" s="141">
        <f>IF(AND(J13&lt;&gt;"",J20&lt;&gt;""),((1+J20)*(1+J13)-1),"")</f>
        <v>4.791348047245636E-2</v>
      </c>
      <c r="K22" s="141">
        <f>IF(AND(K13&lt;&gt;"",K20&lt;&gt;""),((1+K20)*(1+K13)-1),"")</f>
        <v>5.0247126279258758E-2</v>
      </c>
      <c r="L22" s="141">
        <f>IF(AND(L14&lt;&gt;"",L21&lt;&gt;""),((1+L21)*(1+L14)-1),"")</f>
        <v>4.675146154510057E-2</v>
      </c>
      <c r="M22" s="141">
        <f t="shared" ref="M22:P22" si="5">IF(AND(M14&lt;&gt;"",M21&lt;&gt;""),((1+M21)*(1+M14)-1),"")</f>
        <v>4.605634990880203E-2</v>
      </c>
      <c r="N22" s="141">
        <f t="shared" si="5"/>
        <v>4.5361238272503712E-2</v>
      </c>
      <c r="O22" s="141">
        <f t="shared" si="5"/>
        <v>4.4666126636205172E-2</v>
      </c>
      <c r="P22" s="141">
        <f t="shared" si="5"/>
        <v>4.3971014999906632E-2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zoomScaleNormal="100" workbookViewId="0">
      <selection activeCell="I30" sqref="I30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Directlink 2020-25 Draft Decision - Capital expenditure sharing scheme model</v>
      </c>
      <c r="D1" s="12"/>
      <c r="E1" s="12"/>
      <c r="F1" s="12"/>
      <c r="G1" s="12"/>
      <c r="H1" s="103"/>
      <c r="I1" s="104" t="s">
        <v>47</v>
      </c>
      <c r="J1" s="155" t="s">
        <v>48</v>
      </c>
      <c r="K1" s="160" t="s">
        <v>36</v>
      </c>
      <c r="L1" s="189" t="s">
        <v>104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3" t="str">
        <f>IF('Input | General'!D14="Yes",'Input | General'!D13,"n/a")</f>
        <v>2015–16</v>
      </c>
      <c r="I6" s="173" t="str">
        <f>IF('Input | General'!E14="Yes",'Input | General'!E13,"n/a")</f>
        <v>2016–17</v>
      </c>
      <c r="J6" s="173" t="str">
        <f>IF('Input | General'!F14="Yes",'Input | General'!F13,"n/a")</f>
        <v>2017–18</v>
      </c>
      <c r="K6" s="173" t="str">
        <f>IF('Input | General'!G14="Yes",'Input | General'!G13,"n/a")</f>
        <v>2018–19</v>
      </c>
      <c r="L6" s="173" t="str">
        <f>IF('Input | General'!H14="Yes",'Input | General'!H13,"n/a")</f>
        <v>2019–20</v>
      </c>
      <c r="M6" s="106"/>
      <c r="N6" s="106"/>
    </row>
    <row r="7" spans="2:14" s="68" customFormat="1" ht="10.5" customHeight="1">
      <c r="M7" s="106"/>
      <c r="N7" s="106"/>
    </row>
    <row r="8" spans="2:14" ht="10.5" customHeight="1">
      <c r="C8" s="80" t="s">
        <v>3</v>
      </c>
      <c r="D8" s="78" t="s">
        <v>49</v>
      </c>
      <c r="E8" s="78" t="s">
        <v>50</v>
      </c>
      <c r="F8" s="176" t="str">
        <f>'Input | Inflation and Disc Rate'!$F$7</f>
        <v>2014–15</v>
      </c>
      <c r="G8" s="68"/>
      <c r="H8" s="190">
        <v>7</v>
      </c>
      <c r="I8" s="190">
        <v>1.6</v>
      </c>
      <c r="J8" s="190">
        <v>1.9</v>
      </c>
      <c r="K8" s="190">
        <v>2.7</v>
      </c>
      <c r="L8" s="190">
        <v>13.7</v>
      </c>
      <c r="M8" s="2"/>
      <c r="N8" s="2"/>
    </row>
    <row r="9" spans="2:14" ht="10.5" customHeight="1">
      <c r="C9" s="80" t="s">
        <v>92</v>
      </c>
      <c r="D9" s="78" t="s">
        <v>49</v>
      </c>
      <c r="E9" s="78" t="s">
        <v>50</v>
      </c>
      <c r="F9" s="176" t="str">
        <f>'Input | Inflation and Disc Rate'!$F$7</f>
        <v>2014–15</v>
      </c>
      <c r="G9" s="68"/>
      <c r="H9" s="158"/>
      <c r="I9" s="158"/>
      <c r="J9" s="158"/>
      <c r="K9" s="158"/>
      <c r="L9" s="158"/>
      <c r="M9" s="2"/>
      <c r="N9" s="2"/>
    </row>
    <row r="10" spans="2:14" s="68" customFormat="1" ht="10.5" customHeight="1">
      <c r="H10" s="67"/>
      <c r="I10" s="67"/>
      <c r="J10" s="67"/>
      <c r="K10" s="67"/>
      <c r="L10" s="67"/>
      <c r="M10" s="106"/>
      <c r="N10" s="106"/>
    </row>
    <row r="11" spans="2:14" ht="10.5" customHeight="1">
      <c r="C11" s="77" t="s">
        <v>5</v>
      </c>
      <c r="D11" s="76" t="s">
        <v>60</v>
      </c>
      <c r="E11" s="174" t="s">
        <v>50</v>
      </c>
      <c r="F11" s="175" t="str">
        <f>'Input | Inflation and Disc Rate'!$F$7</f>
        <v>2014–15</v>
      </c>
      <c r="G11" s="68"/>
      <c r="H11" s="66">
        <f>IF(H6="", "", H8-H9)</f>
        <v>7</v>
      </c>
      <c r="I11" s="66">
        <f t="shared" ref="I11:L11" si="0">IF(I6="", "", I8-I9)</f>
        <v>1.6</v>
      </c>
      <c r="J11" s="66">
        <f t="shared" si="0"/>
        <v>1.9</v>
      </c>
      <c r="K11" s="66">
        <f t="shared" si="0"/>
        <v>2.7</v>
      </c>
      <c r="L11" s="66">
        <f t="shared" si="0"/>
        <v>13.7</v>
      </c>
      <c r="M11" s="2"/>
      <c r="N11" s="2"/>
    </row>
    <row r="12" spans="2:14" ht="10.5" customHeight="1">
      <c r="D12" s="68"/>
      <c r="E12" s="68"/>
      <c r="F12" s="68"/>
      <c r="G12" s="68"/>
      <c r="M12" s="72"/>
      <c r="N12" s="72"/>
    </row>
    <row r="13" spans="2:14" s="8" customFormat="1" ht="12.75" customHeight="1">
      <c r="B13" s="74" t="s">
        <v>41</v>
      </c>
      <c r="D13" s="18"/>
      <c r="E13" s="18"/>
      <c r="F13" s="18"/>
      <c r="G13" s="18"/>
    </row>
    <row r="14" spans="2:14" s="2" customFormat="1" ht="10.5" customHeight="1">
      <c r="B14" s="73"/>
      <c r="D14" s="21"/>
      <c r="E14" s="21"/>
      <c r="F14" s="21"/>
      <c r="G14" s="21"/>
    </row>
    <row r="15" spans="2:14" s="2" customFormat="1" ht="10.5" customHeight="1">
      <c r="B15" s="73"/>
      <c r="C15" s="68"/>
      <c r="D15" s="75" t="s">
        <v>6</v>
      </c>
      <c r="E15" s="75" t="s">
        <v>52</v>
      </c>
      <c r="F15" s="75" t="s">
        <v>4</v>
      </c>
      <c r="G15" s="64"/>
      <c r="H15" s="173" t="str">
        <f>H6</f>
        <v>2015–16</v>
      </c>
      <c r="I15" s="173" t="str">
        <f>I6</f>
        <v>2016–17</v>
      </c>
      <c r="J15" s="173" t="str">
        <f>J6</f>
        <v>2017–18</v>
      </c>
      <c r="K15" s="173" t="str">
        <f>K6</f>
        <v>2018–19</v>
      </c>
      <c r="L15" s="173" t="str">
        <f>L6</f>
        <v>2019–20</v>
      </c>
      <c r="M15" s="106"/>
      <c r="N15" s="106"/>
    </row>
    <row r="16" spans="2:14" s="2" customFormat="1" ht="10.5" customHeight="1">
      <c r="B16" s="73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6"/>
      <c r="N16" s="106"/>
    </row>
    <row r="17" spans="1:14" s="2" customFormat="1" ht="10.5" customHeight="1">
      <c r="B17" s="73"/>
      <c r="C17" s="80" t="s">
        <v>77</v>
      </c>
      <c r="D17" s="78" t="s">
        <v>49</v>
      </c>
      <c r="E17" s="78" t="s">
        <v>50</v>
      </c>
      <c r="F17" s="78" t="s">
        <v>53</v>
      </c>
      <c r="G17" s="68"/>
      <c r="H17" s="158">
        <v>3.9470450799999997</v>
      </c>
      <c r="I17" s="158">
        <v>3.3402399999999992</v>
      </c>
      <c r="J17" s="158">
        <v>9.9676239699999982</v>
      </c>
      <c r="K17" s="190">
        <v>6.2488116499999995</v>
      </c>
      <c r="L17" s="158">
        <v>7.4729069676599087</v>
      </c>
    </row>
    <row r="18" spans="1:14" s="2" customFormat="1" ht="10.5" customHeight="1">
      <c r="B18" s="73"/>
      <c r="C18" s="80" t="s">
        <v>92</v>
      </c>
      <c r="D18" s="78" t="s">
        <v>49</v>
      </c>
      <c r="E18" s="78" t="s">
        <v>50</v>
      </c>
      <c r="F18" s="78" t="s">
        <v>53</v>
      </c>
      <c r="G18" s="139"/>
      <c r="H18" s="159">
        <v>0</v>
      </c>
      <c r="I18" s="159">
        <v>0</v>
      </c>
      <c r="J18" s="159">
        <v>0</v>
      </c>
      <c r="K18" s="159">
        <v>0</v>
      </c>
      <c r="L18" s="159">
        <v>0</v>
      </c>
    </row>
    <row r="19" spans="1:14" s="2" customFormat="1" ht="10.5" customHeight="1">
      <c r="B19" s="73"/>
      <c r="C19" s="152" t="s">
        <v>97</v>
      </c>
      <c r="D19" s="78" t="s">
        <v>49</v>
      </c>
      <c r="E19" s="78" t="s">
        <v>50</v>
      </c>
      <c r="F19" s="78" t="s">
        <v>53</v>
      </c>
      <c r="G19" s="139"/>
      <c r="H19" s="159">
        <v>0</v>
      </c>
      <c r="I19" s="159">
        <v>0</v>
      </c>
      <c r="J19" s="159">
        <v>0</v>
      </c>
      <c r="K19" s="159">
        <v>0</v>
      </c>
      <c r="L19" s="159">
        <v>0</v>
      </c>
    </row>
    <row r="20" spans="1:14" s="2" customFormat="1" ht="10.5" customHeight="1">
      <c r="B20" s="73"/>
      <c r="C20" s="68"/>
      <c r="D20" s="68"/>
      <c r="E20" s="68"/>
      <c r="F20" s="68"/>
      <c r="G20" s="68"/>
      <c r="H20" s="67"/>
      <c r="I20" s="67"/>
      <c r="J20" s="67"/>
      <c r="K20" s="67"/>
      <c r="L20" s="67"/>
      <c r="M20" s="106"/>
      <c r="N20" s="106"/>
    </row>
    <row r="21" spans="1:14" s="2" customFormat="1" ht="10.5" customHeight="1">
      <c r="B21" s="73"/>
      <c r="C21" s="77" t="s">
        <v>76</v>
      </c>
      <c r="D21" s="76" t="s">
        <v>60</v>
      </c>
      <c r="E21" s="177" t="s">
        <v>50</v>
      </c>
      <c r="F21" s="177" t="s">
        <v>53</v>
      </c>
      <c r="G21" s="68"/>
      <c r="H21" s="66">
        <f>IF(H15="", "", H17-H18-H19)</f>
        <v>3.9470450799999997</v>
      </c>
      <c r="I21" s="66">
        <f t="shared" ref="I21:L21" si="1">IF(I15="", "", I17-I18-I19)</f>
        <v>3.3402399999999992</v>
      </c>
      <c r="J21" s="66">
        <f t="shared" si="1"/>
        <v>9.9676239699999982</v>
      </c>
      <c r="K21" s="66">
        <f t="shared" si="1"/>
        <v>6.2488116499999995</v>
      </c>
      <c r="L21" s="66">
        <f t="shared" si="1"/>
        <v>7.4729069676599087</v>
      </c>
    </row>
    <row r="22" spans="1:14" s="2" customFormat="1" ht="10.5" customHeight="1">
      <c r="B22" s="73"/>
      <c r="D22" s="21"/>
      <c r="E22" s="21"/>
      <c r="F22" s="21"/>
      <c r="G22" s="21"/>
      <c r="M22" s="72"/>
      <c r="N22" s="72"/>
    </row>
    <row r="23" spans="1:14" s="8" customFormat="1" ht="12.75" customHeight="1">
      <c r="B23" s="74" t="s">
        <v>42</v>
      </c>
      <c r="D23" s="18"/>
      <c r="E23" s="18"/>
      <c r="F23" s="18"/>
      <c r="G23" s="18"/>
    </row>
    <row r="24" spans="1:14" ht="10.5" customHeight="1">
      <c r="D24" s="68"/>
      <c r="E24" s="68"/>
      <c r="F24" s="68"/>
      <c r="G24" s="68"/>
      <c r="M24" s="2"/>
      <c r="N24" s="2"/>
    </row>
    <row r="25" spans="1:14" ht="10.5" customHeight="1">
      <c r="D25" s="68"/>
      <c r="E25" s="68"/>
      <c r="F25" s="68"/>
      <c r="G25" s="68"/>
      <c r="H25" s="173" t="str">
        <f>'Input | General'!D18</f>
        <v>2020-21</v>
      </c>
      <c r="I25" s="173" t="str">
        <f>'Input | General'!E18</f>
        <v>2021–22</v>
      </c>
      <c r="J25" s="173" t="str">
        <f>'Input | General'!F18</f>
        <v>2022–23</v>
      </c>
      <c r="K25" s="173" t="str">
        <f>'Input | General'!G18</f>
        <v>2023–24</v>
      </c>
      <c r="L25" s="173" t="str">
        <f>'Input | General'!H18</f>
        <v>2024–25</v>
      </c>
      <c r="M25" s="2"/>
      <c r="N25" s="2"/>
    </row>
    <row r="26" spans="1:14" s="17" customFormat="1" ht="10.5" customHeight="1">
      <c r="C26" s="16"/>
      <c r="D26" s="68"/>
      <c r="E26" s="68"/>
      <c r="F26" s="68"/>
      <c r="G26" s="68"/>
      <c r="M26" s="19"/>
      <c r="N26" s="19"/>
    </row>
    <row r="27" spans="1:14" ht="11.25" customHeight="1">
      <c r="C27" s="84" t="s">
        <v>85</v>
      </c>
      <c r="D27" s="65" t="s">
        <v>86</v>
      </c>
      <c r="E27" s="78" t="s">
        <v>50</v>
      </c>
      <c r="F27" s="78" t="s">
        <v>53</v>
      </c>
      <c r="G27" s="68"/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2"/>
      <c r="N27" s="2"/>
    </row>
    <row r="28" spans="1:14" ht="11.25" customHeight="1">
      <c r="C28" s="84" t="s">
        <v>85</v>
      </c>
      <c r="D28" s="65" t="s">
        <v>60</v>
      </c>
      <c r="E28" s="78" t="s">
        <v>50</v>
      </c>
      <c r="F28" s="78" t="str">
        <f>'Input | Inflation and Disc Rate'!$F$7</f>
        <v>2014–15</v>
      </c>
      <c r="G28" s="68"/>
      <c r="H28" s="146">
        <f>IF(H27&lt;&gt;"",H27/('Input | Inflation and Disc Rate'!K10*(1+'Input | Inflation and Disc Rate'!L9)^0.5),"")</f>
        <v>0</v>
      </c>
      <c r="I28" s="146">
        <f>IF(I27&lt;&gt;"",I27/('Input | Inflation and Disc Rate'!L10*(1+'Input | Inflation and Disc Rate'!M9)^0.5),"")</f>
        <v>0</v>
      </c>
      <c r="J28" s="146">
        <f>IF(J27&lt;&gt;"",J27/('Input | Inflation and Disc Rate'!M10*(1+'Input | Inflation and Disc Rate'!N9)^0.5),"")</f>
        <v>0</v>
      </c>
      <c r="K28" s="146">
        <f>IF(K27&lt;&gt;"",K27/('Input | Inflation and Disc Rate'!N10*(1+'Input | Inflation and Disc Rate'!O9)^0.5),"")</f>
        <v>0</v>
      </c>
      <c r="L28" s="146">
        <f>IF(L27&lt;&gt;"",L27/('Input | Inflation and Disc Rate'!O10*(1+'Input | Inflation and Disc Rate'!P9)^0.5),"")</f>
        <v>0</v>
      </c>
      <c r="M28" s="2"/>
      <c r="N28" s="2"/>
    </row>
    <row r="29" spans="1:14" ht="11.25" customHeight="1">
      <c r="C29" s="84" t="s">
        <v>85</v>
      </c>
      <c r="D29" s="65" t="s">
        <v>49</v>
      </c>
      <c r="E29" s="78" t="s">
        <v>50</v>
      </c>
      <c r="F29" s="78" t="s">
        <v>53</v>
      </c>
      <c r="G29" s="68"/>
      <c r="H29" s="146">
        <f>IF(H27&lt;&gt;"",H28*'Input | Inflation and Disc Rate'!K15*(1+'Input | Inflation and Disc Rate'!L14)^0.5,"")</f>
        <v>0</v>
      </c>
      <c r="I29" s="146">
        <f>IF(I27&lt;&gt;"",I28*'Input | Inflation and Disc Rate'!L15*(1+'Input | Inflation and Disc Rate'!M14)^0.5,"")</f>
        <v>0</v>
      </c>
      <c r="J29" s="146">
        <f>IF(J27&lt;&gt;"",J28*'Input | Inflation and Disc Rate'!M15*(1+'Input | Inflation and Disc Rate'!N14)^0.5,"")</f>
        <v>0</v>
      </c>
      <c r="K29" s="146">
        <f>IF(K27&lt;&gt;"",K28*'Input | Inflation and Disc Rate'!N15*(1+'Input | Inflation and Disc Rate'!O14)^0.5,"")</f>
        <v>0</v>
      </c>
      <c r="L29" s="146">
        <f>IF(L27&lt;&gt;"",L28*'Input | Inflation and Disc Rate'!O15*(1+'Input | Inflation and Disc Rate'!P14)^0.5,"")</f>
        <v>0</v>
      </c>
      <c r="M29" s="2"/>
      <c r="N29" s="2"/>
    </row>
    <row r="30" spans="1:14" ht="10.5" customHeight="1">
      <c r="D30" s="68"/>
      <c r="E30" s="68"/>
      <c r="F30" s="68"/>
      <c r="G30" s="68"/>
      <c r="M30" s="72"/>
      <c r="N30" s="72"/>
    </row>
    <row r="31" spans="1:14" s="62" customFormat="1" ht="12.75" customHeight="1">
      <c r="A31" s="8"/>
      <c r="B31" s="29" t="s">
        <v>34</v>
      </c>
      <c r="D31" s="63"/>
      <c r="E31" s="63"/>
      <c r="F31" s="63"/>
    </row>
    <row r="32" spans="1:14" ht="10.5" hidden="1" customHeight="1"/>
    <row r="33" ht="18" hidden="1" customHeight="1"/>
    <row r="34" s="2" customFormat="1" ht="18" hidden="1" customHeight="1"/>
    <row r="35" ht="18" hidden="1" customHeight="1"/>
    <row r="36" ht="18" hidden="1" customHeight="1"/>
    <row r="37" s="17" customFormat="1" ht="18" hidden="1" customHeight="1"/>
    <row r="38" ht="18" hidden="1" customHeight="1"/>
    <row r="39" ht="18" hidden="1" customHeight="1"/>
    <row r="40" ht="18" hidden="1" customHeight="1"/>
    <row r="41" ht="18" hidden="1" customHeight="1"/>
    <row r="42" s="17" customFormat="1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spans="3:14" s="2" customFormat="1" ht="18" hidden="1" customHeight="1"/>
    <row r="50" spans="3:14" ht="18" hidden="1" customHeight="1"/>
    <row r="51" spans="3:14" ht="18" hidden="1" customHeight="1"/>
    <row r="52" spans="3:14" ht="18" hidden="1" customHeight="1"/>
    <row r="53" spans="3:14" s="17" customFormat="1" ht="18" hidden="1" customHeight="1"/>
    <row r="54" spans="3:14" ht="18" hidden="1" customHeight="1"/>
    <row r="55" spans="3:14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>
      <c r="C61" s="21"/>
      <c r="D61" s="21"/>
      <c r="E61" s="21"/>
      <c r="F61" s="21"/>
      <c r="G61" s="21"/>
      <c r="H61" s="2"/>
      <c r="I61" s="2"/>
      <c r="J61" s="2"/>
      <c r="K61" s="2"/>
      <c r="L61" s="2"/>
      <c r="M61" s="2"/>
      <c r="N61" s="2"/>
    </row>
    <row r="62" spans="3:14" ht="18" hidden="1" customHeight="1">
      <c r="C62" s="21"/>
      <c r="D62" s="21"/>
      <c r="E62" s="21"/>
      <c r="F62" s="21"/>
      <c r="G62" s="21"/>
      <c r="H62" s="19"/>
      <c r="I62" s="19"/>
      <c r="J62" s="19"/>
      <c r="K62" s="19"/>
      <c r="L62" s="19"/>
      <c r="M62" s="19"/>
      <c r="N62" s="19"/>
    </row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/>
    <row r="68" spans="3:14" ht="18" hidden="1" customHeight="1"/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I8:L8 H8:H9">
    <cfRule type="expression" dxfId="4" priority="19">
      <formula>IF($H$6&lt;&gt;"","FALSE","TRUE")</formula>
    </cfRule>
  </conditionalFormatting>
  <conditionalFormatting sqref="H17:L17">
    <cfRule type="expression" dxfId="3" priority="14">
      <formula>IF($H$6&lt;&gt;"","FALSE","TRUE")</formula>
    </cfRule>
  </conditionalFormatting>
  <conditionalFormatting sqref="H18:L19">
    <cfRule type="expression" dxfId="2" priority="9">
      <formula>IF($H$6&lt;&gt;"","FALSE","TRUE")</formula>
    </cfRule>
  </conditionalFormatting>
  <conditionalFormatting sqref="I9:L9">
    <cfRule type="expression" dxfId="1" priority="5">
      <formula>IF($H$6&lt;&gt;"","FALSE","TRUE")</formula>
    </cfRule>
  </conditionalFormatting>
  <conditionalFormatting sqref="H27:L27">
    <cfRule type="expression" dxfId="0" priority="3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G19" sqref="G19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Directlink 2020-25 Draft Decision - Capital expenditure sharing scheme model</v>
      </c>
      <c r="J1" s="120"/>
      <c r="K1" s="104" t="s">
        <v>47</v>
      </c>
      <c r="L1" s="155" t="s">
        <v>48</v>
      </c>
      <c r="M1" s="160" t="s">
        <v>36</v>
      </c>
      <c r="N1"/>
      <c r="Q1" s="105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3"/>
      <c r="D5" s="93"/>
      <c r="E5" s="93"/>
      <c r="F5" s="93"/>
      <c r="G5" s="93"/>
      <c r="H5" s="93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5"/>
    </row>
    <row r="7" spans="2:23" ht="11.25" customHeight="1">
      <c r="C7" s="115" t="s">
        <v>9</v>
      </c>
      <c r="D7" s="173" t="str">
        <f>IF('Input | General'!D14="Yes",'Input | General'!D13,"n/a")</f>
        <v>2015–16</v>
      </c>
      <c r="E7" s="173" t="str">
        <f>IF('Input | General'!E14="Yes",'Input | General'!E13,"n/a")</f>
        <v>2016–17</v>
      </c>
      <c r="F7" s="173" t="str">
        <f>IF('Input | General'!F14="Yes",'Input | General'!F13,"n/a")</f>
        <v>2017–18</v>
      </c>
      <c r="G7" s="173" t="str">
        <f>IF('Input | General'!G14="Yes",'Input | General'!G13,"n/a")</f>
        <v>2018–19</v>
      </c>
      <c r="H7" s="178" t="str">
        <f>IF('Input | General'!H14="Yes",'Input | General'!H13,"n/a")</f>
        <v>2019–20</v>
      </c>
      <c r="I7" s="95"/>
    </row>
    <row r="8" spans="2:23" ht="11.25" customHeight="1">
      <c r="C8" s="142" t="s">
        <v>94</v>
      </c>
      <c r="D8" s="161">
        <f>'Input | Inflation and Disc Rate'!G20</f>
        <v>2.8284302053042689E-2</v>
      </c>
      <c r="E8" s="162">
        <f>'Input | Inflation and Disc Rate'!H20</f>
        <v>2.8984734486499922E-2</v>
      </c>
      <c r="F8" s="162">
        <f>'Input | Inflation and Disc Rate'!I20</f>
        <v>2.9429207036236839E-2</v>
      </c>
      <c r="G8" s="162">
        <f>'Input | Inflation and Disc Rate'!J20</f>
        <v>2.9545146020704176E-2</v>
      </c>
      <c r="H8" s="163">
        <f>'Input | Inflation and Disc Rate'!K20</f>
        <v>2.9654045371822368E-2</v>
      </c>
      <c r="I8" s="95"/>
      <c r="J8" s="79"/>
      <c r="K8" s="79"/>
    </row>
    <row r="9" spans="2:23" ht="11.25" customHeight="1">
      <c r="C9" s="142" t="s">
        <v>95</v>
      </c>
      <c r="D9" s="161">
        <f>'Input | Inflation and Disc Rate'!G22</f>
        <v>4.5647451618666457E-2</v>
      </c>
      <c r="E9" s="162">
        <f>'Input | Inflation and Disc Rate'!H22</f>
        <v>4.4172701047186402E-2</v>
      </c>
      <c r="F9" s="162">
        <f>'Input | Inflation and Disc Rate'!I22</f>
        <v>4.9081946443292113E-2</v>
      </c>
      <c r="G9" s="162">
        <f>'Input | Inflation and Disc Rate'!J22</f>
        <v>4.791348047245636E-2</v>
      </c>
      <c r="H9" s="163">
        <f>'Input | Inflation and Disc Rate'!K22</f>
        <v>5.0247126279258758E-2</v>
      </c>
      <c r="I9" s="95"/>
      <c r="J9" s="79"/>
      <c r="K9" s="79"/>
    </row>
    <row r="10" spans="2:23" ht="11.25" customHeight="1">
      <c r="C10" s="111" t="s">
        <v>13</v>
      </c>
      <c r="D10" s="166">
        <f>'Input | Reported Capex'!H$11*'Input | Inflation and Disc Rate'!G$15*(1+'Input | Inflation and Disc Rate'!G$20)^0.5</f>
        <v>7.2181635885563376</v>
      </c>
      <c r="E10" s="164">
        <f>'Input | Reported Capex'!I$11*'Input | Inflation and Disc Rate'!H$15*(1+'Input | Inflation and Disc Rate'!H$20)^0.5</f>
        <v>1.674788341539128</v>
      </c>
      <c r="F10" s="164">
        <f>'Input | Reported Capex'!J$11*'Input | Inflation and Disc Rate'!I$15*(1+'Input | Inflation and Disc Rate'!I$20)^0.5</f>
        <v>2.0272170575162121</v>
      </c>
      <c r="G10" s="164">
        <f>'Input | Reported Capex'!K$11*'Input | Inflation and Disc Rate'!J$15*(1+'Input | Inflation and Disc Rate'!J$20)^0.5</f>
        <v>2.9323438955996135</v>
      </c>
      <c r="H10" s="165">
        <f>'Input | Reported Capex'!L$11*'Input | Inflation and Disc Rate'!K$15*(1+'Input | Inflation and Disc Rate'!K$20)^0.5</f>
        <v>15.177311360254002</v>
      </c>
      <c r="I10" s="95"/>
      <c r="J10" s="79"/>
      <c r="K10" s="79"/>
      <c r="N10" s="137"/>
    </row>
    <row r="11" spans="2:23" ht="11.25" customHeight="1">
      <c r="C11" s="111" t="s">
        <v>15</v>
      </c>
      <c r="D11" s="166">
        <f>'Input | Reported Capex'!H21*(1+D$9)^0.5</f>
        <v>4.0361261176926115</v>
      </c>
      <c r="E11" s="164">
        <f>'Input | Reported Capex'!I21*(1+E$9)^0.5</f>
        <v>3.4132165272101704</v>
      </c>
      <c r="F11" s="164">
        <f>'Input | Reported Capex'!J21*(1+F$9)^0.5</f>
        <v>10.209309091622854</v>
      </c>
      <c r="G11" s="164">
        <f>'Input | Reported Capex'!K21*(1+G$9)^0.5</f>
        <v>6.3967613454768495</v>
      </c>
      <c r="H11" s="165">
        <f>'Input | Reported Capex'!L21*(1+H$9)^0.5</f>
        <v>7.658352047161836</v>
      </c>
      <c r="I11" s="95"/>
      <c r="J11" s="79"/>
      <c r="K11" s="79"/>
    </row>
    <row r="12" spans="2:23" s="19" customFormat="1" ht="11.25" customHeight="1">
      <c r="C12" s="111" t="s">
        <v>17</v>
      </c>
      <c r="D12" s="154">
        <f>(D10-D11)</f>
        <v>3.182037470863726</v>
      </c>
      <c r="E12" s="143">
        <f>(E10-E11)</f>
        <v>-1.7384281856710424</v>
      </c>
      <c r="F12" s="143">
        <f t="shared" ref="F12:H12" si="0">(F10-F11)</f>
        <v>-8.1820920341066419</v>
      </c>
      <c r="G12" s="143">
        <f t="shared" si="0"/>
        <v>-3.464417449877236</v>
      </c>
      <c r="H12" s="147">
        <f t="shared" si="0"/>
        <v>7.5189593130921661</v>
      </c>
      <c r="I12" s="95"/>
      <c r="J12" s="79"/>
      <c r="K12" s="79"/>
    </row>
    <row r="13" spans="2:23" ht="11.25" customHeight="1">
      <c r="C13" s="111" t="s">
        <v>71</v>
      </c>
      <c r="D13" s="154"/>
      <c r="E13" s="143">
        <f>$D$12*$E$8</f>
        <v>9.2230511219078826E-2</v>
      </c>
      <c r="F13" s="143">
        <f>$D$12*$F$8*(1+'Input | Inflation and Disc Rate'!H13)</f>
        <v>9.5027051180648747E-2</v>
      </c>
      <c r="G13" s="143">
        <f>$D$12*$G$8*(1+'Input | Inflation and Disc Rate'!H13)*(1+'Input | Inflation and Disc Rate'!I13)</f>
        <v>9.722271853149772E-2</v>
      </c>
      <c r="H13" s="147">
        <f>$D$12*$H$8*(1+'Input | Inflation and Disc Rate'!H13)*(1+'Input | Inflation and Disc Rate'!I13)*(1+'Input | Inflation and Disc Rate'!J13)</f>
        <v>9.9322032762346968E-2</v>
      </c>
      <c r="I13" s="95"/>
      <c r="J13" s="79"/>
      <c r="K13" s="79"/>
      <c r="L13" s="94"/>
      <c r="M13" s="94"/>
      <c r="N13" s="94"/>
      <c r="O13" s="94"/>
    </row>
    <row r="14" spans="2:23" ht="11.25" customHeight="1">
      <c r="C14" s="111" t="s">
        <v>72</v>
      </c>
      <c r="D14" s="154"/>
      <c r="E14" s="144"/>
      <c r="F14" s="143">
        <f>$E$12*F$8</f>
        <v>-5.1160562993742685E-2</v>
      </c>
      <c r="G14" s="143">
        <f>$E$12*G$8*(1+'Input | Inflation and Disc Rate'!I13)</f>
        <v>-5.2342664052554534E-2</v>
      </c>
      <c r="H14" s="147">
        <f>$E$12*H$8*(1+'Input | Inflation and Disc Rate'!I13)*(1+'Input | Inflation and Disc Rate'!J13)</f>
        <v>-5.3472890620848749E-2</v>
      </c>
      <c r="I14" s="95"/>
      <c r="J14" s="79"/>
      <c r="K14" s="79"/>
      <c r="L14" s="94"/>
      <c r="M14" s="94"/>
      <c r="N14" s="95"/>
      <c r="O14" s="95"/>
    </row>
    <row r="15" spans="2:23" ht="11.25" customHeight="1">
      <c r="C15" s="111" t="s">
        <v>73</v>
      </c>
      <c r="D15" s="154"/>
      <c r="E15" s="143"/>
      <c r="F15" s="143"/>
      <c r="G15" s="143">
        <f>$F$12*G$8</f>
        <v>-0.24174110390252118</v>
      </c>
      <c r="H15" s="147">
        <f>$F$12*$H$8*(1+'Input | Inflation and Disc Rate'!J13)</f>
        <v>-0.24696097994866731</v>
      </c>
      <c r="I15" s="95"/>
      <c r="J15" s="79"/>
      <c r="K15" s="79"/>
      <c r="L15" s="94"/>
      <c r="M15" s="94"/>
      <c r="N15" s="94"/>
      <c r="O15" s="94"/>
    </row>
    <row r="16" spans="2:23" ht="11.25" customHeight="1">
      <c r="C16" s="111" t="s">
        <v>74</v>
      </c>
      <c r="D16" s="154"/>
      <c r="E16" s="143"/>
      <c r="F16" s="143"/>
      <c r="G16" s="143"/>
      <c r="H16" s="147">
        <f>$G$12*$H$8</f>
        <v>-0.1027339922455927</v>
      </c>
      <c r="I16" s="95"/>
      <c r="J16" s="79"/>
      <c r="K16" s="79"/>
      <c r="L16" s="94"/>
      <c r="M16" s="94"/>
      <c r="N16" s="94"/>
      <c r="O16" s="94"/>
    </row>
    <row r="17" spans="3:15" ht="11.25" customHeight="1">
      <c r="C17" s="111" t="s">
        <v>75</v>
      </c>
      <c r="D17" s="154"/>
      <c r="E17" s="143"/>
      <c r="F17" s="143"/>
      <c r="G17" s="143"/>
      <c r="H17" s="147"/>
      <c r="I17" s="95"/>
      <c r="J17" s="79"/>
      <c r="K17" s="79"/>
      <c r="L17" s="94"/>
      <c r="M17" s="94"/>
      <c r="N17" s="94"/>
      <c r="O17" s="94"/>
    </row>
    <row r="18" spans="3:15" s="19" customFormat="1" ht="11.25" customHeight="1">
      <c r="C18" s="112" t="s">
        <v>19</v>
      </c>
      <c r="D18" s="124">
        <f>SUM(D13:D17)</f>
        <v>0</v>
      </c>
      <c r="E18" s="148">
        <f>SUM(E13:E17)</f>
        <v>9.2230511219078826E-2</v>
      </c>
      <c r="F18" s="148">
        <f t="shared" ref="F18:H18" si="1">SUM(F13:F17)</f>
        <v>4.3866488186906062E-2</v>
      </c>
      <c r="G18" s="148">
        <f t="shared" si="1"/>
        <v>-0.19686104942357799</v>
      </c>
      <c r="H18" s="149">
        <f t="shared" si="1"/>
        <v>-0.30384583005276178</v>
      </c>
      <c r="I18" s="95"/>
      <c r="J18" s="79"/>
      <c r="K18" s="79"/>
      <c r="L18" s="94"/>
      <c r="M18" s="94"/>
      <c r="N18" s="94"/>
      <c r="O18" s="94"/>
    </row>
    <row r="19" spans="3:15" ht="11.25" customHeight="1">
      <c r="C19" s="113" t="s">
        <v>93</v>
      </c>
      <c r="D19" s="124">
        <f t="shared" ref="D19:E19" si="2">E19*(1+E$9)</f>
        <v>1.2055873357568274</v>
      </c>
      <c r="E19" s="148">
        <f t="shared" si="2"/>
        <v>1.1545861470499665</v>
      </c>
      <c r="F19" s="148">
        <f>G19*(1+G$9)</f>
        <v>1.1005681214554934</v>
      </c>
      <c r="G19" s="148">
        <f>H19*(1+H$9)</f>
        <v>1.0502471262792588</v>
      </c>
      <c r="H19" s="150">
        <v>1</v>
      </c>
      <c r="I19" s="95"/>
      <c r="J19" s="79"/>
      <c r="K19" s="79"/>
      <c r="L19" s="95"/>
      <c r="M19" s="95"/>
      <c r="N19" s="95"/>
      <c r="O19" s="95"/>
    </row>
    <row r="20" spans="3:15" s="19" customFormat="1" ht="11.25" customHeight="1">
      <c r="C20" s="111" t="s">
        <v>20</v>
      </c>
      <c r="D20" s="154">
        <f>D12*D19</f>
        <v>3.8362240767769928</v>
      </c>
      <c r="E20" s="143">
        <f>E12*E19</f>
        <v>-2.0071651008169926</v>
      </c>
      <c r="F20" s="143">
        <f t="shared" ref="F20:H20" si="3">F12*F19</f>
        <v>-9.0049496595527039</v>
      </c>
      <c r="G20" s="143">
        <f t="shared" si="3"/>
        <v>-3.6384944709652851</v>
      </c>
      <c r="H20" s="147">
        <f t="shared" si="3"/>
        <v>7.5189593130921661</v>
      </c>
      <c r="I20" s="95"/>
      <c r="J20" s="79"/>
      <c r="K20" s="79"/>
      <c r="L20" s="95"/>
      <c r="M20" s="95"/>
      <c r="N20" s="95"/>
      <c r="O20" s="95"/>
    </row>
    <row r="21" spans="3:15" s="19" customFormat="1" ht="11.25" customHeight="1">
      <c r="C21" s="112" t="s">
        <v>21</v>
      </c>
      <c r="D21" s="124">
        <f>D18*D19</f>
        <v>0</v>
      </c>
      <c r="E21" s="148">
        <f>E18*E19</f>
        <v>0.10648807058888493</v>
      </c>
      <c r="F21" s="148">
        <f t="shared" ref="F21:H21" si="4">F18*F19</f>
        <v>4.8278058498712799E-2</v>
      </c>
      <c r="G21" s="148">
        <f t="shared" si="4"/>
        <v>-0.20675275143343191</v>
      </c>
      <c r="H21" s="149">
        <f t="shared" si="4"/>
        <v>-0.30384583005276178</v>
      </c>
      <c r="I21" s="95"/>
      <c r="J21" s="79"/>
      <c r="K21" s="79"/>
      <c r="L21" s="95"/>
      <c r="M21" s="95"/>
      <c r="N21" s="95"/>
      <c r="O21" s="95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5"/>
      <c r="J23" s="79"/>
      <c r="K23" s="79"/>
      <c r="L23" s="95"/>
      <c r="M23" s="95"/>
      <c r="N23" s="95"/>
      <c r="O23" s="95"/>
    </row>
    <row r="24" spans="3:15" ht="11.25" customHeight="1">
      <c r="C24" s="110" t="s">
        <v>9</v>
      </c>
      <c r="D24" s="179" t="str">
        <f>'Input | General'!$D$18</f>
        <v>2020-21</v>
      </c>
      <c r="E24" s="179" t="str">
        <f>'Input | General'!$E$18</f>
        <v>2021–22</v>
      </c>
      <c r="F24" s="179" t="str">
        <f>'Input | General'!$F$18</f>
        <v>2022–23</v>
      </c>
      <c r="G24" s="179" t="str">
        <f>'Input | General'!$G$18</f>
        <v>2023–24</v>
      </c>
      <c r="H24" s="180" t="str">
        <f>'Input | General'!$H$18</f>
        <v>2024–25</v>
      </c>
      <c r="I24" s="95"/>
      <c r="J24" s="79"/>
      <c r="K24" s="79"/>
      <c r="L24" s="95"/>
      <c r="M24" s="95"/>
      <c r="N24" s="95"/>
      <c r="O24" s="95"/>
    </row>
    <row r="25" spans="3:15" ht="11.25" customHeight="1">
      <c r="C25" s="114" t="s">
        <v>70</v>
      </c>
      <c r="D25" s="167">
        <f>'Input | Inflation and Disc Rate'!L$22</f>
        <v>4.675146154510057E-2</v>
      </c>
      <c r="E25" s="167">
        <f>'Input | Inflation and Disc Rate'!M$22</f>
        <v>4.605634990880203E-2</v>
      </c>
      <c r="F25" s="167">
        <f>'Input | Inflation and Disc Rate'!N$22</f>
        <v>4.5361238272503712E-2</v>
      </c>
      <c r="G25" s="167">
        <f>'Input | Inflation and Disc Rate'!O$22</f>
        <v>4.4666126636205172E-2</v>
      </c>
      <c r="H25" s="168">
        <f>'Input | Inflation and Disc Rate'!P$22</f>
        <v>4.3971014999906632E-2</v>
      </c>
      <c r="I25" s="95"/>
      <c r="J25" s="79"/>
      <c r="K25" s="79"/>
      <c r="L25" s="95"/>
      <c r="M25" s="95"/>
      <c r="N25" s="95"/>
      <c r="O25" s="95"/>
    </row>
    <row r="26" spans="3:15" ht="11.25" customHeight="1">
      <c r="C26" s="115" t="s">
        <v>14</v>
      </c>
      <c r="D26" s="164">
        <f>'Input | Reported Capex'!H29</f>
        <v>0</v>
      </c>
      <c r="E26" s="164">
        <f>'Input | Reported Capex'!I29</f>
        <v>0</v>
      </c>
      <c r="F26" s="164">
        <f>'Input | Reported Capex'!J29</f>
        <v>0</v>
      </c>
      <c r="G26" s="164">
        <f>'Input | Reported Capex'!K29</f>
        <v>0</v>
      </c>
      <c r="H26" s="165">
        <f>'Input | Reported Capex'!L29</f>
        <v>0</v>
      </c>
      <c r="I26" s="95"/>
      <c r="J26" s="79"/>
      <c r="K26" s="79"/>
      <c r="L26" s="95"/>
      <c r="M26" s="95"/>
      <c r="N26" s="95"/>
      <c r="O26" s="95"/>
    </row>
    <row r="27" spans="3:15" ht="11.25" customHeight="1">
      <c r="C27" s="115" t="s">
        <v>16</v>
      </c>
      <c r="D27" s="122">
        <f>1/(1+D25)^(0.5)</f>
        <v>0.97741322729576052</v>
      </c>
      <c r="E27" s="122">
        <f>1/((1+E25)^(0.5)*(1+D25))</f>
        <v>0.93406883886808545</v>
      </c>
      <c r="F27" s="122">
        <f>1/((1+F25)^(0.5)*(1+E25)*(1+D25))</f>
        <v>0.89323996865844224</v>
      </c>
      <c r="G27" s="122">
        <f>1/((1+G25)^(0.5)*(1+F25)*(1+E25)*(1+D25))</f>
        <v>0.85476394525516219</v>
      </c>
      <c r="H27" s="123">
        <f>1/((1+H25)^(0.5)*(1+G25)*(1+F25)*(1+E25)*(1+D25))</f>
        <v>0.81848969890714707</v>
      </c>
      <c r="I27" s="95"/>
      <c r="J27" s="79"/>
      <c r="K27" s="79"/>
      <c r="L27" s="95"/>
      <c r="M27" s="95"/>
      <c r="N27" s="95"/>
      <c r="O27" s="95"/>
    </row>
    <row r="28" spans="3:15" ht="11.25" customHeight="1">
      <c r="C28" s="110" t="s">
        <v>18</v>
      </c>
      <c r="D28" s="89">
        <f>D26*D27</f>
        <v>0</v>
      </c>
      <c r="E28" s="89">
        <f t="shared" ref="E28:G28" si="5">E26*E27</f>
        <v>0</v>
      </c>
      <c r="F28" s="89">
        <f t="shared" si="5"/>
        <v>0</v>
      </c>
      <c r="G28" s="89">
        <f t="shared" si="5"/>
        <v>0</v>
      </c>
      <c r="H28" s="90">
        <f>H26*H27</f>
        <v>0</v>
      </c>
      <c r="I28" s="95"/>
      <c r="J28" s="79"/>
      <c r="K28" s="79"/>
      <c r="L28" s="95"/>
      <c r="M28" s="95"/>
      <c r="N28" s="95"/>
      <c r="O28" s="95"/>
    </row>
    <row r="29" spans="3:15" ht="11.25" customHeight="1">
      <c r="C29" s="94"/>
      <c r="D29" s="96"/>
      <c r="E29" s="96"/>
      <c r="F29" s="96"/>
      <c r="G29" s="96"/>
      <c r="H29" s="96"/>
      <c r="I29" s="95"/>
      <c r="J29" s="79"/>
      <c r="K29" s="79"/>
      <c r="L29" s="95"/>
      <c r="M29" s="95"/>
      <c r="N29" s="95"/>
      <c r="O29" s="95"/>
    </row>
    <row r="30" spans="3:15" ht="11.25" customHeight="1">
      <c r="C30" s="109" t="s">
        <v>22</v>
      </c>
      <c r="D30" s="119"/>
      <c r="E30" s="94"/>
      <c r="F30" s="94"/>
      <c r="G30" s="94"/>
      <c r="H30" s="94"/>
      <c r="I30" s="95"/>
      <c r="J30" s="79"/>
      <c r="K30" s="79"/>
      <c r="L30" s="95"/>
      <c r="M30" s="95"/>
      <c r="N30" s="95"/>
      <c r="O30" s="95"/>
    </row>
    <row r="31" spans="3:15" ht="11.25" customHeight="1">
      <c r="C31" s="111" t="s">
        <v>23</v>
      </c>
      <c r="D31" s="100">
        <f>SUM(D20:H20)-SUM(D28:H28)</f>
        <v>-3.2954258414658231</v>
      </c>
      <c r="E31" s="94"/>
      <c r="F31" s="94"/>
      <c r="G31" s="94"/>
      <c r="H31" s="94"/>
      <c r="I31" s="95"/>
      <c r="J31" s="79"/>
      <c r="K31" s="79"/>
      <c r="L31" s="95"/>
      <c r="M31" s="95"/>
      <c r="N31" s="95"/>
      <c r="O31" s="95"/>
    </row>
    <row r="32" spans="3:15" ht="11.25" customHeight="1">
      <c r="C32" s="111" t="s">
        <v>24</v>
      </c>
      <c r="D32" s="99">
        <v>0.3</v>
      </c>
      <c r="E32" s="94"/>
      <c r="F32" s="94"/>
      <c r="G32" s="94"/>
      <c r="H32" s="94"/>
      <c r="I32" s="95"/>
      <c r="J32" s="79"/>
      <c r="K32" s="79"/>
      <c r="L32" s="95"/>
      <c r="M32" s="95"/>
      <c r="N32" s="95"/>
      <c r="O32" s="95"/>
    </row>
    <row r="33" spans="1:16382" ht="11.25" customHeight="1">
      <c r="C33" s="111" t="s">
        <v>25</v>
      </c>
      <c r="D33" s="100">
        <f>(1-D32)*D31</f>
        <v>-2.306798089026076</v>
      </c>
      <c r="E33" s="94"/>
      <c r="F33" s="94"/>
      <c r="G33" s="94"/>
      <c r="H33" s="94"/>
      <c r="I33" s="95"/>
      <c r="J33" s="79"/>
      <c r="K33" s="79"/>
      <c r="L33" s="95"/>
      <c r="M33" s="95"/>
      <c r="N33" s="95"/>
      <c r="O33" s="95"/>
    </row>
    <row r="34" spans="1:16382" ht="11.25" customHeight="1">
      <c r="C34" s="111" t="s">
        <v>26</v>
      </c>
      <c r="D34" s="100">
        <f>D32*D31</f>
        <v>-0.98862775243974688</v>
      </c>
      <c r="E34" s="94"/>
      <c r="F34" s="94"/>
      <c r="G34" s="94"/>
      <c r="H34" s="94"/>
      <c r="I34" s="95"/>
      <c r="J34" s="79"/>
      <c r="K34" s="79"/>
      <c r="L34" s="95"/>
      <c r="M34" s="95"/>
      <c r="N34" s="95"/>
      <c r="O34" s="95"/>
    </row>
    <row r="35" spans="1:16382" ht="11.25" customHeight="1">
      <c r="C35" s="111" t="s">
        <v>27</v>
      </c>
      <c r="D35" s="100">
        <f>SUM(D21:H21)</f>
        <v>-0.35583245239859596</v>
      </c>
      <c r="E35" s="94"/>
      <c r="F35" s="94"/>
      <c r="G35" s="94"/>
      <c r="H35" s="94"/>
      <c r="I35" s="95"/>
      <c r="J35" s="79"/>
      <c r="K35" s="79"/>
      <c r="L35" s="95"/>
      <c r="M35" s="95"/>
      <c r="N35" s="95"/>
      <c r="O35" s="95"/>
    </row>
    <row r="36" spans="1:16382" ht="11.25" customHeight="1">
      <c r="C36" s="112" t="s">
        <v>28</v>
      </c>
      <c r="D36" s="101">
        <f>D34-D35</f>
        <v>-0.63279530004115092</v>
      </c>
      <c r="E36" s="94"/>
      <c r="F36" s="94"/>
      <c r="G36" s="94"/>
      <c r="H36" s="94"/>
      <c r="I36" s="95"/>
      <c r="J36" s="79"/>
      <c r="K36" s="79"/>
      <c r="L36" s="95"/>
      <c r="M36" s="95"/>
      <c r="N36" s="95"/>
      <c r="O36" s="95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1"/>
      <c r="D40" s="181" t="str">
        <f>'Input | General'!D18</f>
        <v>2020-21</v>
      </c>
      <c r="E40" s="181" t="str">
        <f>'Input | General'!E18</f>
        <v>2021–22</v>
      </c>
      <c r="F40" s="181" t="str">
        <f>'Input | General'!F18</f>
        <v>2022–23</v>
      </c>
      <c r="G40" s="181" t="str">
        <f>'Input | General'!G18</f>
        <v>2023–24</v>
      </c>
      <c r="H40" s="181" t="str">
        <f>'Input | General'!H18</f>
        <v>2024–25</v>
      </c>
      <c r="I40" s="92"/>
      <c r="J40" s="92"/>
      <c r="K40" s="92"/>
      <c r="L40" s="92"/>
      <c r="M40" s="92"/>
      <c r="N40" s="92"/>
      <c r="O40" s="92"/>
    </row>
    <row r="41" spans="1:16382" s="30" customFormat="1" ht="11.25" customHeight="1">
      <c r="C41" s="98" t="s">
        <v>98</v>
      </c>
      <c r="D41" s="169">
        <f>1/(1+'Input | Inflation and Disc Rate'!L21)</f>
        <v>0.97874131221550331</v>
      </c>
      <c r="E41" s="169">
        <f>D41/(1+'Input | Inflation and Disc Rate'!M21)</f>
        <v>0.95857111033587949</v>
      </c>
      <c r="F41" s="169">
        <f>E41/(1+'Input | Inflation and Disc Rate'!N21)</f>
        <v>0.9394408470796628</v>
      </c>
      <c r="G41" s="169">
        <f>F41/(1+'Input | Inflation and Disc Rate'!O21)</f>
        <v>0.9213049882662333</v>
      </c>
      <c r="H41" s="170">
        <f>G41/(1+'Input | Inflation and Disc Rate'!P21)</f>
        <v>0.90412083534268572</v>
      </c>
      <c r="I41" s="92"/>
      <c r="J41" s="92"/>
      <c r="K41" s="92"/>
      <c r="L41" s="92"/>
      <c r="M41" s="92"/>
      <c r="N41" s="92"/>
      <c r="O41" s="92"/>
    </row>
    <row r="42" spans="1:16382" s="30" customFormat="1" ht="11.25" customHeight="1">
      <c r="C42" s="187" t="str">
        <f>CONCATENATE("CESS Payment Per Year ($", 'Output | Models'!$F$8," million)")</f>
        <v>CESS Payment Per Year ($2019–20 million)</v>
      </c>
      <c r="D42" s="108">
        <f>D36/(SUM(D41:H41))</f>
        <v>-0.13457490399523109</v>
      </c>
      <c r="E42" s="108">
        <f>D42</f>
        <v>-0.13457490399523109</v>
      </c>
      <c r="F42" s="108">
        <f t="shared" ref="F42:H42" si="6">E42</f>
        <v>-0.13457490399523109</v>
      </c>
      <c r="G42" s="108">
        <f t="shared" si="6"/>
        <v>-0.13457490399523109</v>
      </c>
      <c r="H42" s="145">
        <f t="shared" si="6"/>
        <v>-0.13457490399523109</v>
      </c>
      <c r="I42" s="92"/>
      <c r="J42" s="92"/>
      <c r="K42" s="92"/>
      <c r="L42" s="92"/>
      <c r="M42" s="92"/>
      <c r="N42" s="92"/>
      <c r="O42" s="92"/>
    </row>
    <row r="43" spans="1:16382" s="79" customFormat="1" ht="11.25" customHeight="1"/>
    <row r="44" spans="1:16382" s="30" customFormat="1" ht="11.25" customHeight="1">
      <c r="C44" s="187" t="str">
        <f>CONCATENATE("Total CESS Payment ($", 'Output | Models'!$F$8," million)")</f>
        <v>Total CESS Payment ($2019–20 million)</v>
      </c>
      <c r="D44" s="153">
        <f>SUM(D42:H42)</f>
        <v>-0.67287451997615544</v>
      </c>
      <c r="E44" s="70"/>
      <c r="F44" s="70"/>
      <c r="G44" s="70"/>
      <c r="H44" s="70"/>
      <c r="I44" s="92"/>
      <c r="J44" s="92"/>
      <c r="K44" s="92"/>
      <c r="L44" s="92"/>
      <c r="M44" s="92"/>
      <c r="N44" s="92"/>
      <c r="O44" s="92"/>
    </row>
    <row r="45" spans="1:16382" s="30" customFormat="1" ht="11.25" customHeight="1">
      <c r="C45" s="69"/>
      <c r="D45" s="97"/>
      <c r="E45" s="70"/>
      <c r="F45" s="70"/>
      <c r="G45" s="70"/>
      <c r="H45" s="70"/>
      <c r="I45" s="92"/>
      <c r="J45" s="92"/>
      <c r="K45" s="92"/>
      <c r="L45" s="92"/>
      <c r="M45" s="92"/>
      <c r="N45" s="92"/>
      <c r="O45" s="92"/>
    </row>
    <row r="46" spans="1:16382" s="30" customFormat="1" ht="11.25" customHeight="1"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Directlink 2020-25 Draft Decision - Capital expenditure sharing scheme model</v>
      </c>
      <c r="C1" s="35"/>
      <c r="D1" s="35"/>
      <c r="E1" s="35"/>
      <c r="F1" s="36"/>
      <c r="G1" s="36"/>
      <c r="H1" s="36"/>
      <c r="I1" s="36"/>
      <c r="J1" s="103"/>
      <c r="K1" s="104" t="s">
        <v>47</v>
      </c>
      <c r="L1" s="155" t="s">
        <v>48</v>
      </c>
      <c r="M1" s="160" t="s">
        <v>36</v>
      </c>
      <c r="R1" s="105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191"/>
      <c r="K3" s="191"/>
      <c r="L3" s="191"/>
      <c r="M3" s="42"/>
      <c r="N3" s="191"/>
      <c r="O3" s="191"/>
      <c r="P3" s="191"/>
      <c r="Q3" s="191"/>
      <c r="R3" s="191"/>
      <c r="S3" s="191"/>
      <c r="T3" s="191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2" t="str">
        <f>'Calc | CESS Revenue Increments'!D40</f>
        <v>2020-21</v>
      </c>
      <c r="K6" s="182" t="str">
        <f>'Calc | CESS Revenue Increments'!E40</f>
        <v>2021–22</v>
      </c>
      <c r="L6" s="182" t="str">
        <f>'Calc | CESS Revenue Increments'!F40</f>
        <v>2022–23</v>
      </c>
      <c r="M6" s="182" t="str">
        <f>'Calc | CESS Revenue Increments'!G40</f>
        <v>2023–24</v>
      </c>
      <c r="N6" s="182" t="str">
        <f>'Calc | CESS Revenue Increments'!H40</f>
        <v>2024–25</v>
      </c>
      <c r="O6" s="56" t="s">
        <v>87</v>
      </c>
      <c r="P6" s="134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4" t="s">
        <v>58</v>
      </c>
      <c r="E8" s="52" t="s">
        <v>50</v>
      </c>
      <c r="F8" s="183" t="str">
        <f>IF(LEN(J6)&gt;4,CONCATENATE(LEFT(J6,4)-1&amp;"–"&amp;IF(RIGHT(J6,2)="00","99",IF(RIGHT(J6,2)-1&lt;10,"0","")&amp;RIGHT(J6,2)-1)),J6-1)</f>
        <v>2019–20</v>
      </c>
      <c r="H8" s="55"/>
      <c r="I8" s="55"/>
      <c r="J8" s="131">
        <f>'Calc | CESS Revenue Increments'!D42</f>
        <v>-0.13457490399523109</v>
      </c>
      <c r="K8" s="131">
        <f>'Calc | CESS Revenue Increments'!E42</f>
        <v>-0.13457490399523109</v>
      </c>
      <c r="L8" s="131">
        <f>'Calc | CESS Revenue Increments'!F42</f>
        <v>-0.13457490399523109</v>
      </c>
      <c r="M8" s="131">
        <f>'Calc | CESS Revenue Increments'!G42</f>
        <v>-0.13457490399523109</v>
      </c>
      <c r="N8" s="131">
        <f>'Calc | CESS Revenue Increments'!H42</f>
        <v>-0.13457490399523109</v>
      </c>
      <c r="O8" s="60">
        <f>SUM(J8:N8)</f>
        <v>-0.67287451997615544</v>
      </c>
      <c r="P8" s="135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Goyal, Riya</cp:lastModifiedBy>
  <dcterms:created xsi:type="dcterms:W3CDTF">2017-09-22T02:00:05Z</dcterms:created>
  <dcterms:modified xsi:type="dcterms:W3CDTF">2019-08-19T03:35:26Z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</Properties>
</file>