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8_{24022029-2AF9-45BE-90EF-6E19F6532E94}" xr6:coauthVersionLast="47" xr6:coauthVersionMax="47" xr10:uidLastSave="{00000000-0000-0000-0000-000000000000}"/>
  <bookViews>
    <workbookView xWindow="-25320" yWindow="270" windowWidth="25440" windowHeight="15390" tabRatio="695" xr2:uid="{00000000-000D-0000-FFFF-FFFF00000000}"/>
  </bookViews>
  <sheets>
    <sheet name="Cover" sheetId="43" r:id="rId1"/>
    <sheet name="Index" sheetId="44" r:id="rId2"/>
    <sheet name="OVERVIEW -&gt;" sheetId="88" r:id="rId3"/>
    <sheet name="Structure" sheetId="89" r:id="rId4"/>
    <sheet name="Summary" sheetId="57" r:id="rId5"/>
    <sheet name="CHARTS -&gt;" sheetId="93" r:id="rId6"/>
    <sheet name="Res wo CL" sheetId="83" r:id="rId7"/>
    <sheet name="Res w CL" sheetId="102" r:id="rId8"/>
    <sheet name="DMO Zone prices -&gt;" sheetId="90" r:id="rId9"/>
    <sheet name="Ausgrid" sheetId="108" r:id="rId10"/>
    <sheet name="Endeavour" sheetId="111" r:id="rId11"/>
    <sheet name="Essential" sheetId="112" r:id="rId12"/>
    <sheet name="Energex" sheetId="113" r:id="rId13"/>
    <sheet name="SAPN" sheetId="114" r:id="rId14"/>
    <sheet name="COST CALCS -&gt;" sheetId="91" r:id="rId15"/>
    <sheet name="Network cost" sheetId="52" r:id="rId16"/>
    <sheet name="Wholesale cost" sheetId="66" r:id="rId17"/>
    <sheet name="Environmental cost" sheetId="68" r:id="rId18"/>
    <sheet name="Retail cost" sheetId="98" r:id="rId19"/>
    <sheet name="INPUTS -&gt;" sheetId="92" r:id="rId20"/>
    <sheet name="Key inputs" sheetId="78" r:id="rId21"/>
    <sheet name="Usage" sheetId="61" r:id="rId22"/>
    <sheet name="Detail inputs" sheetId="58" r:id="rId23"/>
  </sheets>
  <definedNames>
    <definedName name="_xlnm._FilterDatabase" localSheetId="22" hidden="1">'Detail inputs'!$B$3:$N$270</definedName>
    <definedName name="_xlnm._FilterDatabase" localSheetId="21" hidden="1">Usage!$B$4:$M$4</definedName>
    <definedName name="Allowance">'Key inputs'!#REF!</definedName>
    <definedName name="CPI">'Key inputs'!$C$9</definedName>
    <definedName name="Days">'Key inputs'!$C$10</definedName>
    <definedName name="FY">'Key inputs'!$C$6</definedName>
    <definedName name="GST">'Key inputs'!$C$11</definedName>
    <definedName name="PY">'Key inputs'!$C$7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1" i="98" l="1"/>
  <c r="N108" i="58"/>
  <c r="C9" i="78"/>
  <c r="F39" i="114"/>
  <c r="F32" i="114"/>
  <c r="AD29" i="114"/>
  <c r="AG25" i="114" s="1"/>
  <c r="AA29" i="114"/>
  <c r="AA25" i="114" s="1"/>
  <c r="U29" i="114"/>
  <c r="X25" i="114" s="1"/>
  <c r="R29" i="114"/>
  <c r="L29" i="114"/>
  <c r="I29" i="114"/>
  <c r="J25" i="114" s="1"/>
  <c r="AE25" i="114"/>
  <c r="AD25" i="114"/>
  <c r="AB25" i="114"/>
  <c r="S25" i="114"/>
  <c r="R25" i="114"/>
  <c r="O25" i="114"/>
  <c r="N25" i="114"/>
  <c r="M25" i="114"/>
  <c r="L25" i="114"/>
  <c r="I25" i="114"/>
  <c r="AG24" i="114"/>
  <c r="AF24" i="114"/>
  <c r="AE24" i="114"/>
  <c r="AD24" i="114"/>
  <c r="AB24" i="114"/>
  <c r="AA24" i="114"/>
  <c r="Z24" i="114"/>
  <c r="X24" i="114"/>
  <c r="W24" i="114"/>
  <c r="V24" i="114"/>
  <c r="U24" i="114"/>
  <c r="S24" i="114"/>
  <c r="R24" i="114"/>
  <c r="Q24" i="114"/>
  <c r="O24" i="114"/>
  <c r="N24" i="114"/>
  <c r="M24" i="114"/>
  <c r="L24" i="114"/>
  <c r="J24" i="114"/>
  <c r="I24" i="114"/>
  <c r="H24" i="114"/>
  <c r="AG23" i="114"/>
  <c r="AF23" i="114"/>
  <c r="AE23" i="114"/>
  <c r="AD23" i="114"/>
  <c r="AB23" i="114"/>
  <c r="AA23" i="114"/>
  <c r="Z23" i="114"/>
  <c r="X23" i="114"/>
  <c r="W23" i="114"/>
  <c r="V23" i="114"/>
  <c r="U23" i="114"/>
  <c r="S23" i="114"/>
  <c r="R23" i="114"/>
  <c r="Q23" i="114"/>
  <c r="O23" i="114"/>
  <c r="N23" i="114"/>
  <c r="M23" i="114"/>
  <c r="L23" i="114"/>
  <c r="J23" i="114"/>
  <c r="I23" i="114"/>
  <c r="H23" i="114"/>
  <c r="B16" i="114"/>
  <c r="B15" i="114"/>
  <c r="B9" i="114"/>
  <c r="B6" i="114"/>
  <c r="E3" i="114"/>
  <c r="D3" i="114"/>
  <c r="C3" i="114"/>
  <c r="F39" i="113"/>
  <c r="F32" i="113"/>
  <c r="AD29" i="113"/>
  <c r="AG25" i="113" s="1"/>
  <c r="AA29" i="113"/>
  <c r="AA25" i="113" s="1"/>
  <c r="U29" i="113"/>
  <c r="W25" i="113" s="1"/>
  <c r="R29" i="113"/>
  <c r="S25" i="113" s="1"/>
  <c r="L29" i="113"/>
  <c r="N25" i="113" s="1"/>
  <c r="I29" i="113"/>
  <c r="J25" i="113" s="1"/>
  <c r="AD25" i="113"/>
  <c r="AG24" i="113"/>
  <c r="AF24" i="113"/>
  <c r="AE24" i="113"/>
  <c r="AD24" i="113"/>
  <c r="AB24" i="113"/>
  <c r="AA24" i="113"/>
  <c r="Z24" i="113"/>
  <c r="X24" i="113"/>
  <c r="W24" i="113"/>
  <c r="V24" i="113"/>
  <c r="U24" i="113"/>
  <c r="S24" i="113"/>
  <c r="R24" i="113"/>
  <c r="Q24" i="113"/>
  <c r="O24" i="113"/>
  <c r="N24" i="113"/>
  <c r="M24" i="113"/>
  <c r="L24" i="113"/>
  <c r="J24" i="113"/>
  <c r="I24" i="113"/>
  <c r="H24" i="113"/>
  <c r="AG23" i="113"/>
  <c r="AF23" i="113"/>
  <c r="AE23" i="113"/>
  <c r="AD23" i="113"/>
  <c r="AB23" i="113"/>
  <c r="AA23" i="113"/>
  <c r="Z23" i="113"/>
  <c r="X23" i="113"/>
  <c r="W23" i="113"/>
  <c r="V23" i="113"/>
  <c r="U23" i="113"/>
  <c r="S23" i="113"/>
  <c r="R23" i="113"/>
  <c r="Q23" i="113"/>
  <c r="O23" i="113"/>
  <c r="N23" i="113"/>
  <c r="M23" i="113"/>
  <c r="L23" i="113"/>
  <c r="J23" i="113"/>
  <c r="I23" i="113"/>
  <c r="H23" i="113"/>
  <c r="B16" i="113"/>
  <c r="B15" i="113"/>
  <c r="B9" i="113"/>
  <c r="B6" i="113"/>
  <c r="E3" i="113"/>
  <c r="D3" i="113"/>
  <c r="C3" i="113"/>
  <c r="F39" i="112"/>
  <c r="F32" i="112"/>
  <c r="AD29" i="112"/>
  <c r="AG25" i="112" s="1"/>
  <c r="AA29" i="112"/>
  <c r="AA25" i="112" s="1"/>
  <c r="U29" i="112"/>
  <c r="V25" i="112" s="1"/>
  <c r="R29" i="112"/>
  <c r="S25" i="112" s="1"/>
  <c r="L29" i="112"/>
  <c r="L25" i="112" s="1"/>
  <c r="I29" i="112"/>
  <c r="J25" i="112" s="1"/>
  <c r="AB25" i="112"/>
  <c r="R25" i="112"/>
  <c r="AG24" i="112"/>
  <c r="AF24" i="112"/>
  <c r="AE24" i="112"/>
  <c r="AD24" i="112"/>
  <c r="AB24" i="112"/>
  <c r="AA24" i="112"/>
  <c r="Z24" i="112"/>
  <c r="X24" i="112"/>
  <c r="W24" i="112"/>
  <c r="V24" i="112"/>
  <c r="U24" i="112"/>
  <c r="S24" i="112"/>
  <c r="R24" i="112"/>
  <c r="Q24" i="112"/>
  <c r="O24" i="112"/>
  <c r="N24" i="112"/>
  <c r="M24" i="112"/>
  <c r="L24" i="112"/>
  <c r="J24" i="112"/>
  <c r="I24" i="112"/>
  <c r="H24" i="112"/>
  <c r="AG23" i="112"/>
  <c r="AF23" i="112"/>
  <c r="AE23" i="112"/>
  <c r="AD23" i="112"/>
  <c r="AB23" i="112"/>
  <c r="AA23" i="112"/>
  <c r="Z23" i="112"/>
  <c r="X23" i="112"/>
  <c r="W23" i="112"/>
  <c r="V23" i="112"/>
  <c r="U23" i="112"/>
  <c r="S23" i="112"/>
  <c r="R23" i="112"/>
  <c r="Q23" i="112"/>
  <c r="O23" i="112"/>
  <c r="N23" i="112"/>
  <c r="M23" i="112"/>
  <c r="L23" i="112"/>
  <c r="J23" i="112"/>
  <c r="I23" i="112"/>
  <c r="H23" i="112"/>
  <c r="B16" i="112"/>
  <c r="B15" i="112"/>
  <c r="B9" i="112"/>
  <c r="B6" i="112"/>
  <c r="E3" i="112"/>
  <c r="D3" i="112"/>
  <c r="C3" i="112"/>
  <c r="F39" i="111"/>
  <c r="F32" i="111"/>
  <c r="AD29" i="111"/>
  <c r="AG25" i="111" s="1"/>
  <c r="AA29" i="111"/>
  <c r="AB25" i="111" s="1"/>
  <c r="U29" i="111"/>
  <c r="W25" i="111" s="1"/>
  <c r="R29" i="111"/>
  <c r="S25" i="111" s="1"/>
  <c r="L29" i="111"/>
  <c r="L25" i="111" s="1"/>
  <c r="I29" i="111"/>
  <c r="J25" i="111" s="1"/>
  <c r="X25" i="111"/>
  <c r="U25" i="111"/>
  <c r="AG24" i="111"/>
  <c r="AF24" i="111"/>
  <c r="AE24" i="111"/>
  <c r="AD24" i="111"/>
  <c r="AB24" i="111"/>
  <c r="AA24" i="111"/>
  <c r="Z24" i="111"/>
  <c r="X24" i="111"/>
  <c r="W24" i="111"/>
  <c r="V24" i="111"/>
  <c r="U24" i="111"/>
  <c r="S24" i="111"/>
  <c r="R24" i="111"/>
  <c r="Q24" i="111"/>
  <c r="O24" i="111"/>
  <c r="N24" i="111"/>
  <c r="M24" i="111"/>
  <c r="L24" i="111"/>
  <c r="J24" i="111"/>
  <c r="I24" i="111"/>
  <c r="H24" i="111"/>
  <c r="AG23" i="111"/>
  <c r="AF23" i="111"/>
  <c r="AE23" i="111"/>
  <c r="AD23" i="111"/>
  <c r="AB23" i="111"/>
  <c r="AA23" i="111"/>
  <c r="Z23" i="111"/>
  <c r="X23" i="111"/>
  <c r="W23" i="111"/>
  <c r="V23" i="111"/>
  <c r="U23" i="111"/>
  <c r="S23" i="111"/>
  <c r="R23" i="111"/>
  <c r="Q23" i="111"/>
  <c r="O23" i="111"/>
  <c r="N23" i="111"/>
  <c r="M23" i="111"/>
  <c r="L23" i="111"/>
  <c r="J23" i="111"/>
  <c r="I23" i="111"/>
  <c r="H23" i="111"/>
  <c r="B16" i="111"/>
  <c r="B15" i="111"/>
  <c r="B9" i="111"/>
  <c r="B6" i="111"/>
  <c r="E12" i="111" s="1" a="1"/>
  <c r="E12" i="111" s="1"/>
  <c r="E11" i="111" s="1"/>
  <c r="E3" i="111"/>
  <c r="D3" i="111"/>
  <c r="C3" i="111"/>
  <c r="E12" i="114" l="1" a="1"/>
  <c r="E12" i="114" s="1"/>
  <c r="E11" i="114" s="1"/>
  <c r="M25" i="113"/>
  <c r="O25" i="113"/>
  <c r="U25" i="114"/>
  <c r="AF25" i="114"/>
  <c r="L25" i="113"/>
  <c r="R25" i="113"/>
  <c r="V25" i="114"/>
  <c r="W25" i="112"/>
  <c r="W25" i="114"/>
  <c r="X25" i="112"/>
  <c r="AB25" i="113"/>
  <c r="X25" i="113"/>
  <c r="AD25" i="112"/>
  <c r="E12" i="113" a="1"/>
  <c r="E12" i="113" s="1"/>
  <c r="E11" i="113" s="1"/>
  <c r="AE25" i="113"/>
  <c r="I25" i="113"/>
  <c r="U25" i="113"/>
  <c r="AF25" i="113"/>
  <c r="V25" i="113"/>
  <c r="AA25" i="111"/>
  <c r="E12" i="112" a="1"/>
  <c r="E12" i="112" s="1"/>
  <c r="E11" i="112" s="1"/>
  <c r="N25" i="112"/>
  <c r="M25" i="112"/>
  <c r="O25" i="112"/>
  <c r="AE25" i="112"/>
  <c r="I25" i="112"/>
  <c r="U25" i="112"/>
  <c r="AF25" i="112"/>
  <c r="I25" i="111"/>
  <c r="M25" i="111"/>
  <c r="N25" i="111"/>
  <c r="O25" i="111"/>
  <c r="R25" i="111"/>
  <c r="AD25" i="111"/>
  <c r="AF25" i="111"/>
  <c r="AE25" i="111"/>
  <c r="V25" i="111"/>
  <c r="F39" i="108" l="1"/>
  <c r="F32" i="108"/>
  <c r="AD29" i="108"/>
  <c r="AG25" i="108" s="1"/>
  <c r="AA29" i="108"/>
  <c r="AB25" i="108" s="1"/>
  <c r="U29" i="108"/>
  <c r="X25" i="108" s="1"/>
  <c r="R29" i="108"/>
  <c r="S25" i="108" s="1"/>
  <c r="L29" i="108"/>
  <c r="O25" i="108" s="1"/>
  <c r="I29" i="108"/>
  <c r="J25" i="108" s="1"/>
  <c r="AG24" i="108"/>
  <c r="AF24" i="108"/>
  <c r="AE24" i="108"/>
  <c r="AD24" i="108"/>
  <c r="AB24" i="108"/>
  <c r="AA24" i="108"/>
  <c r="Z24" i="108"/>
  <c r="X24" i="108"/>
  <c r="W24" i="108"/>
  <c r="V24" i="108"/>
  <c r="U24" i="108"/>
  <c r="S24" i="108"/>
  <c r="R24" i="108"/>
  <c r="Q24" i="108"/>
  <c r="O24" i="108"/>
  <c r="N24" i="108"/>
  <c r="M24" i="108"/>
  <c r="L24" i="108"/>
  <c r="J24" i="108"/>
  <c r="I24" i="108"/>
  <c r="H24" i="108"/>
  <c r="AG23" i="108"/>
  <c r="AF23" i="108"/>
  <c r="AE23" i="108"/>
  <c r="AD23" i="108"/>
  <c r="AB23" i="108"/>
  <c r="AA23" i="108"/>
  <c r="Z23" i="108"/>
  <c r="X23" i="108"/>
  <c r="W23" i="108"/>
  <c r="V23" i="108"/>
  <c r="U23" i="108"/>
  <c r="S23" i="108"/>
  <c r="R23" i="108"/>
  <c r="Q23" i="108"/>
  <c r="O23" i="108"/>
  <c r="N23" i="108"/>
  <c r="M23" i="108"/>
  <c r="L23" i="108"/>
  <c r="J23" i="108"/>
  <c r="I23" i="108"/>
  <c r="H23" i="108"/>
  <c r="B16" i="108"/>
  <c r="B15" i="108"/>
  <c r="E12" i="108" a="1"/>
  <c r="E12" i="108" s="1"/>
  <c r="E11" i="108" s="1"/>
  <c r="B9" i="108"/>
  <c r="B6" i="108"/>
  <c r="E3" i="108"/>
  <c r="D3" i="108"/>
  <c r="C3" i="108"/>
  <c r="I25" i="108" l="1"/>
  <c r="AE25" i="108"/>
  <c r="AA25" i="108"/>
  <c r="L25" i="108"/>
  <c r="M25" i="108"/>
  <c r="N25" i="108"/>
  <c r="R25" i="108"/>
  <c r="AD25" i="108"/>
  <c r="U25" i="108"/>
  <c r="AF25" i="108"/>
  <c r="V25" i="108"/>
  <c r="W25" i="108"/>
  <c r="N43" i="58" l="1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9" i="58"/>
  <c r="N110" i="58"/>
  <c r="N111" i="58"/>
  <c r="N112" i="58"/>
  <c r="N113" i="58"/>
  <c r="N114" i="58"/>
  <c r="N115" i="58"/>
  <c r="B18" i="98"/>
  <c r="B10" i="52"/>
  <c r="B11" i="52"/>
  <c r="B12" i="52"/>
  <c r="B13" i="52"/>
  <c r="C128" i="52"/>
  <c r="D128" i="52"/>
  <c r="C129" i="52"/>
  <c r="D129" i="52"/>
  <c r="C130" i="52"/>
  <c r="D130" i="52"/>
  <c r="C131" i="52"/>
  <c r="D131" i="52"/>
  <c r="C132" i="52"/>
  <c r="D132" i="52"/>
  <c r="C133" i="52"/>
  <c r="D133" i="52"/>
  <c r="C134" i="52"/>
  <c r="D134" i="52"/>
  <c r="C135" i="52"/>
  <c r="D135" i="52"/>
  <c r="C136" i="52"/>
  <c r="D136" i="52"/>
  <c r="B128" i="52"/>
  <c r="B129" i="52"/>
  <c r="B130" i="52"/>
  <c r="B131" i="52"/>
  <c r="B132" i="52"/>
  <c r="B133" i="52"/>
  <c r="B134" i="52"/>
  <c r="B135" i="52"/>
  <c r="B136" i="52"/>
  <c r="C121" i="52"/>
  <c r="D121" i="52"/>
  <c r="C122" i="52"/>
  <c r="D122" i="52"/>
  <c r="C123" i="52"/>
  <c r="D123" i="52"/>
  <c r="C124" i="52"/>
  <c r="D124" i="52"/>
  <c r="C125" i="52"/>
  <c r="D125" i="52"/>
  <c r="B121" i="52"/>
  <c r="B122" i="52"/>
  <c r="B123" i="52"/>
  <c r="B124" i="52"/>
  <c r="B125" i="52"/>
  <c r="C114" i="52"/>
  <c r="D114" i="52"/>
  <c r="C115" i="52"/>
  <c r="D115" i="52"/>
  <c r="C116" i="52"/>
  <c r="D116" i="52"/>
  <c r="C117" i="52"/>
  <c r="D117" i="52"/>
  <c r="C118" i="52"/>
  <c r="D118" i="52"/>
  <c r="B114" i="52"/>
  <c r="B115" i="52"/>
  <c r="B116" i="52"/>
  <c r="B117" i="52"/>
  <c r="B118" i="52"/>
  <c r="C100" i="52"/>
  <c r="D100" i="52"/>
  <c r="C101" i="52"/>
  <c r="D101" i="52"/>
  <c r="C102" i="52"/>
  <c r="D102" i="52"/>
  <c r="C103" i="52"/>
  <c r="D103" i="52"/>
  <c r="C104" i="52"/>
  <c r="D104" i="52"/>
  <c r="C105" i="52"/>
  <c r="D105" i="52"/>
  <c r="C106" i="52"/>
  <c r="D106" i="52"/>
  <c r="C107" i="52"/>
  <c r="D107" i="52"/>
  <c r="C108" i="52"/>
  <c r="D108" i="52"/>
  <c r="C109" i="52"/>
  <c r="D109" i="52"/>
  <c r="C110" i="52"/>
  <c r="D110" i="52"/>
  <c r="C111" i="52"/>
  <c r="D111" i="52"/>
  <c r="B100" i="52"/>
  <c r="B101" i="52"/>
  <c r="B102" i="52"/>
  <c r="B103" i="52"/>
  <c r="B104" i="52"/>
  <c r="B105" i="52"/>
  <c r="B106" i="52"/>
  <c r="B107" i="52"/>
  <c r="B108" i="52"/>
  <c r="B109" i="52"/>
  <c r="B110" i="52"/>
  <c r="B111" i="52"/>
  <c r="C93" i="52"/>
  <c r="D93" i="52"/>
  <c r="C94" i="52"/>
  <c r="D94" i="52"/>
  <c r="C95" i="52"/>
  <c r="D95" i="52"/>
  <c r="C96" i="52"/>
  <c r="D96" i="52"/>
  <c r="C97" i="52"/>
  <c r="D97" i="52"/>
  <c r="B93" i="52"/>
  <c r="B94" i="52"/>
  <c r="B95" i="52"/>
  <c r="B96" i="52"/>
  <c r="B97" i="52"/>
  <c r="C86" i="52"/>
  <c r="D86" i="52"/>
  <c r="C87" i="52"/>
  <c r="D87" i="52"/>
  <c r="C88" i="52"/>
  <c r="D88" i="52"/>
  <c r="C89" i="52"/>
  <c r="D89" i="52"/>
  <c r="C90" i="52"/>
  <c r="D90" i="52"/>
  <c r="B86" i="52"/>
  <c r="B87" i="52"/>
  <c r="B88" i="52"/>
  <c r="B89" i="52"/>
  <c r="B90" i="52"/>
  <c r="C72" i="52"/>
  <c r="D72" i="52"/>
  <c r="C73" i="52"/>
  <c r="D73" i="52"/>
  <c r="C74" i="52"/>
  <c r="D74" i="52"/>
  <c r="C75" i="52"/>
  <c r="D75" i="52"/>
  <c r="C76" i="52"/>
  <c r="D76" i="52"/>
  <c r="C77" i="52"/>
  <c r="D77" i="52"/>
  <c r="C78" i="52"/>
  <c r="D78" i="52"/>
  <c r="C79" i="52"/>
  <c r="D79" i="52"/>
  <c r="C80" i="52"/>
  <c r="D80" i="52"/>
  <c r="C81" i="52"/>
  <c r="D81" i="52"/>
  <c r="C82" i="52"/>
  <c r="D82" i="52"/>
  <c r="C83" i="52"/>
  <c r="D83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C65" i="52"/>
  <c r="D65" i="52"/>
  <c r="C66" i="52"/>
  <c r="D66" i="52"/>
  <c r="C67" i="52"/>
  <c r="D67" i="52"/>
  <c r="C68" i="52"/>
  <c r="D68" i="52"/>
  <c r="C69" i="52"/>
  <c r="D69" i="52"/>
  <c r="B65" i="52"/>
  <c r="B66" i="52"/>
  <c r="B67" i="52"/>
  <c r="B68" i="52"/>
  <c r="B69" i="52"/>
  <c r="C58" i="52"/>
  <c r="D58" i="52"/>
  <c r="C59" i="52"/>
  <c r="D59" i="52"/>
  <c r="C60" i="52"/>
  <c r="D60" i="52"/>
  <c r="C61" i="52"/>
  <c r="D61" i="52"/>
  <c r="C62" i="52"/>
  <c r="D62" i="52"/>
  <c r="B58" i="52"/>
  <c r="B59" i="52"/>
  <c r="B60" i="52"/>
  <c r="B61" i="52"/>
  <c r="B62" i="52"/>
  <c r="C44" i="52"/>
  <c r="D44" i="52"/>
  <c r="C45" i="52"/>
  <c r="D45" i="52"/>
  <c r="C46" i="52"/>
  <c r="D46" i="52"/>
  <c r="C47" i="52"/>
  <c r="D47" i="52"/>
  <c r="C48" i="52"/>
  <c r="D48" i="52"/>
  <c r="C49" i="52"/>
  <c r="D49" i="52"/>
  <c r="C50" i="52"/>
  <c r="D50" i="52"/>
  <c r="C51" i="52"/>
  <c r="D51" i="52"/>
  <c r="C52" i="52"/>
  <c r="D52" i="52"/>
  <c r="C53" i="52"/>
  <c r="D53" i="52"/>
  <c r="C54" i="52"/>
  <c r="D54" i="52"/>
  <c r="C55" i="52"/>
  <c r="D55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C37" i="52"/>
  <c r="D37" i="52"/>
  <c r="C38" i="52"/>
  <c r="D38" i="52"/>
  <c r="C39" i="52"/>
  <c r="D39" i="52"/>
  <c r="C40" i="52"/>
  <c r="D40" i="52"/>
  <c r="C41" i="52"/>
  <c r="D41" i="52"/>
  <c r="B37" i="52"/>
  <c r="B38" i="52"/>
  <c r="B39" i="52"/>
  <c r="B40" i="52"/>
  <c r="B41" i="52"/>
  <c r="C30" i="52"/>
  <c r="D30" i="52"/>
  <c r="C31" i="52"/>
  <c r="D31" i="52"/>
  <c r="C32" i="52"/>
  <c r="D32" i="52"/>
  <c r="C33" i="52"/>
  <c r="D33" i="52"/>
  <c r="C34" i="52"/>
  <c r="D34" i="52"/>
  <c r="B30" i="52"/>
  <c r="B31" i="52"/>
  <c r="B32" i="52"/>
  <c r="B33" i="52"/>
  <c r="B34" i="52"/>
  <c r="C16" i="52"/>
  <c r="D16" i="52"/>
  <c r="C17" i="52"/>
  <c r="D17" i="52"/>
  <c r="C18" i="52"/>
  <c r="D18" i="52"/>
  <c r="C19" i="52"/>
  <c r="D19" i="52"/>
  <c r="C20" i="52"/>
  <c r="D20" i="52"/>
  <c r="C21" i="52"/>
  <c r="D21" i="52"/>
  <c r="C22" i="52"/>
  <c r="D22" i="52"/>
  <c r="C23" i="52"/>
  <c r="D23" i="52"/>
  <c r="C24" i="52"/>
  <c r="D24" i="52"/>
  <c r="C25" i="52"/>
  <c r="D25" i="52"/>
  <c r="C26" i="52"/>
  <c r="D26" i="52"/>
  <c r="C27" i="52"/>
  <c r="D27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C10" i="52"/>
  <c r="D10" i="52"/>
  <c r="C11" i="52"/>
  <c r="D11" i="52"/>
  <c r="C12" i="52"/>
  <c r="D12" i="52"/>
  <c r="C13" i="52"/>
  <c r="D13" i="52"/>
  <c r="C9" i="52"/>
  <c r="D9" i="52"/>
  <c r="B9" i="52"/>
  <c r="E18" i="78" l="1"/>
  <c r="C174" i="58"/>
  <c r="C160" i="58"/>
  <c r="C161" i="58"/>
  <c r="C162" i="58"/>
  <c r="C163" i="58"/>
  <c r="C164" i="58"/>
  <c r="C165" i="58"/>
  <c r="C166" i="58"/>
  <c r="C167" i="58"/>
  <c r="C168" i="58"/>
  <c r="C169" i="58"/>
  <c r="C170" i="58"/>
  <c r="C171" i="58"/>
  <c r="C172" i="58"/>
  <c r="C173" i="58"/>
  <c r="B9" i="78" l="1"/>
  <c r="N23" i="58" l="1"/>
  <c r="N24" i="58"/>
  <c r="B80" i="102" l="1"/>
  <c r="B79" i="102"/>
  <c r="B78" i="102"/>
  <c r="A77" i="102"/>
  <c r="B70" i="102"/>
  <c r="A69" i="102"/>
  <c r="B62" i="102"/>
  <c r="A61" i="102"/>
  <c r="B57" i="102"/>
  <c r="B56" i="102"/>
  <c r="B55" i="102"/>
  <c r="B54" i="102"/>
  <c r="A53" i="102"/>
  <c r="B46" i="102"/>
  <c r="B47" i="102" s="1"/>
  <c r="A45" i="102"/>
  <c r="K44" i="102"/>
  <c r="D44" i="102"/>
  <c r="B82" i="83"/>
  <c r="B75" i="83"/>
  <c r="B67" i="83"/>
  <c r="B59" i="83"/>
  <c r="B51" i="83"/>
  <c r="B58" i="102" l="1"/>
  <c r="B59" i="102"/>
  <c r="B48" i="102"/>
  <c r="B49" i="102"/>
  <c r="B81" i="102"/>
  <c r="B63" i="102"/>
  <c r="B71" i="102"/>
  <c r="B36" i="98"/>
  <c r="B37" i="98" s="1"/>
  <c r="B27" i="98"/>
  <c r="B28" i="98" s="1"/>
  <c r="B117" i="98"/>
  <c r="B118" i="98" s="1"/>
  <c r="D135" i="98"/>
  <c r="D136" i="98" s="1"/>
  <c r="D137" i="98" s="1"/>
  <c r="D138" i="98" s="1"/>
  <c r="D139" i="98" s="1"/>
  <c r="D140" i="98" s="1"/>
  <c r="D141" i="98" s="1"/>
  <c r="C135" i="98"/>
  <c r="C136" i="98" s="1"/>
  <c r="C137" i="98" s="1"/>
  <c r="C138" i="98" s="1"/>
  <c r="C139" i="98" s="1"/>
  <c r="C140" i="98" s="1"/>
  <c r="C141" i="98" s="1"/>
  <c r="B135" i="98"/>
  <c r="D126" i="98"/>
  <c r="D127" i="98" s="1"/>
  <c r="D128" i="98" s="1"/>
  <c r="D129" i="98" s="1"/>
  <c r="D130" i="98" s="1"/>
  <c r="D131" i="98" s="1"/>
  <c r="D132" i="98" s="1"/>
  <c r="D133" i="98" s="1"/>
  <c r="C126" i="98"/>
  <c r="C127" i="98" s="1"/>
  <c r="C128" i="98" s="1"/>
  <c r="C129" i="98" s="1"/>
  <c r="C130" i="98" s="1"/>
  <c r="C131" i="98" s="1"/>
  <c r="C132" i="98" s="1"/>
  <c r="C133" i="98" s="1"/>
  <c r="B126" i="98"/>
  <c r="B127" i="98" s="1"/>
  <c r="D117" i="98"/>
  <c r="D118" i="98" s="1"/>
  <c r="D119" i="98" s="1"/>
  <c r="D120" i="98" s="1"/>
  <c r="D121" i="98" s="1"/>
  <c r="D122" i="98" s="1"/>
  <c r="D123" i="98" s="1"/>
  <c r="D124" i="98" s="1"/>
  <c r="C117" i="98"/>
  <c r="C118" i="98" s="1"/>
  <c r="C119" i="98" s="1"/>
  <c r="C120" i="98" s="1"/>
  <c r="C121" i="98" s="1"/>
  <c r="C122" i="98" s="1"/>
  <c r="C123" i="98" s="1"/>
  <c r="C124" i="98" s="1"/>
  <c r="D108" i="98"/>
  <c r="D109" i="98" s="1"/>
  <c r="D110" i="98" s="1"/>
  <c r="D111" i="98" s="1"/>
  <c r="D112" i="98" s="1"/>
  <c r="D113" i="98" s="1"/>
  <c r="D114" i="98" s="1"/>
  <c r="D115" i="98" s="1"/>
  <c r="C108" i="98"/>
  <c r="C109" i="98" s="1"/>
  <c r="C110" i="98" s="1"/>
  <c r="C111" i="98" s="1"/>
  <c r="C112" i="98" s="1"/>
  <c r="C113" i="98" s="1"/>
  <c r="C114" i="98" s="1"/>
  <c r="C115" i="98" s="1"/>
  <c r="B108" i="98"/>
  <c r="B109" i="98" s="1"/>
  <c r="D99" i="98"/>
  <c r="D100" i="98" s="1"/>
  <c r="D101" i="98" s="1"/>
  <c r="D102" i="98" s="1"/>
  <c r="D103" i="98" s="1"/>
  <c r="D104" i="98" s="1"/>
  <c r="D105" i="98" s="1"/>
  <c r="D106" i="98" s="1"/>
  <c r="C99" i="98"/>
  <c r="C100" i="98" s="1"/>
  <c r="C101" i="98" s="1"/>
  <c r="C102" i="98" s="1"/>
  <c r="C103" i="98" s="1"/>
  <c r="C104" i="98" s="1"/>
  <c r="C105" i="98" s="1"/>
  <c r="C106" i="98" s="1"/>
  <c r="B99" i="98"/>
  <c r="B100" i="98" s="1"/>
  <c r="D90" i="98"/>
  <c r="D91" i="98" s="1"/>
  <c r="D92" i="98" s="1"/>
  <c r="D93" i="98" s="1"/>
  <c r="D94" i="98" s="1"/>
  <c r="D95" i="98" s="1"/>
  <c r="D96" i="98" s="1"/>
  <c r="D97" i="98" s="1"/>
  <c r="C90" i="98"/>
  <c r="C91" i="98" s="1"/>
  <c r="C92" i="98" s="1"/>
  <c r="C93" i="98" s="1"/>
  <c r="C94" i="98" s="1"/>
  <c r="C95" i="98" s="1"/>
  <c r="C96" i="98" s="1"/>
  <c r="C97" i="98" s="1"/>
  <c r="B90" i="98"/>
  <c r="B91" i="98" s="1"/>
  <c r="D81" i="98"/>
  <c r="D82" i="98" s="1"/>
  <c r="D83" i="98" s="1"/>
  <c r="D84" i="98" s="1"/>
  <c r="D85" i="98" s="1"/>
  <c r="D86" i="98" s="1"/>
  <c r="D87" i="98" s="1"/>
  <c r="D88" i="98" s="1"/>
  <c r="C81" i="98"/>
  <c r="C82" i="98" s="1"/>
  <c r="C83" i="98" s="1"/>
  <c r="C84" i="98" s="1"/>
  <c r="C85" i="98" s="1"/>
  <c r="C86" i="98" s="1"/>
  <c r="C87" i="98" s="1"/>
  <c r="C88" i="98" s="1"/>
  <c r="B81" i="98"/>
  <c r="B82" i="98" s="1"/>
  <c r="D72" i="98"/>
  <c r="D73" i="98" s="1"/>
  <c r="D74" i="98" s="1"/>
  <c r="D75" i="98" s="1"/>
  <c r="D76" i="98" s="1"/>
  <c r="D77" i="98" s="1"/>
  <c r="D78" i="98" s="1"/>
  <c r="D79" i="98" s="1"/>
  <c r="C72" i="98"/>
  <c r="C73" i="98" s="1"/>
  <c r="C74" i="98" s="1"/>
  <c r="C75" i="98" s="1"/>
  <c r="C76" i="98" s="1"/>
  <c r="C77" i="98" s="1"/>
  <c r="C78" i="98" s="1"/>
  <c r="C79" i="98" s="1"/>
  <c r="B72" i="98"/>
  <c r="B73" i="98" s="1"/>
  <c r="D63" i="98"/>
  <c r="D64" i="98" s="1"/>
  <c r="D65" i="98" s="1"/>
  <c r="D66" i="98" s="1"/>
  <c r="D67" i="98" s="1"/>
  <c r="D68" i="98" s="1"/>
  <c r="D69" i="98" s="1"/>
  <c r="D70" i="98" s="1"/>
  <c r="C63" i="98"/>
  <c r="C64" i="98" s="1"/>
  <c r="C65" i="98" s="1"/>
  <c r="C66" i="98" s="1"/>
  <c r="C67" i="98" s="1"/>
  <c r="C68" i="98" s="1"/>
  <c r="C69" i="98" s="1"/>
  <c r="C70" i="98" s="1"/>
  <c r="B63" i="98"/>
  <c r="B64" i="98" s="1"/>
  <c r="D54" i="98"/>
  <c r="D55" i="98" s="1"/>
  <c r="D56" i="98" s="1"/>
  <c r="D57" i="98" s="1"/>
  <c r="D58" i="98" s="1"/>
  <c r="D59" i="98" s="1"/>
  <c r="D60" i="98" s="1"/>
  <c r="D61" i="98" s="1"/>
  <c r="C54" i="98"/>
  <c r="C55" i="98" s="1"/>
  <c r="C56" i="98" s="1"/>
  <c r="C57" i="98" s="1"/>
  <c r="C58" i="98" s="1"/>
  <c r="C59" i="98" s="1"/>
  <c r="C60" i="98" s="1"/>
  <c r="C61" i="98" s="1"/>
  <c r="B54" i="98"/>
  <c r="B55" i="98" s="1"/>
  <c r="D45" i="98"/>
  <c r="D46" i="98" s="1"/>
  <c r="D47" i="98" s="1"/>
  <c r="D48" i="98" s="1"/>
  <c r="D49" i="98" s="1"/>
  <c r="D50" i="98" s="1"/>
  <c r="D51" i="98" s="1"/>
  <c r="D52" i="98" s="1"/>
  <c r="C45" i="98"/>
  <c r="C46" i="98" s="1"/>
  <c r="C47" i="98" s="1"/>
  <c r="C48" i="98" s="1"/>
  <c r="C49" i="98" s="1"/>
  <c r="C50" i="98" s="1"/>
  <c r="C51" i="98" s="1"/>
  <c r="C52" i="98" s="1"/>
  <c r="B45" i="98"/>
  <c r="B46" i="98" s="1"/>
  <c r="D36" i="98"/>
  <c r="D37" i="98" s="1"/>
  <c r="D38" i="98" s="1"/>
  <c r="D39" i="98" s="1"/>
  <c r="D40" i="98" s="1"/>
  <c r="D41" i="98" s="1"/>
  <c r="D42" i="98" s="1"/>
  <c r="D43" i="98" s="1"/>
  <c r="C36" i="98"/>
  <c r="C37" i="98" s="1"/>
  <c r="C38" i="98" s="1"/>
  <c r="C39" i="98" s="1"/>
  <c r="C40" i="98" s="1"/>
  <c r="C41" i="98" s="1"/>
  <c r="C42" i="98" s="1"/>
  <c r="C43" i="98" s="1"/>
  <c r="D27" i="98"/>
  <c r="D28" i="98" s="1"/>
  <c r="D29" i="98" s="1"/>
  <c r="D30" i="98" s="1"/>
  <c r="D31" i="98" s="1"/>
  <c r="D32" i="98" s="1"/>
  <c r="D33" i="98" s="1"/>
  <c r="D34" i="98" s="1"/>
  <c r="C27" i="98"/>
  <c r="C28" i="98" s="1"/>
  <c r="C29" i="98" s="1"/>
  <c r="C30" i="98" s="1"/>
  <c r="C31" i="98" s="1"/>
  <c r="C32" i="98" s="1"/>
  <c r="C33" i="98" s="1"/>
  <c r="C34" i="98" s="1"/>
  <c r="D18" i="98"/>
  <c r="D19" i="98" s="1"/>
  <c r="D20" i="98" s="1"/>
  <c r="D21" i="98" s="1"/>
  <c r="D22" i="98" s="1"/>
  <c r="D23" i="98" s="1"/>
  <c r="D24" i="98" s="1"/>
  <c r="D25" i="98" s="1"/>
  <c r="C18" i="98"/>
  <c r="C19" i="98" s="1"/>
  <c r="C20" i="98" s="1"/>
  <c r="C21" i="98" s="1"/>
  <c r="C22" i="98" s="1"/>
  <c r="C23" i="98" s="1"/>
  <c r="C24" i="98" s="1"/>
  <c r="C25" i="98" s="1"/>
  <c r="B19" i="98"/>
  <c r="D9" i="98"/>
  <c r="D10" i="98" s="1"/>
  <c r="D11" i="98" s="1"/>
  <c r="D12" i="98" s="1"/>
  <c r="D13" i="98" s="1"/>
  <c r="D14" i="98" s="1"/>
  <c r="D15" i="98" s="1"/>
  <c r="D16" i="98" s="1"/>
  <c r="C9" i="98"/>
  <c r="C10" i="98" s="1"/>
  <c r="C11" i="98" s="1"/>
  <c r="C12" i="98" s="1"/>
  <c r="C13" i="98" s="1"/>
  <c r="C14" i="98" s="1"/>
  <c r="C15" i="98" s="1"/>
  <c r="C16" i="98" s="1"/>
  <c r="B9" i="98"/>
  <c r="B10" i="98" s="1"/>
  <c r="M4" i="98"/>
  <c r="O3" i="98"/>
  <c r="Q4" i="98" s="1"/>
  <c r="M3" i="98"/>
  <c r="H3" i="98"/>
  <c r="F4" i="98" s="1"/>
  <c r="D179" i="68"/>
  <c r="C179" i="68"/>
  <c r="B179" i="68"/>
  <c r="D168" i="68"/>
  <c r="C168" i="68"/>
  <c r="B168" i="68"/>
  <c r="D157" i="68"/>
  <c r="C157" i="68"/>
  <c r="B157" i="68"/>
  <c r="D117" i="68"/>
  <c r="C117" i="68"/>
  <c r="B117" i="68"/>
  <c r="D100" i="68"/>
  <c r="C100" i="68"/>
  <c r="B100" i="68"/>
  <c r="D89" i="68"/>
  <c r="C89" i="68"/>
  <c r="B89" i="68"/>
  <c r="D79" i="68"/>
  <c r="C79" i="68"/>
  <c r="B79" i="68"/>
  <c r="D62" i="68"/>
  <c r="C62" i="68"/>
  <c r="B62" i="68"/>
  <c r="D51" i="68"/>
  <c r="C51" i="68"/>
  <c r="B51" i="68"/>
  <c r="D41" i="68"/>
  <c r="C41" i="68"/>
  <c r="B41" i="68"/>
  <c r="D24" i="68"/>
  <c r="C24" i="68"/>
  <c r="B24" i="68"/>
  <c r="D13" i="68"/>
  <c r="C13" i="68"/>
  <c r="B13" i="68"/>
  <c r="B209" i="66"/>
  <c r="C209" i="66"/>
  <c r="D209" i="66"/>
  <c r="D196" i="66"/>
  <c r="C196" i="66"/>
  <c r="B196" i="66"/>
  <c r="B183" i="66"/>
  <c r="C183" i="66"/>
  <c r="D183" i="66"/>
  <c r="C115" i="58"/>
  <c r="C93" i="58"/>
  <c r="C72" i="58"/>
  <c r="C49" i="58"/>
  <c r="N22" i="58"/>
  <c r="N21" i="58"/>
  <c r="N26" i="58"/>
  <c r="C26" i="58"/>
  <c r="N25" i="58"/>
  <c r="N20" i="58"/>
  <c r="C105" i="58"/>
  <c r="B4" i="57"/>
  <c r="A2" i="57"/>
  <c r="C104" i="58"/>
  <c r="C61" i="58"/>
  <c r="C38" i="58"/>
  <c r="N38" i="58"/>
  <c r="C15" i="58"/>
  <c r="N15" i="58"/>
  <c r="K57" i="102" a="1"/>
  <c r="B11" i="98" l="1"/>
  <c r="F135" i="98" a="1"/>
  <c r="F135" i="98" s="1"/>
  <c r="B136" i="98"/>
  <c r="B92" i="98"/>
  <c r="F108" i="98" a="1"/>
  <c r="F108" i="98" s="1"/>
  <c r="B20" i="98"/>
  <c r="B74" i="98"/>
  <c r="B119" i="98"/>
  <c r="B101" i="98"/>
  <c r="F55" i="98" a="1"/>
  <c r="F55" i="98" s="1"/>
  <c r="B56" i="98"/>
  <c r="B128" i="98"/>
  <c r="B38" i="98"/>
  <c r="B65" i="98"/>
  <c r="B47" i="98"/>
  <c r="F82" i="98" a="1"/>
  <c r="F82" i="98" s="1"/>
  <c r="B83" i="98"/>
  <c r="F28" i="98" a="1"/>
  <c r="F28" i="98" s="1"/>
  <c r="B29" i="98"/>
  <c r="F109" i="98" a="1"/>
  <c r="F109" i="98" s="1"/>
  <c r="B110" i="98"/>
  <c r="K57" i="102"/>
  <c r="B50" i="102"/>
  <c r="B72" i="102"/>
  <c r="B73" i="102"/>
  <c r="B64" i="102"/>
  <c r="B65" i="102"/>
  <c r="B82" i="102"/>
  <c r="B60" i="102"/>
  <c r="B51" i="102"/>
  <c r="F81" i="98" a="1"/>
  <c r="F81" i="98" s="1"/>
  <c r="F54" i="98" a="1"/>
  <c r="F54" i="98" s="1"/>
  <c r="F27" i="98" a="1"/>
  <c r="F27" i="98" s="1"/>
  <c r="K4" i="98"/>
  <c r="O4" i="98"/>
  <c r="R4" i="98"/>
  <c r="H4" i="98"/>
  <c r="I4" i="98"/>
  <c r="J4" i="98"/>
  <c r="P4" i="98"/>
  <c r="K49" i="102" a="1"/>
  <c r="D59" i="102" a="1"/>
  <c r="F110" i="98" l="1" a="1"/>
  <c r="F110" i="98" s="1"/>
  <c r="B111" i="98"/>
  <c r="B48" i="98"/>
  <c r="B30" i="98"/>
  <c r="F29" i="98" a="1"/>
  <c r="F29" i="98" s="1"/>
  <c r="B93" i="98"/>
  <c r="B66" i="98"/>
  <c r="B75" i="98"/>
  <c r="F136" i="98" a="1"/>
  <c r="F136" i="98" s="1"/>
  <c r="B137" i="98"/>
  <c r="B84" i="98"/>
  <c r="F83" i="98" a="1"/>
  <c r="F83" i="98" s="1"/>
  <c r="B39" i="98"/>
  <c r="B57" i="98"/>
  <c r="F56" i="98" a="1"/>
  <c r="F56" i="98" s="1"/>
  <c r="B102" i="98"/>
  <c r="B21" i="98"/>
  <c r="B12" i="98"/>
  <c r="B129" i="98"/>
  <c r="B120" i="98"/>
  <c r="K49" i="102"/>
  <c r="D59" i="102"/>
  <c r="B83" i="102"/>
  <c r="B84" i="102"/>
  <c r="B67" i="102"/>
  <c r="B66" i="102"/>
  <c r="B52" i="102"/>
  <c r="B74" i="102"/>
  <c r="B75" i="102"/>
  <c r="F18" i="78"/>
  <c r="D51" i="102" a="1"/>
  <c r="K65" i="102" a="1"/>
  <c r="F57" i="98" l="1" a="1"/>
  <c r="F57" i="98" s="1"/>
  <c r="B58" i="98"/>
  <c r="B76" i="98"/>
  <c r="B130" i="98"/>
  <c r="B13" i="98"/>
  <c r="B138" i="98"/>
  <c r="F137" i="98" a="1"/>
  <c r="F137" i="98" s="1"/>
  <c r="B94" i="98"/>
  <c r="B22" i="98"/>
  <c r="B121" i="98"/>
  <c r="B103" i="98"/>
  <c r="B40" i="98"/>
  <c r="B49" i="98"/>
  <c r="F30" i="98" a="1"/>
  <c r="F30" i="98" s="1"/>
  <c r="B31" i="98"/>
  <c r="B67" i="98"/>
  <c r="B112" i="98"/>
  <c r="F111" i="98" a="1"/>
  <c r="F111" i="98" s="1"/>
  <c r="F84" i="98" a="1"/>
  <c r="F84" i="98" s="1"/>
  <c r="B85" i="98"/>
  <c r="D51" i="102"/>
  <c r="K65" i="102"/>
  <c r="B68" i="102"/>
  <c r="B76" i="102"/>
  <c r="D67" i="102" a="1"/>
  <c r="B113" i="98" l="1"/>
  <c r="B114" i="98" s="1"/>
  <c r="B115" i="98" s="1"/>
  <c r="F112" i="98" a="1"/>
  <c r="F112" i="98" s="1"/>
  <c r="B41" i="98"/>
  <c r="B42" i="98" s="1"/>
  <c r="B43" i="98" s="1"/>
  <c r="B104" i="98"/>
  <c r="B105" i="98" s="1"/>
  <c r="B106" i="98" s="1"/>
  <c r="B68" i="98"/>
  <c r="B69" i="98" s="1"/>
  <c r="B70" i="98" s="1"/>
  <c r="B32" i="98"/>
  <c r="B33" i="98" s="1"/>
  <c r="B34" i="98" s="1"/>
  <c r="F31" i="98" a="1"/>
  <c r="F31" i="98" s="1"/>
  <c r="B14" i="98"/>
  <c r="B15" i="98" s="1"/>
  <c r="B16" i="98" s="1"/>
  <c r="B131" i="98"/>
  <c r="B132" i="98" s="1"/>
  <c r="B133" i="98" s="1"/>
  <c r="B122" i="98"/>
  <c r="B123" i="98" s="1"/>
  <c r="B124" i="98" s="1"/>
  <c r="B95" i="98"/>
  <c r="B96" i="98" s="1"/>
  <c r="B97" i="98" s="1"/>
  <c r="B77" i="98"/>
  <c r="B78" i="98" s="1"/>
  <c r="B79" i="98" s="1"/>
  <c r="B50" i="98"/>
  <c r="B51" i="98" s="1"/>
  <c r="B52" i="98" s="1"/>
  <c r="F85" i="98" a="1"/>
  <c r="F85" i="98" s="1"/>
  <c r="B86" i="98"/>
  <c r="B87" i="98" s="1"/>
  <c r="B88" i="98" s="1"/>
  <c r="B23" i="98"/>
  <c r="B24" i="98" s="1"/>
  <c r="B25" i="98" s="1"/>
  <c r="B59" i="98"/>
  <c r="B60" i="98" s="1"/>
  <c r="B61" i="98" s="1"/>
  <c r="F58" i="98" a="1"/>
  <c r="F58" i="98" s="1"/>
  <c r="B139" i="98"/>
  <c r="F138" i="98" a="1"/>
  <c r="F138" i="98" s="1"/>
  <c r="D67" i="102"/>
  <c r="B140" i="98" l="1"/>
  <c r="B141" i="98" s="1"/>
  <c r="F139" i="98" a="1"/>
  <c r="F139" i="98" s="1"/>
  <c r="R16" i="78" l="1"/>
  <c r="Q16" i="78"/>
  <c r="P16" i="78"/>
  <c r="O16" i="78"/>
  <c r="F10" i="93"/>
  <c r="V4" i="57"/>
  <c r="L4" i="57"/>
  <c r="N193" i="58" l="1"/>
  <c r="N192" i="58"/>
  <c r="N191" i="58"/>
  <c r="N190" i="58"/>
  <c r="N189" i="58"/>
  <c r="N188" i="58"/>
  <c r="N187" i="58"/>
  <c r="N186" i="58"/>
  <c r="N185" i="58"/>
  <c r="N184" i="58"/>
  <c r="N183" i="58"/>
  <c r="N182" i="58"/>
  <c r="N181" i="58"/>
  <c r="N180" i="58"/>
  <c r="N179" i="58"/>
  <c r="N178" i="58"/>
  <c r="N177" i="58"/>
  <c r="N176" i="58"/>
  <c r="N175" i="58"/>
  <c r="N42" i="58"/>
  <c r="N41" i="58"/>
  <c r="N40" i="58"/>
  <c r="N39" i="58"/>
  <c r="N37" i="58"/>
  <c r="N36" i="58"/>
  <c r="N35" i="58"/>
  <c r="N34" i="58"/>
  <c r="N33" i="58"/>
  <c r="N32" i="58"/>
  <c r="N31" i="58"/>
  <c r="N30" i="58"/>
  <c r="N29" i="58"/>
  <c r="N28" i="58"/>
  <c r="N27" i="58"/>
  <c r="N19" i="58"/>
  <c r="N18" i="58"/>
  <c r="N17" i="58"/>
  <c r="N16" i="58"/>
  <c r="N14" i="58"/>
  <c r="N13" i="58"/>
  <c r="N12" i="58"/>
  <c r="N11" i="58"/>
  <c r="N10" i="58"/>
  <c r="N9" i="58"/>
  <c r="N8" i="58"/>
  <c r="N7" i="58"/>
  <c r="N6" i="58"/>
  <c r="N5" i="58"/>
  <c r="N4" i="58"/>
  <c r="C9" i="61" l="1"/>
  <c r="H17" i="78" l="1"/>
  <c r="G17" i="78"/>
  <c r="F17" i="78"/>
  <c r="E17" i="78"/>
  <c r="J17" i="78"/>
  <c r="I17" i="78"/>
  <c r="H18" i="78" l="1"/>
  <c r="G18" i="78"/>
  <c r="J18" i="78"/>
  <c r="I18" i="78"/>
  <c r="U9" i="57" l="1"/>
  <c r="U10" i="57" s="1"/>
  <c r="U11" i="57" s="1"/>
  <c r="U12" i="57" s="1"/>
  <c r="U13" i="57" s="1"/>
  <c r="U15" i="57"/>
  <c r="U16" i="57" s="1"/>
  <c r="U17" i="57" s="1"/>
  <c r="U18" i="57" s="1"/>
  <c r="U19" i="57" s="1"/>
  <c r="F11" i="43" l="1"/>
  <c r="A77" i="83" l="1"/>
  <c r="A69" i="83"/>
  <c r="A61" i="83"/>
  <c r="A53" i="83"/>
  <c r="A45" i="83"/>
  <c r="F10" i="92" l="1"/>
  <c r="F10" i="91"/>
  <c r="F10" i="90"/>
  <c r="F10" i="88"/>
  <c r="B23" i="44"/>
  <c r="B24" i="44" s="1"/>
  <c r="B25" i="44" s="1"/>
  <c r="B18" i="44"/>
  <c r="B19" i="44" s="1"/>
  <c r="B20" i="44" s="1"/>
  <c r="B21" i="44" s="1"/>
  <c r="B12" i="44"/>
  <c r="B13" i="44" s="1"/>
  <c r="B14" i="44" s="1"/>
  <c r="B15" i="44" s="1"/>
  <c r="B16" i="44" s="1"/>
  <c r="B8" i="44"/>
  <c r="B9" i="44" s="1"/>
  <c r="B10" i="44" s="1"/>
  <c r="B5" i="44"/>
  <c r="B6" i="44" s="1"/>
  <c r="T15" i="57" l="1"/>
  <c r="T9" i="57"/>
  <c r="L14" i="57"/>
  <c r="V14" i="57" s="1"/>
  <c r="L8" i="57"/>
  <c r="V8" i="57" s="1"/>
  <c r="T16" i="57" l="1"/>
  <c r="T10" i="57"/>
  <c r="M3" i="58"/>
  <c r="L3" i="58"/>
  <c r="T11" i="57" l="1"/>
  <c r="T17" i="57"/>
  <c r="T18" i="57" l="1"/>
  <c r="T12" i="57"/>
  <c r="T19" i="57" l="1"/>
  <c r="T13" i="57"/>
  <c r="K44" i="83" l="1"/>
  <c r="D44" i="83"/>
  <c r="C108" i="58" l="1"/>
  <c r="C107" i="58"/>
  <c r="C86" i="58"/>
  <c r="C85" i="58"/>
  <c r="C84" i="58"/>
  <c r="C65" i="58"/>
  <c r="C64" i="58"/>
  <c r="C63" i="58"/>
  <c r="C42" i="58"/>
  <c r="C41" i="58"/>
  <c r="C40" i="58"/>
  <c r="C19" i="58"/>
  <c r="C18" i="58"/>
  <c r="C17" i="58"/>
  <c r="B78" i="83" l="1"/>
  <c r="B70" i="83"/>
  <c r="B62" i="83"/>
  <c r="B54" i="83"/>
  <c r="B46" i="83"/>
  <c r="B47" i="83" s="1"/>
  <c r="B48" i="83" l="1"/>
  <c r="B50" i="83" s="1"/>
  <c r="B49" i="83"/>
  <c r="B55" i="83"/>
  <c r="B71" i="83"/>
  <c r="B79" i="83"/>
  <c r="B80" i="83" s="1"/>
  <c r="B63" i="83"/>
  <c r="B65" i="83" s="1"/>
  <c r="K65" i="83" a="1"/>
  <c r="K49" i="83" a="1"/>
  <c r="K65" i="83" l="1"/>
  <c r="K49" i="83"/>
  <c r="B72" i="83"/>
  <c r="B74" i="83" s="1"/>
  <c r="B73" i="83"/>
  <c r="B52" i="83"/>
  <c r="B83" i="83"/>
  <c r="B81" i="83"/>
  <c r="B56" i="83"/>
  <c r="B58" i="83" s="1"/>
  <c r="B57" i="83"/>
  <c r="B64" i="83"/>
  <c r="K57" i="83" a="1"/>
  <c r="K57" i="83" l="1"/>
  <c r="B60" i="83"/>
  <c r="B76" i="83"/>
  <c r="B84" i="83"/>
  <c r="B66" i="83"/>
  <c r="B68" i="83" l="1"/>
  <c r="N194" i="58" l="1"/>
  <c r="N195" i="58"/>
  <c r="N196" i="58"/>
  <c r="N197" i="58"/>
  <c r="N198" i="58"/>
  <c r="N199" i="58"/>
  <c r="N200" i="58"/>
  <c r="N201" i="58"/>
  <c r="N202" i="58"/>
  <c r="N203" i="58"/>
  <c r="N204" i="58"/>
  <c r="N205" i="58"/>
  <c r="N206" i="58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K81" i="102" a="1"/>
  <c r="K73" i="102" a="1"/>
  <c r="D75" i="102" a="1"/>
  <c r="K81" i="83" a="1"/>
  <c r="D83" i="102" a="1"/>
  <c r="K73" i="83" a="1"/>
  <c r="D75" i="102" l="1"/>
  <c r="K73" i="102"/>
  <c r="K73" i="83"/>
  <c r="D83" i="102"/>
  <c r="K81" i="102"/>
  <c r="K81" i="83"/>
  <c r="N17" i="78"/>
  <c r="M17" i="78"/>
  <c r="L17" i="78"/>
  <c r="K17" i="78"/>
  <c r="M3" i="68" l="1"/>
  <c r="M3" i="66"/>
  <c r="M3" i="52"/>
  <c r="F10" i="43"/>
  <c r="N18" i="78"/>
  <c r="M18" i="78"/>
  <c r="L18" i="78"/>
  <c r="K18" i="78"/>
  <c r="C159" i="58" l="1"/>
  <c r="C158" i="58"/>
  <c r="C157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C133" i="58"/>
  <c r="C132" i="58"/>
  <c r="C131" i="58"/>
  <c r="C130" i="58"/>
  <c r="C129" i="58"/>
  <c r="C128" i="58"/>
  <c r="C127" i="58"/>
  <c r="C126" i="58"/>
  <c r="C125" i="58"/>
  <c r="C124" i="58"/>
  <c r="C123" i="58"/>
  <c r="C122" i="58"/>
  <c r="C121" i="58"/>
  <c r="C120" i="58"/>
  <c r="C119" i="58"/>
  <c r="C118" i="58"/>
  <c r="C117" i="58"/>
  <c r="C116" i="58"/>
  <c r="C106" i="58"/>
  <c r="C103" i="58"/>
  <c r="C102" i="58"/>
  <c r="C101" i="58"/>
  <c r="C100" i="58"/>
  <c r="C99" i="58"/>
  <c r="C98" i="58"/>
  <c r="C97" i="58"/>
  <c r="C96" i="58"/>
  <c r="C95" i="58"/>
  <c r="C94" i="58"/>
  <c r="C83" i="58"/>
  <c r="C82" i="58"/>
  <c r="C81" i="58"/>
  <c r="C80" i="58"/>
  <c r="C79" i="58"/>
  <c r="C78" i="58"/>
  <c r="C77" i="58"/>
  <c r="C76" i="58"/>
  <c r="C75" i="58"/>
  <c r="C74" i="58"/>
  <c r="C73" i="58"/>
  <c r="C62" i="58"/>
  <c r="C60" i="58"/>
  <c r="C59" i="58"/>
  <c r="C58" i="58"/>
  <c r="C57" i="58"/>
  <c r="C56" i="58"/>
  <c r="C55" i="58"/>
  <c r="C54" i="58"/>
  <c r="C53" i="58"/>
  <c r="C52" i="58"/>
  <c r="C51" i="58"/>
  <c r="C50" i="58"/>
  <c r="C39" i="58"/>
  <c r="C37" i="58"/>
  <c r="C36" i="58"/>
  <c r="C35" i="58"/>
  <c r="C34" i="58"/>
  <c r="C33" i="58"/>
  <c r="C32" i="58"/>
  <c r="C31" i="58"/>
  <c r="C30" i="58"/>
  <c r="C29" i="58"/>
  <c r="C28" i="58"/>
  <c r="C27" i="58"/>
  <c r="C16" i="58"/>
  <c r="C14" i="58"/>
  <c r="C13" i="58"/>
  <c r="C12" i="58"/>
  <c r="C11" i="58"/>
  <c r="C10" i="58"/>
  <c r="C9" i="58"/>
  <c r="C8" i="58"/>
  <c r="C7" i="58"/>
  <c r="C6" i="58"/>
  <c r="C5" i="58"/>
  <c r="C4" i="58"/>
  <c r="D139" i="52" l="1"/>
  <c r="D140" i="52" s="1"/>
  <c r="D141" i="52" s="1"/>
  <c r="C139" i="52"/>
  <c r="C140" i="52" s="1"/>
  <c r="C141" i="52" s="1"/>
  <c r="D175" i="68"/>
  <c r="D176" i="68" s="1"/>
  <c r="D177" i="68" s="1"/>
  <c r="C175" i="68"/>
  <c r="C176" i="68" s="1"/>
  <c r="C177" i="68" s="1"/>
  <c r="B175" i="68"/>
  <c r="D163" i="68"/>
  <c r="D164" i="68" s="1"/>
  <c r="D165" i="68" s="1"/>
  <c r="D166" i="68" s="1"/>
  <c r="C163" i="68"/>
  <c r="C164" i="68" s="1"/>
  <c r="C165" i="68" s="1"/>
  <c r="C166" i="68" s="1"/>
  <c r="B163" i="68"/>
  <c r="B164" i="68" s="1"/>
  <c r="D153" i="68"/>
  <c r="D154" i="68" s="1"/>
  <c r="D155" i="68" s="1"/>
  <c r="C153" i="68"/>
  <c r="C154" i="68" s="1"/>
  <c r="C155" i="68" s="1"/>
  <c r="B153" i="68"/>
  <c r="D145" i="68"/>
  <c r="D146" i="68" s="1"/>
  <c r="D147" i="68" s="1"/>
  <c r="D148" i="68" s="1"/>
  <c r="D149" i="68" s="1"/>
  <c r="D150" i="68" s="1"/>
  <c r="C145" i="68"/>
  <c r="C146" i="68" s="1"/>
  <c r="C147" i="68" s="1"/>
  <c r="C148" i="68" s="1"/>
  <c r="C149" i="68" s="1"/>
  <c r="C150" i="68" s="1"/>
  <c r="B145" i="68"/>
  <c r="D131" i="68"/>
  <c r="D132" i="68" s="1"/>
  <c r="D133" i="68" s="1"/>
  <c r="D134" i="68" s="1"/>
  <c r="D135" i="68" s="1"/>
  <c r="D136" i="68" s="1"/>
  <c r="D137" i="68" s="1"/>
  <c r="D138" i="68" s="1"/>
  <c r="D139" i="68" s="1"/>
  <c r="D140" i="68" s="1"/>
  <c r="D141" i="68" s="1"/>
  <c r="D142" i="68" s="1"/>
  <c r="C131" i="68"/>
  <c r="C132" i="68" s="1"/>
  <c r="C133" i="68" s="1"/>
  <c r="C134" i="68" s="1"/>
  <c r="C135" i="68" s="1"/>
  <c r="C136" i="68" s="1"/>
  <c r="C137" i="68" s="1"/>
  <c r="C138" i="68" s="1"/>
  <c r="C139" i="68" s="1"/>
  <c r="C140" i="68" s="1"/>
  <c r="C141" i="68" s="1"/>
  <c r="C142" i="68" s="1"/>
  <c r="B131" i="68"/>
  <c r="B132" i="68" s="1"/>
  <c r="D123" i="68"/>
  <c r="D124" i="68" s="1"/>
  <c r="D125" i="68" s="1"/>
  <c r="D126" i="68" s="1"/>
  <c r="D127" i="68" s="1"/>
  <c r="D128" i="68" s="1"/>
  <c r="C123" i="68"/>
  <c r="C124" i="68" s="1"/>
  <c r="C125" i="68" s="1"/>
  <c r="C126" i="68" s="1"/>
  <c r="C127" i="68" s="1"/>
  <c r="C128" i="68" s="1"/>
  <c r="B123" i="68"/>
  <c r="D113" i="68"/>
  <c r="D114" i="68" s="1"/>
  <c r="D115" i="68" s="1"/>
  <c r="C113" i="68"/>
  <c r="C114" i="68" s="1"/>
  <c r="C115" i="68" s="1"/>
  <c r="B113" i="68"/>
  <c r="D95" i="68"/>
  <c r="D96" i="68" s="1"/>
  <c r="D97" i="68" s="1"/>
  <c r="D98" i="68" s="1"/>
  <c r="C95" i="68"/>
  <c r="C96" i="68" s="1"/>
  <c r="C97" i="68" s="1"/>
  <c r="C98" i="68" s="1"/>
  <c r="B95" i="68"/>
  <c r="B96" i="68" s="1"/>
  <c r="D85" i="68"/>
  <c r="D86" i="68" s="1"/>
  <c r="D87" i="68" s="1"/>
  <c r="C85" i="68"/>
  <c r="C86" i="68" s="1"/>
  <c r="C87" i="68" s="1"/>
  <c r="B85" i="68"/>
  <c r="D75" i="68"/>
  <c r="D76" i="68" s="1"/>
  <c r="D77" i="68" s="1"/>
  <c r="C75" i="68"/>
  <c r="C76" i="68" s="1"/>
  <c r="B75" i="68"/>
  <c r="D57" i="68"/>
  <c r="D58" i="68" s="1"/>
  <c r="D59" i="68" s="1"/>
  <c r="D60" i="68" s="1"/>
  <c r="C57" i="68"/>
  <c r="C58" i="68" s="1"/>
  <c r="C59" i="68" s="1"/>
  <c r="C60" i="68" s="1"/>
  <c r="B57" i="68"/>
  <c r="B58" i="68" s="1"/>
  <c r="D47" i="68"/>
  <c r="D48" i="68" s="1"/>
  <c r="D49" i="68" s="1"/>
  <c r="C47" i="68"/>
  <c r="C48" i="68" s="1"/>
  <c r="C49" i="68" s="1"/>
  <c r="B47" i="68"/>
  <c r="D37" i="68"/>
  <c r="D38" i="68" s="1"/>
  <c r="D39" i="68" s="1"/>
  <c r="C37" i="68"/>
  <c r="C38" i="68" s="1"/>
  <c r="C39" i="68" s="1"/>
  <c r="B37" i="68"/>
  <c r="D19" i="68"/>
  <c r="D20" i="68" s="1"/>
  <c r="D21" i="68" s="1"/>
  <c r="D22" i="68" s="1"/>
  <c r="C19" i="68"/>
  <c r="C20" i="68" s="1"/>
  <c r="C21" i="68" s="1"/>
  <c r="C22" i="68" s="1"/>
  <c r="B19" i="68"/>
  <c r="B20" i="68" s="1"/>
  <c r="D9" i="68"/>
  <c r="D10" i="68" s="1"/>
  <c r="D11" i="68" s="1"/>
  <c r="C9" i="68"/>
  <c r="C10" i="68" s="1"/>
  <c r="C11" i="68" s="1"/>
  <c r="B9" i="68"/>
  <c r="D203" i="66"/>
  <c r="D204" i="66" s="1"/>
  <c r="D205" i="66" s="1"/>
  <c r="D206" i="66" s="1"/>
  <c r="D207" i="66" s="1"/>
  <c r="C203" i="66"/>
  <c r="C204" i="66" s="1"/>
  <c r="C205" i="66" s="1"/>
  <c r="C206" i="66" s="1"/>
  <c r="C207" i="66" s="1"/>
  <c r="B203" i="66"/>
  <c r="D189" i="66"/>
  <c r="D190" i="66" s="1"/>
  <c r="D191" i="66" s="1"/>
  <c r="D192" i="66" s="1"/>
  <c r="D193" i="66" s="1"/>
  <c r="D194" i="66" s="1"/>
  <c r="C189" i="66"/>
  <c r="C190" i="66" s="1"/>
  <c r="C191" i="66" s="1"/>
  <c r="C192" i="66" s="1"/>
  <c r="C193" i="66" s="1"/>
  <c r="C194" i="66" s="1"/>
  <c r="B189" i="66"/>
  <c r="B190" i="66" s="1"/>
  <c r="D177" i="66"/>
  <c r="D178" i="66" s="1"/>
  <c r="D179" i="66" s="1"/>
  <c r="D180" i="66" s="1"/>
  <c r="D181" i="66" s="1"/>
  <c r="C177" i="66"/>
  <c r="C178" i="66" s="1"/>
  <c r="C179" i="66" s="1"/>
  <c r="C180" i="66" s="1"/>
  <c r="C181" i="66" s="1"/>
  <c r="B177" i="66"/>
  <c r="D166" i="66"/>
  <c r="D167" i="66" s="1"/>
  <c r="D168" i="66" s="1"/>
  <c r="D169" i="66" s="1"/>
  <c r="D170" i="66" s="1"/>
  <c r="D171" i="66" s="1"/>
  <c r="D172" i="66" s="1"/>
  <c r="D173" i="66" s="1"/>
  <c r="D174" i="66" s="1"/>
  <c r="C166" i="66"/>
  <c r="C167" i="66" s="1"/>
  <c r="C168" i="66" s="1"/>
  <c r="C169" i="66" s="1"/>
  <c r="C170" i="66" s="1"/>
  <c r="C171" i="66" s="1"/>
  <c r="C172" i="66" s="1"/>
  <c r="C173" i="66" s="1"/>
  <c r="C174" i="66" s="1"/>
  <c r="B166" i="66"/>
  <c r="D146" i="66"/>
  <c r="D147" i="66" s="1"/>
  <c r="D148" i="66" s="1"/>
  <c r="D149" i="66" s="1"/>
  <c r="D150" i="66" s="1"/>
  <c r="D151" i="66" s="1"/>
  <c r="D152" i="66" s="1"/>
  <c r="D153" i="66" s="1"/>
  <c r="D154" i="66" s="1"/>
  <c r="D155" i="66" s="1"/>
  <c r="D156" i="66" s="1"/>
  <c r="D157" i="66" s="1"/>
  <c r="D158" i="66" s="1"/>
  <c r="D159" i="66" s="1"/>
  <c r="D160" i="66" s="1"/>
  <c r="D161" i="66" s="1"/>
  <c r="D162" i="66" s="1"/>
  <c r="D163" i="66" s="1"/>
  <c r="C146" i="66"/>
  <c r="C147" i="66" s="1"/>
  <c r="C148" i="66" s="1"/>
  <c r="C149" i="66" s="1"/>
  <c r="C150" i="66" s="1"/>
  <c r="C151" i="66" s="1"/>
  <c r="C152" i="66" s="1"/>
  <c r="C153" i="66" s="1"/>
  <c r="C154" i="66" s="1"/>
  <c r="C155" i="66" s="1"/>
  <c r="C156" i="66" s="1"/>
  <c r="C157" i="66" s="1"/>
  <c r="C158" i="66" s="1"/>
  <c r="C159" i="66" s="1"/>
  <c r="C160" i="66" s="1"/>
  <c r="C161" i="66" s="1"/>
  <c r="C162" i="66" s="1"/>
  <c r="C163" i="66" s="1"/>
  <c r="B146" i="66"/>
  <c r="B147" i="66" s="1"/>
  <c r="D135" i="66"/>
  <c r="D136" i="66" s="1"/>
  <c r="D137" i="66" s="1"/>
  <c r="D138" i="66" s="1"/>
  <c r="D139" i="66" s="1"/>
  <c r="D140" i="66" s="1"/>
  <c r="D141" i="66" s="1"/>
  <c r="D142" i="66" s="1"/>
  <c r="D143" i="66" s="1"/>
  <c r="C135" i="66"/>
  <c r="C136" i="66" s="1"/>
  <c r="C137" i="66" s="1"/>
  <c r="C138" i="66" s="1"/>
  <c r="C139" i="66" s="1"/>
  <c r="C140" i="66" s="1"/>
  <c r="C141" i="66" s="1"/>
  <c r="C142" i="66" s="1"/>
  <c r="C143" i="66" s="1"/>
  <c r="B135" i="66"/>
  <c r="D124" i="66"/>
  <c r="D125" i="66" s="1"/>
  <c r="D126" i="66" s="1"/>
  <c r="D127" i="66" s="1"/>
  <c r="D128" i="66" s="1"/>
  <c r="D129" i="66" s="1"/>
  <c r="D130" i="66" s="1"/>
  <c r="D131" i="66" s="1"/>
  <c r="D132" i="66" s="1"/>
  <c r="C124" i="66"/>
  <c r="C125" i="66" s="1"/>
  <c r="C126" i="66" s="1"/>
  <c r="C127" i="66" s="1"/>
  <c r="C128" i="66" s="1"/>
  <c r="C129" i="66" s="1"/>
  <c r="C130" i="66" s="1"/>
  <c r="C131" i="66" s="1"/>
  <c r="C132" i="66" s="1"/>
  <c r="B124" i="66"/>
  <c r="D104" i="66"/>
  <c r="D105" i="66" s="1"/>
  <c r="D106" i="66" s="1"/>
  <c r="D107" i="66" s="1"/>
  <c r="D108" i="66" s="1"/>
  <c r="D109" i="66" s="1"/>
  <c r="D110" i="66" s="1"/>
  <c r="D111" i="66" s="1"/>
  <c r="D112" i="66" s="1"/>
  <c r="D113" i="66" s="1"/>
  <c r="D114" i="66" s="1"/>
  <c r="D115" i="66" s="1"/>
  <c r="D116" i="66" s="1"/>
  <c r="D117" i="66" s="1"/>
  <c r="D118" i="66" s="1"/>
  <c r="D119" i="66" s="1"/>
  <c r="D120" i="66" s="1"/>
  <c r="D121" i="66" s="1"/>
  <c r="C104" i="66"/>
  <c r="C105" i="66" s="1"/>
  <c r="C106" i="66" s="1"/>
  <c r="C107" i="66" s="1"/>
  <c r="C108" i="66" s="1"/>
  <c r="C109" i="66" s="1"/>
  <c r="C110" i="66" s="1"/>
  <c r="C111" i="66" s="1"/>
  <c r="C112" i="66" s="1"/>
  <c r="C113" i="66" s="1"/>
  <c r="C114" i="66" s="1"/>
  <c r="C115" i="66" s="1"/>
  <c r="C116" i="66" s="1"/>
  <c r="C117" i="66" s="1"/>
  <c r="C118" i="66" s="1"/>
  <c r="C119" i="66" s="1"/>
  <c r="C120" i="66" s="1"/>
  <c r="C121" i="66" s="1"/>
  <c r="B104" i="66"/>
  <c r="B105" i="66" s="1"/>
  <c r="D93" i="66"/>
  <c r="D94" i="66" s="1"/>
  <c r="D95" i="66" s="1"/>
  <c r="D96" i="66" s="1"/>
  <c r="D97" i="66" s="1"/>
  <c r="D98" i="66" s="1"/>
  <c r="D99" i="66" s="1"/>
  <c r="D100" i="66" s="1"/>
  <c r="D101" i="66" s="1"/>
  <c r="C93" i="66"/>
  <c r="C94" i="66" s="1"/>
  <c r="C95" i="66" s="1"/>
  <c r="C96" i="66" s="1"/>
  <c r="C97" i="66" s="1"/>
  <c r="C98" i="66" s="1"/>
  <c r="C99" i="66" s="1"/>
  <c r="C100" i="66" s="1"/>
  <c r="C101" i="66" s="1"/>
  <c r="B93" i="66"/>
  <c r="D82" i="66"/>
  <c r="D83" i="66" s="1"/>
  <c r="D84" i="66" s="1"/>
  <c r="D85" i="66" s="1"/>
  <c r="D86" i="66" s="1"/>
  <c r="D87" i="66" s="1"/>
  <c r="D88" i="66" s="1"/>
  <c r="D89" i="66" s="1"/>
  <c r="D90" i="66" s="1"/>
  <c r="C82" i="66"/>
  <c r="C83" i="66" s="1"/>
  <c r="C84" i="66" s="1"/>
  <c r="C85" i="66" s="1"/>
  <c r="C86" i="66" s="1"/>
  <c r="C87" i="66" s="1"/>
  <c r="C88" i="66" s="1"/>
  <c r="C89" i="66" s="1"/>
  <c r="C90" i="66" s="1"/>
  <c r="B82" i="66"/>
  <c r="D62" i="66"/>
  <c r="D63" i="66" s="1"/>
  <c r="D64" i="66" s="1"/>
  <c r="D65" i="66" s="1"/>
  <c r="D66" i="66" s="1"/>
  <c r="D67" i="66" s="1"/>
  <c r="D68" i="66" s="1"/>
  <c r="D69" i="66" s="1"/>
  <c r="D70" i="66" s="1"/>
  <c r="D71" i="66" s="1"/>
  <c r="D72" i="66" s="1"/>
  <c r="D73" i="66" s="1"/>
  <c r="D74" i="66" s="1"/>
  <c r="D75" i="66" s="1"/>
  <c r="D76" i="66" s="1"/>
  <c r="D77" i="66" s="1"/>
  <c r="D78" i="66" s="1"/>
  <c r="D79" i="66" s="1"/>
  <c r="C62" i="66"/>
  <c r="C63" i="66" s="1"/>
  <c r="C64" i="66" s="1"/>
  <c r="C65" i="66" s="1"/>
  <c r="C66" i="66" s="1"/>
  <c r="C67" i="66" s="1"/>
  <c r="C68" i="66" s="1"/>
  <c r="C69" i="66" s="1"/>
  <c r="C70" i="66" s="1"/>
  <c r="C71" i="66" s="1"/>
  <c r="C72" i="66" s="1"/>
  <c r="C73" i="66" s="1"/>
  <c r="C74" i="66" s="1"/>
  <c r="C75" i="66" s="1"/>
  <c r="C76" i="66" s="1"/>
  <c r="C77" i="66" s="1"/>
  <c r="C78" i="66" s="1"/>
  <c r="C79" i="66" s="1"/>
  <c r="B62" i="66"/>
  <c r="B63" i="66" s="1"/>
  <c r="D51" i="66"/>
  <c r="D52" i="66" s="1"/>
  <c r="D53" i="66" s="1"/>
  <c r="D54" i="66" s="1"/>
  <c r="D55" i="66" s="1"/>
  <c r="D56" i="66" s="1"/>
  <c r="D57" i="66" s="1"/>
  <c r="D58" i="66" s="1"/>
  <c r="D59" i="66" s="1"/>
  <c r="C51" i="66"/>
  <c r="C52" i="66" s="1"/>
  <c r="C53" i="66" s="1"/>
  <c r="C54" i="66" s="1"/>
  <c r="C55" i="66" s="1"/>
  <c r="C56" i="66" s="1"/>
  <c r="C57" i="66" s="1"/>
  <c r="C58" i="66" s="1"/>
  <c r="C59" i="66" s="1"/>
  <c r="B51" i="66"/>
  <c r="D40" i="66"/>
  <c r="D41" i="66" s="1"/>
  <c r="D42" i="66" s="1"/>
  <c r="C40" i="66"/>
  <c r="C41" i="66" s="1"/>
  <c r="C42" i="66" s="1"/>
  <c r="B40" i="66"/>
  <c r="D20" i="66"/>
  <c r="D21" i="66" s="1"/>
  <c r="D22" i="66" s="1"/>
  <c r="D23" i="66" s="1"/>
  <c r="D24" i="66" s="1"/>
  <c r="D25" i="66" s="1"/>
  <c r="D26" i="66" s="1"/>
  <c r="D27" i="66" s="1"/>
  <c r="D28" i="66" s="1"/>
  <c r="D29" i="66" s="1"/>
  <c r="D30" i="66" s="1"/>
  <c r="D31" i="66" s="1"/>
  <c r="D32" i="66" s="1"/>
  <c r="D33" i="66" s="1"/>
  <c r="D34" i="66" s="1"/>
  <c r="D35" i="66" s="1"/>
  <c r="D36" i="66" s="1"/>
  <c r="D37" i="66" s="1"/>
  <c r="C20" i="66"/>
  <c r="C21" i="66" s="1"/>
  <c r="C22" i="66" s="1"/>
  <c r="C23" i="66" s="1"/>
  <c r="C24" i="66" s="1"/>
  <c r="C25" i="66" s="1"/>
  <c r="C26" i="66" s="1"/>
  <c r="C27" i="66" s="1"/>
  <c r="C28" i="66" s="1"/>
  <c r="C29" i="66" s="1"/>
  <c r="C30" i="66" s="1"/>
  <c r="C31" i="66" s="1"/>
  <c r="C32" i="66" s="1"/>
  <c r="C33" i="66" s="1"/>
  <c r="C34" i="66" s="1"/>
  <c r="C35" i="66" s="1"/>
  <c r="C36" i="66" s="1"/>
  <c r="C37" i="66" s="1"/>
  <c r="B20" i="66"/>
  <c r="B21" i="66" s="1"/>
  <c r="D9" i="66"/>
  <c r="D10" i="66" s="1"/>
  <c r="D11" i="66" s="1"/>
  <c r="D12" i="66" s="1"/>
  <c r="D13" i="66" s="1"/>
  <c r="D14" i="66" s="1"/>
  <c r="D15" i="66" s="1"/>
  <c r="D16" i="66" s="1"/>
  <c r="D17" i="66" s="1"/>
  <c r="C9" i="66"/>
  <c r="B9" i="66"/>
  <c r="R190" i="68"/>
  <c r="K190" i="68"/>
  <c r="R189" i="68"/>
  <c r="K189" i="68"/>
  <c r="R188" i="68"/>
  <c r="K188" i="68"/>
  <c r="R187" i="68"/>
  <c r="K187" i="68"/>
  <c r="R186" i="68"/>
  <c r="K186" i="68"/>
  <c r="R185" i="68"/>
  <c r="K185" i="68"/>
  <c r="R184" i="68"/>
  <c r="K184" i="68"/>
  <c r="R183" i="68"/>
  <c r="K183" i="68"/>
  <c r="M4" i="68"/>
  <c r="O3" i="68"/>
  <c r="P4" i="68" s="1"/>
  <c r="H3" i="68"/>
  <c r="I4" i="68" s="1"/>
  <c r="I14" i="68" s="1" a="1"/>
  <c r="I14" i="68" s="1"/>
  <c r="R220" i="66"/>
  <c r="R219" i="66"/>
  <c r="R218" i="66"/>
  <c r="R217" i="66"/>
  <c r="R216" i="66"/>
  <c r="R215" i="66"/>
  <c r="R214" i="66"/>
  <c r="R213" i="66"/>
  <c r="K220" i="66"/>
  <c r="K219" i="66"/>
  <c r="K218" i="66"/>
  <c r="K217" i="66"/>
  <c r="K216" i="66"/>
  <c r="K215" i="66"/>
  <c r="K214" i="66"/>
  <c r="K213" i="66"/>
  <c r="B139" i="52"/>
  <c r="M36" i="52"/>
  <c r="C142" i="52" l="1"/>
  <c r="C143" i="52"/>
  <c r="C144" i="52"/>
  <c r="C145" i="52"/>
  <c r="C146" i="52"/>
  <c r="D142" i="52"/>
  <c r="D146" i="52"/>
  <c r="D143" i="52"/>
  <c r="D144" i="52"/>
  <c r="D145" i="52"/>
  <c r="C184" i="66"/>
  <c r="C185" i="66" s="1"/>
  <c r="C186" i="66" s="1"/>
  <c r="C182" i="66"/>
  <c r="D184" i="66"/>
  <c r="D185" i="66" s="1"/>
  <c r="D186" i="66" s="1"/>
  <c r="D182" i="66"/>
  <c r="C197" i="66"/>
  <c r="C198" i="66" s="1"/>
  <c r="C199" i="66" s="1"/>
  <c r="C200" i="66" s="1"/>
  <c r="C195" i="66"/>
  <c r="D197" i="66"/>
  <c r="D198" i="66" s="1"/>
  <c r="D199" i="66" s="1"/>
  <c r="D200" i="66" s="1"/>
  <c r="D195" i="66"/>
  <c r="C210" i="66"/>
  <c r="C211" i="66" s="1"/>
  <c r="C212" i="66" s="1"/>
  <c r="C208" i="66"/>
  <c r="D210" i="66"/>
  <c r="D211" i="66" s="1"/>
  <c r="D212" i="66" s="1"/>
  <c r="D208" i="66"/>
  <c r="D80" i="68"/>
  <c r="D81" i="68" s="1"/>
  <c r="D82" i="68" s="1"/>
  <c r="D78" i="68"/>
  <c r="C118" i="68"/>
  <c r="C119" i="68" s="1"/>
  <c r="C120" i="68" s="1"/>
  <c r="C116" i="68"/>
  <c r="D169" i="68"/>
  <c r="D170" i="68" s="1"/>
  <c r="D171" i="68" s="1"/>
  <c r="D172" i="68" s="1"/>
  <c r="D167" i="68"/>
  <c r="C52" i="68"/>
  <c r="C53" i="68" s="1"/>
  <c r="C54" i="68" s="1"/>
  <c r="C50" i="68"/>
  <c r="D118" i="68"/>
  <c r="D119" i="68" s="1"/>
  <c r="D120" i="68" s="1"/>
  <c r="D116" i="68"/>
  <c r="D42" i="68"/>
  <c r="D43" i="68" s="1"/>
  <c r="D44" i="68" s="1"/>
  <c r="D40" i="68"/>
  <c r="D52" i="68"/>
  <c r="D53" i="68" s="1"/>
  <c r="D54" i="68" s="1"/>
  <c r="D50" i="68"/>
  <c r="C90" i="68"/>
  <c r="C91" i="68" s="1"/>
  <c r="C92" i="68" s="1"/>
  <c r="C88" i="68"/>
  <c r="C180" i="68"/>
  <c r="C181" i="68" s="1"/>
  <c r="C182" i="68" s="1"/>
  <c r="C178" i="68"/>
  <c r="D90" i="68"/>
  <c r="D91" i="68" s="1"/>
  <c r="D92" i="68" s="1"/>
  <c r="D88" i="68"/>
  <c r="D180" i="68"/>
  <c r="D181" i="68" s="1"/>
  <c r="D182" i="68" s="1"/>
  <c r="D178" i="68"/>
  <c r="C158" i="68"/>
  <c r="C159" i="68" s="1"/>
  <c r="C160" i="68" s="1"/>
  <c r="C156" i="68"/>
  <c r="D63" i="68"/>
  <c r="D64" i="68" s="1"/>
  <c r="D65" i="68" s="1"/>
  <c r="D66" i="68" s="1"/>
  <c r="D61" i="68"/>
  <c r="C101" i="68"/>
  <c r="C102" i="68" s="1"/>
  <c r="C103" i="68" s="1"/>
  <c r="C104" i="68" s="1"/>
  <c r="C99" i="68"/>
  <c r="D158" i="68"/>
  <c r="D159" i="68" s="1"/>
  <c r="D160" i="68" s="1"/>
  <c r="D156" i="68"/>
  <c r="C63" i="68"/>
  <c r="C64" i="68" s="1"/>
  <c r="C65" i="68" s="1"/>
  <c r="C66" i="68" s="1"/>
  <c r="C61" i="68"/>
  <c r="C42" i="68"/>
  <c r="C43" i="68" s="1"/>
  <c r="C44" i="68" s="1"/>
  <c r="C40" i="68"/>
  <c r="D101" i="68"/>
  <c r="D102" i="68" s="1"/>
  <c r="D103" i="68" s="1"/>
  <c r="D104" i="68" s="1"/>
  <c r="D99" i="68"/>
  <c r="C169" i="68"/>
  <c r="C170" i="68" s="1"/>
  <c r="C171" i="68" s="1"/>
  <c r="C172" i="68" s="1"/>
  <c r="C167" i="68"/>
  <c r="C25" i="68"/>
  <c r="C26" i="68" s="1"/>
  <c r="C27" i="68" s="1"/>
  <c r="C28" i="68" s="1"/>
  <c r="C23" i="68"/>
  <c r="D25" i="68"/>
  <c r="D26" i="68" s="1"/>
  <c r="D27" i="68" s="1"/>
  <c r="D28" i="68" s="1"/>
  <c r="D23" i="68"/>
  <c r="C14" i="68"/>
  <c r="C15" i="68" s="1"/>
  <c r="C16" i="68" s="1"/>
  <c r="C12" i="68"/>
  <c r="D14" i="68"/>
  <c r="D15" i="68" s="1"/>
  <c r="D16" i="68" s="1"/>
  <c r="D12" i="68"/>
  <c r="B21" i="68"/>
  <c r="B76" i="68"/>
  <c r="B124" i="68"/>
  <c r="B165" i="68"/>
  <c r="B133" i="68"/>
  <c r="B176" i="68"/>
  <c r="B59" i="68"/>
  <c r="B114" i="68"/>
  <c r="B115" i="68" s="1"/>
  <c r="B116" i="68" s="1"/>
  <c r="B154" i="68"/>
  <c r="B38" i="68"/>
  <c r="B86" i="68"/>
  <c r="B48" i="68"/>
  <c r="B97" i="68"/>
  <c r="B146" i="68"/>
  <c r="C10" i="66"/>
  <c r="C11" i="66" s="1"/>
  <c r="C12" i="66" s="1"/>
  <c r="C13" i="66" s="1"/>
  <c r="C14" i="66" s="1"/>
  <c r="C15" i="66" s="1"/>
  <c r="C16" i="66" s="1"/>
  <c r="C17" i="66" s="1"/>
  <c r="C43" i="66"/>
  <c r="C44" i="66" s="1"/>
  <c r="C45" i="66" s="1"/>
  <c r="C46" i="66" s="1"/>
  <c r="C47" i="66" s="1"/>
  <c r="C48" i="66" s="1"/>
  <c r="D43" i="66"/>
  <c r="D44" i="66" s="1"/>
  <c r="D45" i="66" s="1"/>
  <c r="D46" i="66" s="1"/>
  <c r="D47" i="66" s="1"/>
  <c r="D48" i="66" s="1"/>
  <c r="B136" i="66"/>
  <c r="B64" i="66"/>
  <c r="B125" i="66"/>
  <c r="B178" i="66"/>
  <c r="B22" i="66"/>
  <c r="B83" i="66"/>
  <c r="B52" i="66"/>
  <c r="B106" i="66"/>
  <c r="B167" i="66"/>
  <c r="B191" i="66"/>
  <c r="B41" i="66"/>
  <c r="B94" i="66"/>
  <c r="B204" i="66"/>
  <c r="B140" i="52"/>
  <c r="B10" i="68"/>
  <c r="B148" i="66"/>
  <c r="B10" i="66"/>
  <c r="C77" i="68"/>
  <c r="F4" i="68"/>
  <c r="H4" i="68"/>
  <c r="K4" i="68"/>
  <c r="Q4" i="68"/>
  <c r="J4" i="68"/>
  <c r="R4" i="68"/>
  <c r="O4" i="68"/>
  <c r="D67" i="68" l="1"/>
  <c r="D68" i="68" s="1"/>
  <c r="D69" i="68" s="1"/>
  <c r="D70" i="68" s="1"/>
  <c r="D71" i="68" s="1"/>
  <c r="D72" i="68" s="1"/>
  <c r="C80" i="68"/>
  <c r="C81" i="68" s="1"/>
  <c r="C82" i="68" s="1"/>
  <c r="C78" i="68"/>
  <c r="C67" i="68"/>
  <c r="C68" i="68" s="1"/>
  <c r="C69" i="68" s="1"/>
  <c r="C70" i="68" s="1"/>
  <c r="C71" i="68" s="1"/>
  <c r="C72" i="68" s="1"/>
  <c r="C105" i="68"/>
  <c r="C106" i="68" s="1"/>
  <c r="C107" i="68" s="1"/>
  <c r="C108" i="68" s="1"/>
  <c r="C109" i="68" s="1"/>
  <c r="C110" i="68" s="1"/>
  <c r="F116" i="68" a="1"/>
  <c r="F116" i="68" s="1"/>
  <c r="D105" i="68"/>
  <c r="D106" i="68" s="1"/>
  <c r="D107" i="68" s="1"/>
  <c r="D108" i="68" s="1"/>
  <c r="D109" i="68" s="1"/>
  <c r="D110" i="68" s="1"/>
  <c r="D29" i="68"/>
  <c r="D30" i="68" s="1"/>
  <c r="D31" i="68" s="1"/>
  <c r="D32" i="68" s="1"/>
  <c r="D33" i="68" s="1"/>
  <c r="D34" i="68" s="1"/>
  <c r="C29" i="68"/>
  <c r="C30" i="68" s="1"/>
  <c r="C31" i="68" s="1"/>
  <c r="C32" i="68" s="1"/>
  <c r="C33" i="68" s="1"/>
  <c r="C34" i="68" s="1"/>
  <c r="B177" i="68"/>
  <c r="B178" i="68" s="1"/>
  <c r="B87" i="68"/>
  <c r="B88" i="68" s="1"/>
  <c r="B60" i="68"/>
  <c r="B61" i="68" s="1"/>
  <c r="B125" i="68"/>
  <c r="B39" i="68"/>
  <c r="B40" i="68" s="1"/>
  <c r="B49" i="68"/>
  <c r="B50" i="68" s="1"/>
  <c r="B166" i="68"/>
  <c r="B167" i="68" s="1"/>
  <c r="B77" i="68"/>
  <c r="B78" i="68" s="1"/>
  <c r="B147" i="68"/>
  <c r="B148" i="68" s="1"/>
  <c r="B98" i="68"/>
  <c r="B99" i="68" s="1"/>
  <c r="B155" i="68"/>
  <c r="B134" i="68"/>
  <c r="B22" i="68"/>
  <c r="B23" i="68" s="1"/>
  <c r="B126" i="66"/>
  <c r="B179" i="66"/>
  <c r="B168" i="66"/>
  <c r="B23" i="66"/>
  <c r="B149" i="66"/>
  <c r="B107" i="66"/>
  <c r="B192" i="66"/>
  <c r="B84" i="66"/>
  <c r="B65" i="66"/>
  <c r="B95" i="66"/>
  <c r="B205" i="66"/>
  <c r="B42" i="66"/>
  <c r="B53" i="66"/>
  <c r="B137" i="66"/>
  <c r="B141" i="52"/>
  <c r="B11" i="68"/>
  <c r="B12" i="68" s="1"/>
  <c r="B11" i="66"/>
  <c r="B143" i="52" l="1"/>
  <c r="B144" i="52"/>
  <c r="B145" i="52"/>
  <c r="B146" i="52"/>
  <c r="B142" i="52"/>
  <c r="F78" i="68" a="1"/>
  <c r="F78" i="68" s="1"/>
  <c r="F40" i="68" a="1"/>
  <c r="F40" i="68" s="1"/>
  <c r="B156" i="68"/>
  <c r="F178" i="68" a="1"/>
  <c r="F178" i="68" s="1"/>
  <c r="P148" i="68" a="1"/>
  <c r="P148" i="68" s="1"/>
  <c r="B135" i="68"/>
  <c r="B126" i="68"/>
  <c r="B54" i="66"/>
  <c r="B66" i="66"/>
  <c r="B150" i="66"/>
  <c r="B43" i="66"/>
  <c r="B85" i="66"/>
  <c r="B24" i="66"/>
  <c r="B206" i="66"/>
  <c r="B193" i="66"/>
  <c r="B169" i="66"/>
  <c r="B138" i="66"/>
  <c r="B96" i="66"/>
  <c r="B108" i="66"/>
  <c r="B180" i="66"/>
  <c r="B127" i="66"/>
  <c r="B12" i="66"/>
  <c r="B149" i="68"/>
  <c r="B150" i="68" s="1"/>
  <c r="B118" i="68"/>
  <c r="P126" i="68" l="1" a="1"/>
  <c r="P126" i="68" s="1"/>
  <c r="I126" i="68" a="1"/>
  <c r="I126" i="68" s="1"/>
  <c r="P118" i="68" a="1"/>
  <c r="P118" i="68" s="1"/>
  <c r="P135" i="68" a="1"/>
  <c r="P135" i="68" s="1"/>
  <c r="I135" i="68" a="1"/>
  <c r="I135" i="68" s="1"/>
  <c r="B169" i="68"/>
  <c r="B136" i="68"/>
  <c r="B180" i="68"/>
  <c r="B90" i="68"/>
  <c r="B80" i="68"/>
  <c r="B52" i="68"/>
  <c r="B158" i="68"/>
  <c r="B42" i="68"/>
  <c r="B25" i="68"/>
  <c r="B127" i="68"/>
  <c r="B128" i="68" s="1"/>
  <c r="B63" i="68"/>
  <c r="B101" i="68"/>
  <c r="B139" i="66"/>
  <c r="B97" i="66"/>
  <c r="B207" i="66"/>
  <c r="B208" i="66" s="1"/>
  <c r="B151" i="66"/>
  <c r="B128" i="66"/>
  <c r="B109" i="66"/>
  <c r="B194" i="66"/>
  <c r="B195" i="66" s="1"/>
  <c r="B25" i="66"/>
  <c r="B67" i="66"/>
  <c r="B181" i="66"/>
  <c r="B182" i="66" s="1"/>
  <c r="B170" i="66"/>
  <c r="B86" i="66"/>
  <c r="B55" i="66"/>
  <c r="B13" i="66"/>
  <c r="B14" i="68"/>
  <c r="B119" i="68"/>
  <c r="B120" i="68" s="1"/>
  <c r="F208" i="66" l="1" a="1"/>
  <c r="F208" i="66" s="1"/>
  <c r="P14" i="68" a="1"/>
  <c r="P14" i="68" s="1"/>
  <c r="P52" i="68" a="1"/>
  <c r="P52" i="68" s="1"/>
  <c r="I52" i="68" a="1"/>
  <c r="I52" i="68" s="1"/>
  <c r="I25" i="68" a="1"/>
  <c r="I25" i="68" s="1"/>
  <c r="P25" i="68" a="1"/>
  <c r="P25" i="68" s="1"/>
  <c r="P80" i="68" a="1"/>
  <c r="P80" i="68" s="1"/>
  <c r="P169" i="68" a="1"/>
  <c r="P169" i="68" s="1"/>
  <c r="I169" i="68" a="1"/>
  <c r="I169" i="68" s="1"/>
  <c r="P101" i="68" a="1"/>
  <c r="P101" i="68" s="1"/>
  <c r="I101" i="68" a="1"/>
  <c r="I101" i="68" s="1"/>
  <c r="P42" i="68" a="1"/>
  <c r="P42" i="68" s="1"/>
  <c r="I90" i="68" a="1"/>
  <c r="I90" i="68" s="1"/>
  <c r="P90" i="68" a="1"/>
  <c r="P90" i="68" s="1"/>
  <c r="P63" i="68" a="1"/>
  <c r="P63" i="68" s="1"/>
  <c r="I63" i="68" a="1"/>
  <c r="I63" i="68" s="1"/>
  <c r="P158" i="68" a="1"/>
  <c r="P158" i="68" s="1"/>
  <c r="I158" i="68" a="1"/>
  <c r="I158" i="68" s="1"/>
  <c r="P180" i="68" a="1"/>
  <c r="P180" i="68" s="1"/>
  <c r="B102" i="68"/>
  <c r="B91" i="68"/>
  <c r="B92" i="68" s="1"/>
  <c r="B26" i="68"/>
  <c r="B81" i="68"/>
  <c r="B82" i="68" s="1"/>
  <c r="B170" i="68"/>
  <c r="B171" i="68" s="1"/>
  <c r="B172" i="68" s="1"/>
  <c r="B53" i="68"/>
  <c r="B54" i="68" s="1"/>
  <c r="B43" i="68"/>
  <c r="B44" i="68" s="1"/>
  <c r="B137" i="68"/>
  <c r="B64" i="68"/>
  <c r="B159" i="68"/>
  <c r="B160" i="68" s="1"/>
  <c r="B181" i="68"/>
  <c r="B182" i="68" s="1"/>
  <c r="B110" i="66"/>
  <c r="B98" i="66"/>
  <c r="B56" i="66"/>
  <c r="B68" i="66"/>
  <c r="B87" i="66"/>
  <c r="B26" i="66"/>
  <c r="B184" i="66"/>
  <c r="B152" i="66"/>
  <c r="B171" i="66"/>
  <c r="B129" i="66"/>
  <c r="B140" i="66"/>
  <c r="B141" i="66" s="1"/>
  <c r="B142" i="66" s="1"/>
  <c r="B143" i="66" s="1"/>
  <c r="B14" i="66"/>
  <c r="B15" i="68"/>
  <c r="B185" i="66" l="1"/>
  <c r="B186" i="66" s="1"/>
  <c r="B138" i="68"/>
  <c r="B65" i="68"/>
  <c r="B27" i="68"/>
  <c r="B103" i="68"/>
  <c r="B153" i="66"/>
  <c r="B99" i="66"/>
  <c r="B100" i="66" s="1"/>
  <c r="B101" i="66" s="1"/>
  <c r="B172" i="66"/>
  <c r="B88" i="66"/>
  <c r="B89" i="66" s="1"/>
  <c r="B90" i="66" s="1"/>
  <c r="B57" i="66"/>
  <c r="B58" i="66" s="1"/>
  <c r="B59" i="66" s="1"/>
  <c r="B210" i="66"/>
  <c r="B211" i="66" s="1"/>
  <c r="B212" i="66" s="1"/>
  <c r="B130" i="66"/>
  <c r="B131" i="66" s="1"/>
  <c r="B132" i="66" s="1"/>
  <c r="B27" i="66"/>
  <c r="B28" i="66" s="1"/>
  <c r="B69" i="66"/>
  <c r="B70" i="66" s="1"/>
  <c r="B197" i="66"/>
  <c r="B198" i="66" s="1"/>
  <c r="B199" i="66" s="1"/>
  <c r="B200" i="66" s="1"/>
  <c r="B111" i="66"/>
  <c r="B112" i="66" s="1"/>
  <c r="B15" i="66"/>
  <c r="B16" i="68"/>
  <c r="B154" i="66" l="1"/>
  <c r="B155" i="66" s="1"/>
  <c r="B173" i="66"/>
  <c r="B174" i="66" s="1"/>
  <c r="B16" i="66"/>
  <c r="B28" i="68"/>
  <c r="B29" i="68" s="1"/>
  <c r="B30" i="68" s="1"/>
  <c r="B66" i="68"/>
  <c r="B67" i="68" s="1"/>
  <c r="B68" i="68" s="1"/>
  <c r="B104" i="68"/>
  <c r="B105" i="68" s="1"/>
  <c r="B106" i="68" s="1"/>
  <c r="B139" i="68"/>
  <c r="B113" i="66"/>
  <c r="B71" i="66"/>
  <c r="B29" i="66"/>
  <c r="B44" i="66"/>
  <c r="B17" i="66" l="1"/>
  <c r="P139" i="68" a="1"/>
  <c r="P139" i="68" s="1"/>
  <c r="I139" i="68" a="1"/>
  <c r="I139" i="68" s="1"/>
  <c r="B140" i="68"/>
  <c r="B141" i="68" s="1"/>
  <c r="B142" i="68" s="1"/>
  <c r="B72" i="66"/>
  <c r="B114" i="66"/>
  <c r="B30" i="66"/>
  <c r="B45" i="66"/>
  <c r="B156" i="66"/>
  <c r="B107" i="68" l="1"/>
  <c r="B69" i="68"/>
  <c r="B31" i="68"/>
  <c r="B115" i="66"/>
  <c r="B31" i="66"/>
  <c r="B46" i="66"/>
  <c r="B157" i="66"/>
  <c r="B73" i="66"/>
  <c r="B47" i="66" l="1"/>
  <c r="B48" i="66" s="1"/>
  <c r="I69" i="68" a="1"/>
  <c r="I69" i="68" s="1"/>
  <c r="P69" i="68" a="1"/>
  <c r="P69" i="68" s="1"/>
  <c r="P107" i="68" a="1"/>
  <c r="P107" i="68" s="1"/>
  <c r="I107" i="68" a="1"/>
  <c r="I107" i="68" s="1"/>
  <c r="P31" i="68" a="1"/>
  <c r="P31" i="68" s="1"/>
  <c r="I31" i="68" a="1"/>
  <c r="I31" i="68" s="1"/>
  <c r="B108" i="68"/>
  <c r="B109" i="68" s="1"/>
  <c r="B110" i="68" s="1"/>
  <c r="B70" i="68"/>
  <c r="B71" i="68" s="1"/>
  <c r="B72" i="68" s="1"/>
  <c r="B32" i="68"/>
  <c r="B33" i="68" s="1"/>
  <c r="B34" i="68" s="1"/>
  <c r="B32" i="66"/>
  <c r="B74" i="66"/>
  <c r="B158" i="66"/>
  <c r="B116" i="66"/>
  <c r="B75" i="66" l="1"/>
  <c r="B159" i="66"/>
  <c r="B160" i="66" s="1"/>
  <c r="B117" i="66"/>
  <c r="B33" i="66"/>
  <c r="B161" i="66" l="1"/>
  <c r="B162" i="66" s="1"/>
  <c r="B163" i="66" s="1"/>
  <c r="B118" i="66"/>
  <c r="B119" i="66" s="1"/>
  <c r="B120" i="66" s="1"/>
  <c r="B121" i="66" s="1"/>
  <c r="B34" i="66"/>
  <c r="B35" i="66" s="1"/>
  <c r="B36" i="66" s="1"/>
  <c r="B37" i="66" s="1"/>
  <c r="B76" i="66"/>
  <c r="B77" i="66" s="1"/>
  <c r="B78" i="66" s="1"/>
  <c r="B79" i="66" s="1"/>
  <c r="M4" i="66" l="1"/>
  <c r="O3" i="66"/>
  <c r="P4" i="66" s="1"/>
  <c r="H3" i="66"/>
  <c r="J4" i="66" s="1"/>
  <c r="P153" i="66" l="1" a="1"/>
  <c r="P153" i="66" s="1"/>
  <c r="P46" i="66" a="1"/>
  <c r="P46" i="66" s="1"/>
  <c r="P160" i="66" a="1"/>
  <c r="P160" i="66" s="1"/>
  <c r="P184" i="66" a="1"/>
  <c r="P184" i="66" s="1"/>
  <c r="P172" i="66" a="1"/>
  <c r="P172" i="66" s="1"/>
  <c r="P15" i="66" a="1"/>
  <c r="P15" i="66" s="1"/>
  <c r="P99" i="66" a="1"/>
  <c r="P99" i="66" s="1"/>
  <c r="P69" i="66" a="1"/>
  <c r="P69" i="66" s="1"/>
  <c r="P210" i="66" a="1"/>
  <c r="P210" i="66" s="1"/>
  <c r="P141" i="66" a="1"/>
  <c r="P141" i="66" s="1"/>
  <c r="P76" i="66" a="1"/>
  <c r="P76" i="66" s="1"/>
  <c r="P34" i="66" a="1"/>
  <c r="P34" i="66" s="1"/>
  <c r="P20" i="66" a="1"/>
  <c r="P20" i="66" s="1"/>
  <c r="P104" i="66" a="1"/>
  <c r="P104" i="66" s="1"/>
  <c r="P189" i="66" a="1"/>
  <c r="P189" i="66" s="1"/>
  <c r="P197" i="66" a="1"/>
  <c r="P197" i="66" s="1"/>
  <c r="P130" i="66" a="1"/>
  <c r="P130" i="66" s="1"/>
  <c r="P111" i="66" a="1"/>
  <c r="P111" i="66" s="1"/>
  <c r="P57" i="66" a="1"/>
  <c r="P57" i="66" s="1"/>
  <c r="P27" i="66" a="1"/>
  <c r="P27" i="66" s="1"/>
  <c r="P62" i="66" a="1"/>
  <c r="P62" i="66" s="1"/>
  <c r="P146" i="66" a="1"/>
  <c r="P146" i="66" s="1"/>
  <c r="P118" i="66" a="1"/>
  <c r="P118" i="66" s="1"/>
  <c r="P88" i="66" a="1"/>
  <c r="P88" i="66" s="1"/>
  <c r="O4" i="66"/>
  <c r="H4" i="66"/>
  <c r="I4" i="66"/>
  <c r="Q4" i="66"/>
  <c r="K4" i="66"/>
  <c r="R4" i="66"/>
  <c r="F4" i="66"/>
  <c r="I15" i="66" l="1" a="1"/>
  <c r="I15" i="66" s="1"/>
  <c r="I62" i="66" a="1"/>
  <c r="I62" i="66" s="1"/>
  <c r="I146" i="66" a="1"/>
  <c r="I146" i="66" s="1"/>
  <c r="I184" i="66" a="1"/>
  <c r="I184" i="66" s="1"/>
  <c r="I160" i="66" a="1"/>
  <c r="I160" i="66" s="1"/>
  <c r="I141" i="66" a="1"/>
  <c r="I141" i="66" s="1"/>
  <c r="I118" i="66" a="1"/>
  <c r="I118" i="66" s="1"/>
  <c r="I69" i="66" a="1"/>
  <c r="I69" i="66" s="1"/>
  <c r="I34" i="66" a="1"/>
  <c r="I34" i="66" s="1"/>
  <c r="I111" i="66" a="1"/>
  <c r="I111" i="66" s="1"/>
  <c r="I27" i="66" a="1"/>
  <c r="I27" i="66" s="1"/>
  <c r="I20" i="66" a="1"/>
  <c r="I20" i="66" s="1"/>
  <c r="I104" i="66" a="1"/>
  <c r="I104" i="66" s="1"/>
  <c r="I99" i="66" a="1"/>
  <c r="I99" i="66" s="1"/>
  <c r="I189" i="66" a="1"/>
  <c r="I189" i="66" s="1"/>
  <c r="I197" i="66" a="1"/>
  <c r="I197" i="66" s="1"/>
  <c r="I153" i="66" a="1"/>
  <c r="I153" i="66" s="1"/>
  <c r="I76" i="66" a="1"/>
  <c r="I76" i="66" s="1"/>
  <c r="I57" i="66" a="1"/>
  <c r="I57" i="66" s="1"/>
  <c r="M4" i="52"/>
  <c r="N270" i="58"/>
  <c r="N269" i="58"/>
  <c r="N268" i="58"/>
  <c r="N267" i="58"/>
  <c r="N266" i="58"/>
  <c r="N265" i="58"/>
  <c r="N264" i="58"/>
  <c r="N263" i="58"/>
  <c r="N262" i="58"/>
  <c r="N261" i="58"/>
  <c r="N260" i="58"/>
  <c r="N259" i="58"/>
  <c r="N258" i="58"/>
  <c r="N257" i="58"/>
  <c r="N256" i="58"/>
  <c r="N255" i="58"/>
  <c r="N254" i="58"/>
  <c r="N253" i="58"/>
  <c r="N252" i="58"/>
  <c r="N251" i="58"/>
  <c r="N250" i="58"/>
  <c r="N249" i="58"/>
  <c r="N248" i="58"/>
  <c r="N247" i="58"/>
  <c r="N246" i="58"/>
  <c r="N245" i="58"/>
  <c r="N244" i="58"/>
  <c r="H7" i="61" l="1"/>
  <c r="I7" i="61"/>
  <c r="M8" i="61"/>
  <c r="K8" i="61"/>
  <c r="J8" i="61"/>
  <c r="I8" i="61"/>
  <c r="H8" i="61"/>
  <c r="E8" i="61"/>
  <c r="C8" i="61"/>
  <c r="M7" i="61"/>
  <c r="K7" i="61"/>
  <c r="J7" i="61"/>
  <c r="F7" i="61"/>
  <c r="E7" i="61"/>
  <c r="C7" i="61"/>
  <c r="M6" i="61"/>
  <c r="K6" i="61"/>
  <c r="J6" i="61"/>
  <c r="I6" i="61"/>
  <c r="H6" i="61"/>
  <c r="F6" i="61"/>
  <c r="E6" i="61"/>
  <c r="C6" i="61"/>
  <c r="M5" i="61"/>
  <c r="K5" i="61"/>
  <c r="J5" i="61"/>
  <c r="I5" i="61"/>
  <c r="H5" i="61"/>
  <c r="F5" i="61"/>
  <c r="E5" i="61"/>
  <c r="C5" i="61"/>
  <c r="F61" i="52" l="1" a="1"/>
  <c r="F61" i="52" s="1"/>
  <c r="F60" i="52" a="1"/>
  <c r="F60" i="52" s="1"/>
  <c r="F88" i="52" a="1"/>
  <c r="F88" i="52" s="1"/>
  <c r="F116" i="52" a="1"/>
  <c r="F116" i="52" s="1"/>
  <c r="F32" i="52" a="1"/>
  <c r="F32" i="52" s="1"/>
  <c r="F144" i="52" a="1"/>
  <c r="F144" i="52" s="1"/>
  <c r="F80" i="68" a="1"/>
  <c r="F80" i="68" s="1"/>
  <c r="F130" i="66" a="1"/>
  <c r="F130" i="66" s="1"/>
  <c r="F172" i="66" a="1"/>
  <c r="F172" i="66" s="1"/>
  <c r="F180" i="68" a="1"/>
  <c r="F180" i="68" s="1"/>
  <c r="F42" i="68" a="1"/>
  <c r="F42" i="68" s="1"/>
  <c r="F88" i="66" a="1"/>
  <c r="F88" i="66" s="1"/>
  <c r="F148" i="68" a="1"/>
  <c r="F148" i="68" s="1"/>
  <c r="F210" i="66" a="1"/>
  <c r="F210" i="66" s="1"/>
  <c r="F46" i="66" a="1"/>
  <c r="F46" i="66" s="1"/>
  <c r="F118" i="68" a="1"/>
  <c r="F118" i="68" s="1"/>
  <c r="F175" i="68" a="1"/>
  <c r="F175" i="68" s="1"/>
  <c r="F113" i="68" a="1"/>
  <c r="F113" i="68" s="1"/>
  <c r="F176" i="68" a="1"/>
  <c r="F176" i="68" s="1"/>
  <c r="F38" i="68" a="1"/>
  <c r="F38" i="68" s="1"/>
  <c r="F84" i="66" a="1"/>
  <c r="F84" i="66" s="1"/>
  <c r="F145" i="68" a="1"/>
  <c r="F145" i="68" s="1"/>
  <c r="F37" i="68" a="1"/>
  <c r="F37" i="68" s="1"/>
  <c r="F146" i="68" a="1"/>
  <c r="F146" i="68" s="1"/>
  <c r="F114" i="68" a="1"/>
  <c r="F114" i="68" s="1"/>
  <c r="F75" i="68" a="1"/>
  <c r="F75" i="68" s="1"/>
  <c r="F205" i="66" a="1"/>
  <c r="F205" i="66" s="1"/>
  <c r="F126" i="66" a="1"/>
  <c r="F126" i="66" s="1"/>
  <c r="F177" i="68" a="1"/>
  <c r="F177" i="68" s="1"/>
  <c r="F76" i="68" a="1"/>
  <c r="F76" i="68" s="1"/>
  <c r="F42" i="66" a="1"/>
  <c r="F42" i="66" s="1"/>
  <c r="F39" i="68" a="1"/>
  <c r="F39" i="68" s="1"/>
  <c r="F168" i="66" a="1"/>
  <c r="F168" i="66" s="1"/>
  <c r="F77" i="68" a="1"/>
  <c r="F77" i="68" s="1"/>
  <c r="F147" i="68" a="1"/>
  <c r="F147" i="68" s="1"/>
  <c r="F179" i="68" a="1"/>
  <c r="F179" i="68" s="1"/>
  <c r="F41" i="68" a="1"/>
  <c r="F41" i="68" s="1"/>
  <c r="F79" i="68" a="1"/>
  <c r="F79" i="68" s="1"/>
  <c r="F115" i="68" a="1"/>
  <c r="F115" i="68" s="1"/>
  <c r="F117" i="68" a="1"/>
  <c r="F117" i="68" s="1"/>
  <c r="F142" i="52" a="1"/>
  <c r="F142" i="52" s="1"/>
  <c r="F139" i="52" a="1"/>
  <c r="F139" i="52" s="1"/>
  <c r="F141" i="52" a="1"/>
  <c r="F141" i="52" s="1"/>
  <c r="F140" i="52" a="1"/>
  <c r="F140" i="52" s="1"/>
  <c r="F143" i="52" a="1"/>
  <c r="F143" i="52" s="1"/>
  <c r="F86" i="52" a="1"/>
  <c r="F86" i="52" s="1"/>
  <c r="F114" i="52" a="1"/>
  <c r="F114" i="52" s="1"/>
  <c r="F115" i="52" a="1"/>
  <c r="F115" i="52" s="1"/>
  <c r="F87" i="52" a="1"/>
  <c r="F87" i="52" s="1"/>
  <c r="J4" i="61"/>
  <c r="H4" i="61"/>
  <c r="C4" i="61"/>
  <c r="F4" i="61"/>
  <c r="K4" i="61"/>
  <c r="E4" i="61"/>
  <c r="M4" i="61"/>
  <c r="I4" i="61"/>
  <c r="H33" i="57" a="1"/>
  <c r="H27" i="57" a="1"/>
  <c r="H21" i="57" a="1"/>
  <c r="H15" i="57" a="1"/>
  <c r="H27" i="57" l="1"/>
  <c r="H33" i="57"/>
  <c r="H15" i="57"/>
  <c r="H21" i="57"/>
  <c r="Q210" i="66"/>
  <c r="Q180" i="68"/>
  <c r="Q148" i="68"/>
  <c r="Q172" i="66"/>
  <c r="Q118" i="68"/>
  <c r="Q88" i="66"/>
  <c r="Q130" i="66"/>
  <c r="Q46" i="66"/>
  <c r="Q42" i="68"/>
  <c r="Q80" i="68"/>
  <c r="O3" i="52" l="1"/>
  <c r="R4" i="52" s="1"/>
  <c r="H3" i="52"/>
  <c r="K4" i="52" s="1"/>
  <c r="H9" i="57" a="1"/>
  <c r="H9" i="57" l="1"/>
  <c r="F4" i="52"/>
  <c r="I4" i="52"/>
  <c r="H4" i="52"/>
  <c r="H9" i="52" s="1" a="1"/>
  <c r="H9" i="52" s="1"/>
  <c r="J4" i="52"/>
  <c r="P4" i="52"/>
  <c r="O4" i="52"/>
  <c r="Q4" i="52"/>
  <c r="H20" i="52" l="1" a="1"/>
  <c r="H20" i="52" s="1"/>
  <c r="H16" i="52" a="1"/>
  <c r="H16" i="52" s="1"/>
  <c r="H17" i="52" a="1"/>
  <c r="H17" i="52" s="1"/>
  <c r="H19" i="52" a="1"/>
  <c r="H19" i="52" s="1"/>
  <c r="I121" i="52" a="1"/>
  <c r="I121" i="52" s="1"/>
  <c r="I65" i="52" a="1"/>
  <c r="I65" i="52" s="1"/>
  <c r="I72" i="52" a="1"/>
  <c r="I72" i="52" s="1"/>
  <c r="I128" i="52" a="1"/>
  <c r="I128" i="52" s="1"/>
  <c r="I75" i="52" a="1"/>
  <c r="I75" i="52" s="1"/>
  <c r="I131" i="52" a="1"/>
  <c r="I131" i="52" s="1"/>
  <c r="I78" i="52" a="1"/>
  <c r="I78" i="52" s="1"/>
  <c r="P142" i="52" a="1"/>
  <c r="P142" i="52" s="1"/>
  <c r="P65" i="52" a="1"/>
  <c r="P65" i="52" s="1"/>
  <c r="P86" i="52" a="1"/>
  <c r="P86" i="52" s="1"/>
  <c r="P121" i="52" a="1"/>
  <c r="P121" i="52" s="1"/>
  <c r="P72" i="52" a="1"/>
  <c r="P72" i="52" s="1"/>
  <c r="P128" i="52" a="1"/>
  <c r="P128" i="52" s="1"/>
  <c r="P75" i="52" a="1"/>
  <c r="P75" i="52" s="1"/>
  <c r="P131" i="52" a="1"/>
  <c r="P131" i="52" s="1"/>
  <c r="P78" i="52" a="1"/>
  <c r="P78" i="52" s="1"/>
  <c r="O65" i="52" a="1"/>
  <c r="O65" i="52" s="1"/>
  <c r="O86" i="52" a="1"/>
  <c r="O86" i="52" s="1"/>
  <c r="O142" i="52" a="1"/>
  <c r="O142" i="52" s="1"/>
  <c r="O121" i="52" a="1"/>
  <c r="O121" i="52" s="1"/>
  <c r="O72" i="52" a="1"/>
  <c r="O72" i="52" s="1"/>
  <c r="O129" i="52" a="1"/>
  <c r="O129" i="52" s="1"/>
  <c r="O87" i="52" a="1"/>
  <c r="O87" i="52" s="1"/>
  <c r="O128" i="52" a="1"/>
  <c r="O128" i="52" s="1"/>
  <c r="O143" i="52" a="1"/>
  <c r="O143" i="52" s="1"/>
  <c r="O66" i="52" a="1"/>
  <c r="O66" i="52" s="1"/>
  <c r="O122" i="52" a="1"/>
  <c r="O122" i="52" s="1"/>
  <c r="O73" i="52" a="1"/>
  <c r="O73" i="52" s="1"/>
  <c r="O131" i="52" a="1"/>
  <c r="O131" i="52" s="1"/>
  <c r="O132" i="52" a="1"/>
  <c r="O132" i="52" s="1"/>
  <c r="O75" i="52" a="1"/>
  <c r="O75" i="52" s="1"/>
  <c r="O76" i="52" a="1"/>
  <c r="O76" i="52" s="1"/>
  <c r="O78" i="52" a="1"/>
  <c r="O78" i="52" s="1"/>
  <c r="O79" i="52" a="1"/>
  <c r="O79" i="52" s="1"/>
  <c r="H121" i="52" a="1"/>
  <c r="H121" i="52" s="1"/>
  <c r="H65" i="52" a="1"/>
  <c r="H65" i="52" s="1"/>
  <c r="H128" i="52" a="1"/>
  <c r="H128" i="52" s="1"/>
  <c r="H129" i="52" a="1"/>
  <c r="H129" i="52" s="1"/>
  <c r="H66" i="52" a="1"/>
  <c r="H66" i="52" s="1"/>
  <c r="H122" i="52" a="1"/>
  <c r="H122" i="52" s="1"/>
  <c r="H72" i="52" a="1"/>
  <c r="H72" i="52" s="1"/>
  <c r="H73" i="52" a="1"/>
  <c r="H73" i="52" s="1"/>
  <c r="H132" i="52" a="1"/>
  <c r="H132" i="52" s="1"/>
  <c r="H131" i="52" a="1"/>
  <c r="H131" i="52" s="1"/>
  <c r="H75" i="52" a="1"/>
  <c r="H75" i="52" s="1"/>
  <c r="H76" i="52" a="1"/>
  <c r="H76" i="52" s="1"/>
  <c r="H78" i="52" a="1"/>
  <c r="H78" i="52" s="1"/>
  <c r="H79" i="52" a="1"/>
  <c r="H79" i="52" s="1"/>
  <c r="P58" i="52" a="1"/>
  <c r="P58" i="52" s="1"/>
  <c r="P114" i="52" a="1"/>
  <c r="P114" i="52" s="1"/>
  <c r="P93" i="52" a="1"/>
  <c r="P93" i="52" s="1"/>
  <c r="P100" i="52" a="1"/>
  <c r="P100" i="52" s="1"/>
  <c r="P37" i="52" a="1"/>
  <c r="P37" i="52" s="1"/>
  <c r="P44" i="52" a="1"/>
  <c r="P44" i="52" s="1"/>
  <c r="P103" i="52" a="1"/>
  <c r="P103" i="52" s="1"/>
  <c r="P47" i="52" a="1"/>
  <c r="P47" i="52" s="1"/>
  <c r="P106" i="52" a="1"/>
  <c r="P106" i="52" s="1"/>
  <c r="P50" i="52" a="1"/>
  <c r="P50" i="52" s="1"/>
  <c r="O59" i="52" a="1"/>
  <c r="O59" i="52" s="1"/>
  <c r="O58" i="52" a="1"/>
  <c r="O58" i="52" s="1"/>
  <c r="O100" i="52" a="1"/>
  <c r="O100" i="52" s="1"/>
  <c r="O114" i="52" a="1"/>
  <c r="O114" i="52" s="1"/>
  <c r="O93" i="52" a="1"/>
  <c r="O93" i="52" s="1"/>
  <c r="O94" i="52" a="1"/>
  <c r="O94" i="52" s="1"/>
  <c r="O115" i="52" a="1"/>
  <c r="O115" i="52" s="1"/>
  <c r="O101" i="52" a="1"/>
  <c r="O101" i="52" s="1"/>
  <c r="O37" i="52" a="1"/>
  <c r="O37" i="52" s="1"/>
  <c r="O38" i="52" a="1"/>
  <c r="O38" i="52" s="1"/>
  <c r="O44" i="52" a="1"/>
  <c r="O44" i="52" s="1"/>
  <c r="O45" i="52" a="1"/>
  <c r="O45" i="52" s="1"/>
  <c r="O103" i="52" a="1"/>
  <c r="O103" i="52" s="1"/>
  <c r="O104" i="52" a="1"/>
  <c r="O104" i="52" s="1"/>
  <c r="O47" i="52" a="1"/>
  <c r="O47" i="52" s="1"/>
  <c r="O48" i="52" a="1"/>
  <c r="O48" i="52" s="1"/>
  <c r="O106" i="52" a="1"/>
  <c r="O106" i="52" s="1"/>
  <c r="O107" i="52" a="1"/>
  <c r="O107" i="52" s="1"/>
  <c r="O50" i="52" a="1"/>
  <c r="O50" i="52" s="1"/>
  <c r="O51" i="52" a="1"/>
  <c r="O51" i="52" s="1"/>
  <c r="I100" i="52" a="1"/>
  <c r="I100" i="52" s="1"/>
  <c r="I93" i="52" a="1"/>
  <c r="I93" i="52" s="1"/>
  <c r="I37" i="52" a="1"/>
  <c r="I37" i="52" s="1"/>
  <c r="I44" i="52" a="1"/>
  <c r="I44" i="52" s="1"/>
  <c r="I103" i="52" a="1"/>
  <c r="I103" i="52" s="1"/>
  <c r="I47" i="52" a="1"/>
  <c r="I47" i="52" s="1"/>
  <c r="I106" i="52" a="1"/>
  <c r="I106" i="52" s="1"/>
  <c r="I50" i="52" a="1"/>
  <c r="I50" i="52" s="1"/>
  <c r="H93" i="52" a="1"/>
  <c r="H93" i="52" s="1"/>
  <c r="H100" i="52" a="1"/>
  <c r="H100" i="52" s="1"/>
  <c r="H94" i="52" a="1"/>
  <c r="H94" i="52" s="1"/>
  <c r="H101" i="52" a="1"/>
  <c r="H101" i="52" s="1"/>
  <c r="H37" i="52" a="1"/>
  <c r="H37" i="52" s="1"/>
  <c r="H44" i="52" a="1"/>
  <c r="H44" i="52" s="1"/>
  <c r="H38" i="52" a="1"/>
  <c r="H38" i="52" s="1"/>
  <c r="H45" i="52" a="1"/>
  <c r="H45" i="52" s="1"/>
  <c r="H103" i="52" a="1"/>
  <c r="H103" i="52" s="1"/>
  <c r="H104" i="52" a="1"/>
  <c r="H104" i="52" s="1"/>
  <c r="H47" i="52" a="1"/>
  <c r="H47" i="52" s="1"/>
  <c r="H48" i="52" a="1"/>
  <c r="H48" i="52" s="1"/>
  <c r="H106" i="52" a="1"/>
  <c r="H106" i="52" s="1"/>
  <c r="H107" i="52" a="1"/>
  <c r="H107" i="52" s="1"/>
  <c r="H50" i="52" a="1"/>
  <c r="H50" i="52" s="1"/>
  <c r="H51" i="52" a="1"/>
  <c r="H51" i="52" s="1"/>
  <c r="H22" i="52" a="1"/>
  <c r="H22" i="52" s="1"/>
  <c r="H23" i="52" a="1"/>
  <c r="H23" i="52" s="1"/>
  <c r="O30" i="52" a="1"/>
  <c r="O30" i="52" s="1"/>
  <c r="O31" i="52" a="1"/>
  <c r="O31" i="52" s="1"/>
  <c r="O22" i="52" a="1"/>
  <c r="O22" i="52" s="1"/>
  <c r="O23" i="52" a="1"/>
  <c r="O23" i="52" s="1"/>
  <c r="P30" i="52" a="1"/>
  <c r="P30" i="52" s="1"/>
  <c r="P22" i="52" a="1"/>
  <c r="P22" i="52" s="1"/>
  <c r="I22" i="52" a="1"/>
  <c r="I22" i="52" s="1"/>
  <c r="I9" i="52" a="1"/>
  <c r="I9" i="52" s="1"/>
  <c r="H10" i="52" a="1"/>
  <c r="H10" i="52" s="1"/>
  <c r="O9" i="52" a="1"/>
  <c r="O9" i="52" s="1"/>
  <c r="O16" i="52" a="1"/>
  <c r="O16" i="52" s="1"/>
  <c r="O17" i="52" a="1"/>
  <c r="O17" i="52" s="1"/>
  <c r="O10" i="52" a="1"/>
  <c r="O10" i="52" s="1"/>
  <c r="O19" i="52" a="1"/>
  <c r="O19" i="52" s="1"/>
  <c r="O20" i="52" a="1"/>
  <c r="O20" i="52" s="1"/>
  <c r="I16" i="52" a="1"/>
  <c r="I16" i="52" s="1"/>
  <c r="I19" i="52" a="1"/>
  <c r="I19" i="52" s="1"/>
  <c r="P9" i="52" a="1"/>
  <c r="P9" i="52" s="1"/>
  <c r="P16" i="52" a="1"/>
  <c r="P16" i="52" s="1"/>
  <c r="P19" i="52" a="1"/>
  <c r="P19" i="52" s="1"/>
  <c r="J3" i="58"/>
  <c r="I3" i="58"/>
  <c r="Q32" i="114" l="1" a="1"/>
  <c r="Q32" i="114" s="1"/>
  <c r="H32" i="114" a="1"/>
  <c r="H32" i="114" s="1"/>
  <c r="Q32" i="113" a="1"/>
  <c r="Q32" i="113" s="1"/>
  <c r="H32" i="113" a="1"/>
  <c r="H32" i="113" s="1"/>
  <c r="Q32" i="112" a="1"/>
  <c r="Q32" i="112" s="1"/>
  <c r="H32" i="112" a="1"/>
  <c r="H32" i="112" s="1"/>
  <c r="Q32" i="111" a="1"/>
  <c r="Q32" i="111" s="1"/>
  <c r="H32" i="111" a="1"/>
  <c r="H32" i="111" s="1"/>
  <c r="H32" i="108" a="1"/>
  <c r="H32" i="108" s="1"/>
  <c r="Q32" i="108" a="1"/>
  <c r="Q32" i="108" s="1"/>
  <c r="O9" i="98" a="1"/>
  <c r="O9" i="98" s="1"/>
  <c r="O28" i="98" a="1"/>
  <c r="O28" i="98" s="1"/>
  <c r="O136" i="98" a="1"/>
  <c r="O136" i="98" s="1"/>
  <c r="O109" i="98" a="1"/>
  <c r="O109" i="98" s="1"/>
  <c r="O82" i="98" a="1"/>
  <c r="O82" i="98" s="1"/>
  <c r="O55" i="98" a="1"/>
  <c r="O55" i="98" s="1"/>
  <c r="Q55" i="98" s="1"/>
  <c r="H55" i="98" a="1"/>
  <c r="H55" i="98" s="1"/>
  <c r="H46" i="98" a="1"/>
  <c r="H46" i="98" s="1"/>
  <c r="H37" i="98" a="1"/>
  <c r="H37" i="98" s="1"/>
  <c r="H10" i="98" a="1"/>
  <c r="H10" i="98" s="1"/>
  <c r="H19" i="98" a="1"/>
  <c r="H19" i="98" s="1"/>
  <c r="H28" i="98" a="1"/>
  <c r="H28" i="98" s="1"/>
  <c r="H9" i="98" a="1"/>
  <c r="H9" i="98" s="1"/>
  <c r="O63" i="98" a="1"/>
  <c r="O63" i="98" s="1"/>
  <c r="O92" i="98" a="1"/>
  <c r="O92" i="98" s="1"/>
  <c r="O20" i="98" a="1"/>
  <c r="O20" i="98" s="1"/>
  <c r="O91" i="98" a="1"/>
  <c r="O91" i="98" s="1"/>
  <c r="O19" i="98" a="1"/>
  <c r="O19" i="98" s="1"/>
  <c r="H91" i="98" a="1"/>
  <c r="H91" i="98" s="1"/>
  <c r="H92" i="98" a="1"/>
  <c r="H92" i="98" s="1"/>
  <c r="H20" i="98" a="1"/>
  <c r="H20" i="98" s="1"/>
  <c r="H99" i="98" a="1"/>
  <c r="H99" i="98" s="1"/>
  <c r="O90" i="98" a="1"/>
  <c r="O90" i="98" s="1"/>
  <c r="O11" i="98" a="1"/>
  <c r="O11" i="98" s="1"/>
  <c r="O83" i="98" a="1"/>
  <c r="O83" i="98" s="1"/>
  <c r="O36" i="98" a="1"/>
  <c r="O36" i="98" s="1"/>
  <c r="H82" i="98" a="1"/>
  <c r="H82" i="98" s="1"/>
  <c r="H83" i="98" a="1"/>
  <c r="H83" i="98" s="1"/>
  <c r="H135" i="98" a="1"/>
  <c r="H135" i="98" s="1"/>
  <c r="O99" i="98" a="1"/>
  <c r="O99" i="98" s="1"/>
  <c r="O10" i="98" a="1"/>
  <c r="O10" i="98" s="1"/>
  <c r="O74" i="98" a="1"/>
  <c r="O74" i="98" s="1"/>
  <c r="O117" i="98" a="1"/>
  <c r="O117" i="98" s="1"/>
  <c r="O73" i="98" a="1"/>
  <c r="O73" i="98" s="1"/>
  <c r="H81" i="98" a="1"/>
  <c r="H81" i="98" s="1"/>
  <c r="H73" i="98" a="1"/>
  <c r="H73" i="98" s="1"/>
  <c r="H11" i="98" a="1"/>
  <c r="H11" i="98" s="1"/>
  <c r="H74" i="98" a="1"/>
  <c r="H74" i="98" s="1"/>
  <c r="H72" i="98" a="1"/>
  <c r="H72" i="98" s="1"/>
  <c r="O137" i="98" a="1"/>
  <c r="O137" i="98" s="1"/>
  <c r="O65" i="98" a="1"/>
  <c r="O65" i="98" s="1"/>
  <c r="O64" i="98" a="1"/>
  <c r="O64" i="98" s="1"/>
  <c r="H136" i="98" a="1"/>
  <c r="H136" i="98" s="1"/>
  <c r="H64" i="98" a="1"/>
  <c r="H64" i="98" s="1"/>
  <c r="H137" i="98" a="1"/>
  <c r="H137" i="98" s="1"/>
  <c r="H65" i="98" a="1"/>
  <c r="H65" i="98" s="1"/>
  <c r="O135" i="98" a="1"/>
  <c r="O135" i="98" s="1"/>
  <c r="H63" i="98" a="1"/>
  <c r="H63" i="98" s="1"/>
  <c r="H90" i="98" a="1"/>
  <c r="H90" i="98" s="1"/>
  <c r="O128" i="98" a="1"/>
  <c r="O128" i="98" s="1"/>
  <c r="O56" i="98" a="1"/>
  <c r="O56" i="98" s="1"/>
  <c r="O127" i="98" a="1"/>
  <c r="O127" i="98" s="1"/>
  <c r="H127" i="98" a="1"/>
  <c r="H127" i="98" s="1"/>
  <c r="H128" i="98" a="1"/>
  <c r="H128" i="98" s="1"/>
  <c r="H56" i="98" a="1"/>
  <c r="H56" i="98" s="1"/>
  <c r="O126" i="98" a="1"/>
  <c r="O126" i="98" s="1"/>
  <c r="H117" i="98" a="1"/>
  <c r="H117" i="98" s="1"/>
  <c r="H36" i="98" a="1"/>
  <c r="H36" i="98" s="1"/>
  <c r="O119" i="98" a="1"/>
  <c r="O119" i="98" s="1"/>
  <c r="O47" i="98" a="1"/>
  <c r="O47" i="98" s="1"/>
  <c r="O118" i="98" a="1"/>
  <c r="O118" i="98" s="1"/>
  <c r="O46" i="98" a="1"/>
  <c r="O46" i="98" s="1"/>
  <c r="H118" i="98" a="1"/>
  <c r="H118" i="98" s="1"/>
  <c r="H119" i="98" a="1"/>
  <c r="H119" i="98" s="1"/>
  <c r="H47" i="98" a="1"/>
  <c r="H47" i="98" s="1"/>
  <c r="H18" i="98" a="1"/>
  <c r="H18" i="98" s="1"/>
  <c r="O45" i="98" a="1"/>
  <c r="O45" i="98" s="1"/>
  <c r="O54" i="98" a="1"/>
  <c r="O54" i="98" s="1"/>
  <c r="H45" i="98" a="1"/>
  <c r="H45" i="98" s="1"/>
  <c r="H27" i="98" a="1"/>
  <c r="H27" i="98" s="1"/>
  <c r="O110" i="98" a="1"/>
  <c r="O110" i="98" s="1"/>
  <c r="O38" i="98" a="1"/>
  <c r="O38" i="98" s="1"/>
  <c r="O37" i="98" a="1"/>
  <c r="O37" i="98" s="1"/>
  <c r="H109" i="98" a="1"/>
  <c r="H109" i="98" s="1"/>
  <c r="H110" i="98" a="1"/>
  <c r="H110" i="98" s="1"/>
  <c r="H38" i="98" a="1"/>
  <c r="H38" i="98" s="1"/>
  <c r="H108" i="98" a="1"/>
  <c r="H108" i="98" s="1"/>
  <c r="O81" i="98" a="1"/>
  <c r="O81" i="98" s="1"/>
  <c r="H54" i="98" a="1"/>
  <c r="H54" i="98" s="1"/>
  <c r="O18" i="98" a="1"/>
  <c r="O18" i="98" s="1"/>
  <c r="O101" i="98" a="1"/>
  <c r="O101" i="98" s="1"/>
  <c r="O29" i="98" a="1"/>
  <c r="O29" i="98" s="1"/>
  <c r="O100" i="98" a="1"/>
  <c r="O100" i="98" s="1"/>
  <c r="H100" i="98" a="1"/>
  <c r="H100" i="98" s="1"/>
  <c r="H101" i="98" a="1"/>
  <c r="H101" i="98" s="1"/>
  <c r="H29" i="98" a="1"/>
  <c r="H29" i="98" s="1"/>
  <c r="H126" i="98" a="1"/>
  <c r="H126" i="98" s="1"/>
  <c r="O72" i="98" a="1"/>
  <c r="O72" i="98" s="1"/>
  <c r="O108" i="98" a="1"/>
  <c r="O108" i="98" s="1"/>
  <c r="O27" i="98" a="1"/>
  <c r="O27" i="98" s="1"/>
  <c r="P182" i="66" a="1"/>
  <c r="P182" i="66" s="1"/>
  <c r="P116" i="68" a="1"/>
  <c r="P116" i="68" s="1"/>
  <c r="Q116" i="68" s="1"/>
  <c r="R116" i="68" s="1"/>
  <c r="I167" i="68" a="1"/>
  <c r="I167" i="68" s="1"/>
  <c r="P61" i="68" a="1"/>
  <c r="P61" i="68" s="1"/>
  <c r="P12" i="68" a="1"/>
  <c r="P12" i="68" s="1"/>
  <c r="I50" i="68" a="1"/>
  <c r="I50" i="68" s="1"/>
  <c r="P167" i="68" a="1"/>
  <c r="P167" i="68" s="1"/>
  <c r="I61" i="68" a="1"/>
  <c r="I61" i="68" s="1"/>
  <c r="P50" i="68" a="1"/>
  <c r="P50" i="68" s="1"/>
  <c r="P178" i="68" a="1"/>
  <c r="P178" i="68" s="1"/>
  <c r="Q178" i="68" s="1"/>
  <c r="R178" i="68" s="1"/>
  <c r="I99" i="68" a="1"/>
  <c r="I99" i="68" s="1"/>
  <c r="I23" i="68" a="1"/>
  <c r="I23" i="68" s="1"/>
  <c r="P40" i="68" a="1"/>
  <c r="P40" i="68" s="1"/>
  <c r="Q40" i="68" s="1"/>
  <c r="R40" i="68" s="1"/>
  <c r="P99" i="68" a="1"/>
  <c r="P99" i="68" s="1"/>
  <c r="I155" i="68" a="1"/>
  <c r="I155" i="68" s="1"/>
  <c r="I88" i="68" a="1"/>
  <c r="I88" i="68" s="1"/>
  <c r="P23" i="68" a="1"/>
  <c r="P23" i="68" s="1"/>
  <c r="P78" i="68" a="1"/>
  <c r="P78" i="68" s="1"/>
  <c r="Q78" i="68" s="1"/>
  <c r="R78" i="68" s="1"/>
  <c r="P88" i="68" a="1"/>
  <c r="P88" i="68" s="1"/>
  <c r="I12" i="68" a="1"/>
  <c r="I12" i="68" s="1"/>
  <c r="I156" i="68" a="1"/>
  <c r="I156" i="68" s="1"/>
  <c r="P156" i="68" a="1"/>
  <c r="P156" i="68" s="1"/>
  <c r="P29" i="68" a="1"/>
  <c r="P29" i="68" s="1"/>
  <c r="I67" i="68" a="1"/>
  <c r="I67" i="68" s="1"/>
  <c r="I29" i="68" a="1"/>
  <c r="I29" i="68" s="1"/>
  <c r="P67" i="68" a="1"/>
  <c r="P67" i="68" s="1"/>
  <c r="I105" i="68" a="1"/>
  <c r="I105" i="68" s="1"/>
  <c r="P105" i="68" a="1"/>
  <c r="P105" i="68" s="1"/>
  <c r="P208" i="66" a="1"/>
  <c r="P208" i="66" s="1"/>
  <c r="Q208" i="66" s="1"/>
  <c r="R208" i="66" s="1"/>
  <c r="P195" i="66" a="1"/>
  <c r="P195" i="66" s="1"/>
  <c r="I195" i="66" a="1"/>
  <c r="I195" i="66" s="1"/>
  <c r="I182" i="66" a="1"/>
  <c r="I182" i="66" s="1"/>
  <c r="Q86" i="52"/>
  <c r="P147" i="66" a="1"/>
  <c r="P147" i="66" s="1"/>
  <c r="P40" i="66" a="1"/>
  <c r="P40" i="66" s="1"/>
  <c r="P154" i="66" a="1"/>
  <c r="P154" i="66" s="1"/>
  <c r="P135" i="66" a="1"/>
  <c r="P135" i="66" s="1"/>
  <c r="P177" i="66" a="1"/>
  <c r="P177" i="66" s="1"/>
  <c r="P166" i="66" a="1"/>
  <c r="P166" i="66" s="1"/>
  <c r="P104" i="52"/>
  <c r="P59" i="52"/>
  <c r="P17" i="52"/>
  <c r="I104" i="52"/>
  <c r="I17" i="52"/>
  <c r="P101" i="52"/>
  <c r="P51" i="52"/>
  <c r="P10" i="52"/>
  <c r="I101" i="52"/>
  <c r="I51" i="52"/>
  <c r="P143" i="52"/>
  <c r="Q143" i="52" s="1"/>
  <c r="P94" i="52"/>
  <c r="P48" i="52"/>
  <c r="I94" i="52"/>
  <c r="I48" i="52"/>
  <c r="I129" i="52"/>
  <c r="I79" i="52"/>
  <c r="P122" i="52"/>
  <c r="I122" i="52"/>
  <c r="I10" i="52"/>
  <c r="P132" i="52"/>
  <c r="P87" i="52"/>
  <c r="Q87" i="52" s="1"/>
  <c r="P45" i="52"/>
  <c r="I132" i="52"/>
  <c r="I45" i="52"/>
  <c r="P38" i="52"/>
  <c r="I38" i="52"/>
  <c r="P31" i="52"/>
  <c r="I20" i="52"/>
  <c r="P129" i="52"/>
  <c r="P79" i="52"/>
  <c r="P76" i="52"/>
  <c r="I76" i="52"/>
  <c r="P115" i="52"/>
  <c r="Q115" i="52" s="1"/>
  <c r="P73" i="52"/>
  <c r="P23" i="52"/>
  <c r="I73" i="52"/>
  <c r="I23" i="52"/>
  <c r="P107" i="52"/>
  <c r="P66" i="52"/>
  <c r="P20" i="52"/>
  <c r="I107" i="52"/>
  <c r="I66" i="52"/>
  <c r="I154" i="66" a="1"/>
  <c r="I154" i="66" s="1"/>
  <c r="I139" i="52" a="1"/>
  <c r="I139" i="52" s="1"/>
  <c r="H140" i="52" a="1"/>
  <c r="H140" i="52" s="1"/>
  <c r="I141" i="52" a="1"/>
  <c r="I141" i="52" s="1"/>
  <c r="O140" i="52" a="1"/>
  <c r="O140" i="52" s="1"/>
  <c r="O141" i="52" a="1"/>
  <c r="O141" i="52" s="1"/>
  <c r="H141" i="52" a="1"/>
  <c r="H141" i="52" s="1"/>
  <c r="I140" i="52" a="1"/>
  <c r="I140" i="52" s="1"/>
  <c r="P140" i="52" a="1"/>
  <c r="P140" i="52" s="1"/>
  <c r="P139" i="52" a="1"/>
  <c r="P139" i="52" s="1"/>
  <c r="P141" i="52" a="1"/>
  <c r="P141" i="52" s="1"/>
  <c r="O139" i="52" a="1"/>
  <c r="O139" i="52" s="1"/>
  <c r="H139" i="52" a="1"/>
  <c r="H139" i="52" s="1"/>
  <c r="Q142" i="52"/>
  <c r="Q114" i="52"/>
  <c r="F15" i="61" a="1"/>
  <c r="F15" i="61" s="1"/>
  <c r="G15" i="61" s="1"/>
  <c r="J16" i="61" a="1"/>
  <c r="J16" i="61" s="1"/>
  <c r="E17" i="61" a="1"/>
  <c r="E17" i="61" s="1"/>
  <c r="C18" i="61" a="1"/>
  <c r="C18" i="61" s="1"/>
  <c r="E15" i="61" a="1"/>
  <c r="E15" i="61" s="1"/>
  <c r="F18" i="61" a="1"/>
  <c r="F18" i="61" s="1"/>
  <c r="F14" i="61" a="1"/>
  <c r="F14" i="61" s="1"/>
  <c r="J15" i="61" a="1"/>
  <c r="J15" i="61" s="1"/>
  <c r="E16" i="61" a="1"/>
  <c r="E16" i="61" s="1"/>
  <c r="C17" i="61" a="1"/>
  <c r="C17" i="61" s="1"/>
  <c r="J14" i="61" a="1"/>
  <c r="J14" i="61" s="1"/>
  <c r="F17" i="61" a="1"/>
  <c r="F17" i="61" s="1"/>
  <c r="J18" i="61" a="1"/>
  <c r="J18" i="61" s="1"/>
  <c r="F16" i="61" a="1"/>
  <c r="F16" i="61" s="1"/>
  <c r="J17" i="61" a="1"/>
  <c r="J17" i="61" s="1"/>
  <c r="E18" i="61" a="1"/>
  <c r="E18" i="61" s="1"/>
  <c r="E14" i="61" a="1"/>
  <c r="E14" i="61" s="1"/>
  <c r="C15" i="61" a="1"/>
  <c r="C15" i="61" s="1"/>
  <c r="C14" i="61" a="1"/>
  <c r="C14" i="61" s="1"/>
  <c r="C16" i="61" a="1"/>
  <c r="C16" i="61" s="1"/>
  <c r="P203" i="66" a="1"/>
  <c r="P203" i="66" s="1"/>
  <c r="P20" i="68" a="1"/>
  <c r="P20" i="68" s="1"/>
  <c r="I164" i="68" a="1"/>
  <c r="I164" i="68" s="1"/>
  <c r="I132" i="68" a="1"/>
  <c r="I132" i="68" s="1"/>
  <c r="I153" i="68" a="1"/>
  <c r="I153" i="68" s="1"/>
  <c r="P47" i="68" a="1"/>
  <c r="P47" i="68" s="1"/>
  <c r="P96" i="68" a="1"/>
  <c r="P96" i="68" s="1"/>
  <c r="P9" i="68" a="1"/>
  <c r="P9" i="68" s="1"/>
  <c r="P58" i="68" a="1"/>
  <c r="P58" i="68" s="1"/>
  <c r="P145" i="68" a="1"/>
  <c r="P145" i="68" s="1"/>
  <c r="P123" i="68" a="1"/>
  <c r="P123" i="68" s="1"/>
  <c r="P164" i="68" a="1"/>
  <c r="P164" i="68" s="1"/>
  <c r="I58" i="68" a="1"/>
  <c r="I58" i="68" s="1"/>
  <c r="P113" i="68" a="1"/>
  <c r="P113" i="68" s="1"/>
  <c r="P85" i="68" a="1"/>
  <c r="P85" i="68" s="1"/>
  <c r="I47" i="68" a="1"/>
  <c r="I47" i="68" s="1"/>
  <c r="I9" i="68" a="1"/>
  <c r="I9" i="68" s="1"/>
  <c r="P175" i="68" a="1"/>
  <c r="P175" i="68" s="1"/>
  <c r="I85" i="68" a="1"/>
  <c r="I85" i="68" s="1"/>
  <c r="I123" i="68" a="1"/>
  <c r="I123" i="68" s="1"/>
  <c r="I20" i="68" a="1"/>
  <c r="I20" i="68" s="1"/>
  <c r="P75" i="68" a="1"/>
  <c r="P75" i="68" s="1"/>
  <c r="P132" i="68" a="1"/>
  <c r="P132" i="68" s="1"/>
  <c r="P153" i="68" a="1"/>
  <c r="P153" i="68" s="1"/>
  <c r="P37" i="68" a="1"/>
  <c r="P37" i="68" s="1"/>
  <c r="I96" i="68" a="1"/>
  <c r="I96" i="68" s="1"/>
  <c r="I86" i="68" a="1"/>
  <c r="I86" i="68" s="1"/>
  <c r="I59" i="68" a="1"/>
  <c r="I59" i="68" s="1"/>
  <c r="I48" i="68" a="1"/>
  <c r="I48" i="68" s="1"/>
  <c r="P146" i="68" a="1"/>
  <c r="P146" i="68" s="1"/>
  <c r="P147" i="68" s="1" a="1"/>
  <c r="P147" i="68" s="1"/>
  <c r="P115" i="68" a="1"/>
  <c r="P115" i="68" s="1"/>
  <c r="P97" i="68" a="1"/>
  <c r="P97" i="68" s="1"/>
  <c r="P154" i="68" a="1"/>
  <c r="P154" i="68" s="1"/>
  <c r="P21" i="68" a="1"/>
  <c r="P21" i="68" s="1"/>
  <c r="I154" i="68" a="1"/>
  <c r="I154" i="68" s="1"/>
  <c r="P86" i="68" a="1"/>
  <c r="P86" i="68" s="1"/>
  <c r="P38" i="68" a="1"/>
  <c r="P38" i="68" s="1"/>
  <c r="P48" i="68" a="1"/>
  <c r="P48" i="68" s="1"/>
  <c r="P165" i="68" a="1"/>
  <c r="P165" i="68" s="1"/>
  <c r="I97" i="68" a="1"/>
  <c r="I97" i="68" s="1"/>
  <c r="I10" i="68" a="1"/>
  <c r="I10" i="68" s="1"/>
  <c r="P176" i="68" a="1"/>
  <c r="P176" i="68" s="1"/>
  <c r="I124" i="68" a="1"/>
  <c r="I124" i="68" s="1"/>
  <c r="P114" i="68" a="1"/>
  <c r="P114" i="68" s="1"/>
  <c r="I165" i="68" a="1"/>
  <c r="I165" i="68" s="1"/>
  <c r="P76" i="68" a="1"/>
  <c r="P76" i="68" s="1"/>
  <c r="I133" i="68" a="1"/>
  <c r="I133" i="68" s="1"/>
  <c r="I21" i="68" a="1"/>
  <c r="I21" i="68" s="1"/>
  <c r="P10" i="68" a="1"/>
  <c r="P10" i="68" s="1"/>
  <c r="P59" i="68" a="1"/>
  <c r="P59" i="68" s="1"/>
  <c r="P124" i="68" a="1"/>
  <c r="P124" i="68" s="1"/>
  <c r="P125" i="68" s="1" a="1"/>
  <c r="P125" i="68" s="1"/>
  <c r="P133" i="68" a="1"/>
  <c r="P133" i="68" s="1"/>
  <c r="P155" i="68" a="1"/>
  <c r="P155" i="68" s="1"/>
  <c r="P98" i="68" a="1"/>
  <c r="P98" i="68" s="1"/>
  <c r="P60" i="68" a="1"/>
  <c r="P60" i="68" s="1"/>
  <c r="P22" i="68" a="1"/>
  <c r="P22" i="68" s="1"/>
  <c r="I166" i="68" a="1"/>
  <c r="I166" i="68" s="1"/>
  <c r="P177" i="68" a="1"/>
  <c r="P177" i="68" s="1"/>
  <c r="P11" i="68" a="1"/>
  <c r="P11" i="68" s="1"/>
  <c r="P166" i="68" a="1"/>
  <c r="P166" i="68" s="1"/>
  <c r="I98" i="68" a="1"/>
  <c r="I98" i="68" s="1"/>
  <c r="I60" i="68" a="1"/>
  <c r="I60" i="68" s="1"/>
  <c r="P49" i="68" a="1"/>
  <c r="P49" i="68" s="1"/>
  <c r="P87" i="68" a="1"/>
  <c r="P87" i="68" s="1"/>
  <c r="I22" i="68" a="1"/>
  <c r="I22" i="68" s="1"/>
  <c r="P39" i="68" a="1"/>
  <c r="P39" i="68" s="1"/>
  <c r="I11" i="68" a="1"/>
  <c r="I11" i="68" s="1"/>
  <c r="I49" i="68" a="1"/>
  <c r="I49" i="68" s="1"/>
  <c r="P77" i="68" a="1"/>
  <c r="P77" i="68" s="1"/>
  <c r="I87" i="68" a="1"/>
  <c r="I87" i="68" s="1"/>
  <c r="P136" i="68" a="1"/>
  <c r="P136" i="68" s="1"/>
  <c r="I136" i="68" a="1"/>
  <c r="I136" i="68" s="1"/>
  <c r="P64" i="68" a="1"/>
  <c r="P64" i="68" s="1"/>
  <c r="P137" i="68" a="1"/>
  <c r="P137" i="68" s="1"/>
  <c r="I64" i="68" a="1"/>
  <c r="I64" i="68" s="1"/>
  <c r="I137" i="68" a="1"/>
  <c r="I137" i="68" s="1"/>
  <c r="P102" i="68" a="1"/>
  <c r="P102" i="68" s="1"/>
  <c r="P26" i="68" a="1"/>
  <c r="P26" i="68" s="1"/>
  <c r="I102" i="68" a="1"/>
  <c r="I102" i="68" s="1"/>
  <c r="I26" i="68" a="1"/>
  <c r="I26" i="68" s="1"/>
  <c r="I65" i="68" a="1"/>
  <c r="I65" i="68" s="1"/>
  <c r="P103" i="68" a="1"/>
  <c r="P103" i="68" s="1"/>
  <c r="I27" i="68" a="1"/>
  <c r="I27" i="68" s="1"/>
  <c r="P65" i="68" a="1"/>
  <c r="P65" i="68" s="1"/>
  <c r="P27" i="68" a="1"/>
  <c r="P27" i="68" s="1"/>
  <c r="I103" i="68" a="1"/>
  <c r="I103" i="68" s="1"/>
  <c r="P28" i="68" a="1"/>
  <c r="P28" i="68" s="1"/>
  <c r="I66" i="68" a="1"/>
  <c r="I66" i="68" s="1"/>
  <c r="P66" i="68" a="1"/>
  <c r="P66" i="68" s="1"/>
  <c r="I28" i="68" a="1"/>
  <c r="I28" i="68" s="1"/>
  <c r="P104" i="68" a="1"/>
  <c r="P104" i="68" s="1"/>
  <c r="I104" i="68" a="1"/>
  <c r="I104" i="68" s="1"/>
  <c r="P190" i="66" a="1"/>
  <c r="P190" i="66" s="1"/>
  <c r="P105" i="66" a="1"/>
  <c r="P105" i="66" s="1"/>
  <c r="P136" i="66" a="1"/>
  <c r="P136" i="66" s="1"/>
  <c r="P83" i="66" a="1"/>
  <c r="P83" i="66" s="1"/>
  <c r="P64" i="66" a="1"/>
  <c r="P64" i="66" s="1"/>
  <c r="P149" i="66" a="1"/>
  <c r="P149" i="66" s="1"/>
  <c r="P107" i="66" a="1"/>
  <c r="P107" i="66" s="1"/>
  <c r="P179" i="66" a="1"/>
  <c r="P179" i="66" s="1"/>
  <c r="P84" i="66" a="1"/>
  <c r="P84" i="66" s="1"/>
  <c r="P108" i="66" a="1"/>
  <c r="P108" i="66" s="1"/>
  <c r="P12" i="66" a="1"/>
  <c r="P12" i="66" s="1"/>
  <c r="P169" i="66" a="1"/>
  <c r="P169" i="66" s="1"/>
  <c r="P193" i="66" a="1"/>
  <c r="P193" i="66" s="1"/>
  <c r="P86" i="66" a="1"/>
  <c r="P86" i="66" s="1"/>
  <c r="P25" i="66" a="1"/>
  <c r="P25" i="66" s="1"/>
  <c r="P128" i="66" a="1"/>
  <c r="P128" i="66" s="1"/>
  <c r="P112" i="66" a="1"/>
  <c r="P112" i="66" s="1"/>
  <c r="P29" i="66" a="1"/>
  <c r="P29" i="66" s="1"/>
  <c r="P71" i="66" a="1"/>
  <c r="P71" i="66" s="1"/>
  <c r="P156" i="66" a="1"/>
  <c r="P156" i="66" s="1"/>
  <c r="P115" i="66" a="1"/>
  <c r="P115" i="66" s="1"/>
  <c r="P151" i="66" a="1"/>
  <c r="P151" i="66" s="1"/>
  <c r="P72" i="66" a="1"/>
  <c r="P72" i="66" s="1"/>
  <c r="P124" i="66" a="1"/>
  <c r="P124" i="66" s="1"/>
  <c r="P148" i="66" a="1"/>
  <c r="P148" i="66" s="1"/>
  <c r="P94" i="66" a="1"/>
  <c r="P94" i="66" s="1"/>
  <c r="P22" i="66" a="1"/>
  <c r="P22" i="66" s="1"/>
  <c r="P204" i="66" a="1"/>
  <c r="P204" i="66" s="1"/>
  <c r="P137" i="66" a="1"/>
  <c r="P137" i="66" s="1"/>
  <c r="P53" i="66" a="1"/>
  <c r="P53" i="66" s="1"/>
  <c r="P126" i="66" a="1"/>
  <c r="P126" i="66" s="1"/>
  <c r="P168" i="66" a="1"/>
  <c r="P168" i="66" s="1"/>
  <c r="P24" i="66" a="1"/>
  <c r="P24" i="66" s="1"/>
  <c r="P96" i="66" a="1"/>
  <c r="P96" i="66" s="1"/>
  <c r="P66" i="66" a="1"/>
  <c r="P66" i="66" s="1"/>
  <c r="P180" i="66" a="1"/>
  <c r="P180" i="66" s="1"/>
  <c r="P170" i="66" a="1"/>
  <c r="P170" i="66" s="1"/>
  <c r="P181" i="66" a="1"/>
  <c r="P181" i="66" s="1"/>
  <c r="P109" i="66" a="1"/>
  <c r="P109" i="66" s="1"/>
  <c r="P155" i="66" a="1"/>
  <c r="P155" i="66" s="1"/>
  <c r="P30" i="66" a="1"/>
  <c r="P30" i="66" s="1"/>
  <c r="P157" i="66" a="1"/>
  <c r="P157" i="66" s="1"/>
  <c r="P158" i="66" a="1"/>
  <c r="P158" i="66" s="1"/>
  <c r="P194" i="66" a="1"/>
  <c r="P194" i="66" s="1"/>
  <c r="P73" i="66" a="1"/>
  <c r="P73" i="66" s="1"/>
  <c r="P51" i="66" a="1"/>
  <c r="P51" i="66" s="1"/>
  <c r="P63" i="66" a="1"/>
  <c r="P63" i="66" s="1"/>
  <c r="P93" i="66" a="1"/>
  <c r="P93" i="66" s="1"/>
  <c r="P106" i="66" a="1"/>
  <c r="P106" i="66" s="1"/>
  <c r="P191" i="66" a="1"/>
  <c r="P191" i="66" s="1"/>
  <c r="P10" i="66" a="1"/>
  <c r="P10" i="66" s="1"/>
  <c r="P52" i="66" a="1"/>
  <c r="P52" i="66" s="1"/>
  <c r="P11" i="66" a="1"/>
  <c r="P11" i="66" s="1"/>
  <c r="P65" i="66" a="1"/>
  <c r="P65" i="66" s="1"/>
  <c r="P42" i="66" a="1"/>
  <c r="P42" i="66" s="1"/>
  <c r="P95" i="66" a="1"/>
  <c r="P95" i="66" s="1"/>
  <c r="P85" i="66" a="1"/>
  <c r="P85" i="66" s="1"/>
  <c r="P127" i="66" a="1"/>
  <c r="P127" i="66" s="1"/>
  <c r="P138" i="66" a="1"/>
  <c r="P138" i="66" s="1"/>
  <c r="P97" i="66" a="1"/>
  <c r="P97" i="66" s="1"/>
  <c r="P70" i="66" a="1"/>
  <c r="P70" i="66" s="1"/>
  <c r="P21" i="66" a="1"/>
  <c r="P21" i="66" s="1"/>
  <c r="P82" i="66" a="1"/>
  <c r="P82" i="66" s="1"/>
  <c r="P9" i="66" a="1"/>
  <c r="P9" i="66" s="1"/>
  <c r="P41" i="66" a="1"/>
  <c r="P41" i="66" s="1"/>
  <c r="P125" i="66" a="1"/>
  <c r="P125" i="66" s="1"/>
  <c r="P178" i="66" a="1"/>
  <c r="P178" i="66" s="1"/>
  <c r="P167" i="66" a="1"/>
  <c r="P167" i="66" s="1"/>
  <c r="P205" i="66" a="1"/>
  <c r="P205" i="66" s="1"/>
  <c r="P23" i="66" a="1"/>
  <c r="P23" i="66" s="1"/>
  <c r="P192" i="66" a="1"/>
  <c r="P192" i="66" s="1"/>
  <c r="P206" i="66" a="1"/>
  <c r="P206" i="66" s="1"/>
  <c r="P54" i="66" a="1"/>
  <c r="P54" i="66" s="1"/>
  <c r="P43" i="66" a="1"/>
  <c r="P43" i="66" s="1"/>
  <c r="P150" i="66" a="1"/>
  <c r="P150" i="66" s="1"/>
  <c r="P207" i="66" a="1"/>
  <c r="P207" i="66" s="1"/>
  <c r="P67" i="66" a="1"/>
  <c r="P67" i="66" s="1"/>
  <c r="P139" i="66" a="1"/>
  <c r="P139" i="66" s="1"/>
  <c r="P55" i="66" a="1"/>
  <c r="P55" i="66" s="1"/>
  <c r="P28" i="66" a="1"/>
  <c r="P28" i="66" s="1"/>
  <c r="P44" i="66" a="1"/>
  <c r="P44" i="66" s="1"/>
  <c r="P114" i="66" a="1"/>
  <c r="P114" i="66" s="1"/>
  <c r="P31" i="66" a="1"/>
  <c r="P31" i="66" s="1"/>
  <c r="P116" i="66" a="1"/>
  <c r="P116" i="66" s="1"/>
  <c r="P32" i="66" a="1"/>
  <c r="P32" i="66" s="1"/>
  <c r="P13" i="66" a="1"/>
  <c r="P13" i="66" s="1"/>
  <c r="P113" i="66" a="1"/>
  <c r="P113" i="66" s="1"/>
  <c r="P74" i="66" a="1"/>
  <c r="P74" i="66" s="1"/>
  <c r="I9" i="66" a="1"/>
  <c r="I9" i="66" s="1"/>
  <c r="I135" i="66" a="1"/>
  <c r="I135" i="66" s="1"/>
  <c r="I93" i="66" a="1"/>
  <c r="I93" i="66" s="1"/>
  <c r="I22" i="66" a="1"/>
  <c r="I22" i="66" s="1"/>
  <c r="I52" i="66" a="1"/>
  <c r="I52" i="66" s="1"/>
  <c r="I65" i="66" a="1"/>
  <c r="I65" i="66" s="1"/>
  <c r="I137" i="66" a="1"/>
  <c r="I137" i="66" s="1"/>
  <c r="I192" i="66" a="1"/>
  <c r="I192" i="66" s="1"/>
  <c r="I193" i="66" a="1"/>
  <c r="I193" i="66" s="1"/>
  <c r="I108" i="66" a="1"/>
  <c r="I108" i="66" s="1"/>
  <c r="I13" i="66" a="1"/>
  <c r="I13" i="66" s="1"/>
  <c r="I181" i="66" a="1"/>
  <c r="I181" i="66" s="1"/>
  <c r="I70" i="66" a="1"/>
  <c r="I70" i="66" s="1"/>
  <c r="I113" i="66" a="1"/>
  <c r="I113" i="66" s="1"/>
  <c r="I29" i="66" a="1"/>
  <c r="I29" i="66" s="1"/>
  <c r="I156" i="66" a="1"/>
  <c r="I156" i="66" s="1"/>
  <c r="I157" i="66" a="1"/>
  <c r="I157" i="66" s="1"/>
  <c r="I74" i="66" a="1"/>
  <c r="I74" i="66" s="1"/>
  <c r="I53" i="66" a="1"/>
  <c r="I53" i="66" s="1"/>
  <c r="I55" i="66" a="1"/>
  <c r="I55" i="66" s="1"/>
  <c r="I67" i="66" a="1"/>
  <c r="I67" i="66" s="1"/>
  <c r="I28" i="66" a="1"/>
  <c r="I28" i="66" s="1"/>
  <c r="I32" i="66" a="1"/>
  <c r="I32" i="66" s="1"/>
  <c r="I178" i="66" a="1"/>
  <c r="I178" i="66" s="1"/>
  <c r="I96" i="66" a="1"/>
  <c r="I96" i="66" s="1"/>
  <c r="I151" i="66" a="1"/>
  <c r="I151" i="66" s="1"/>
  <c r="I25" i="66" a="1"/>
  <c r="I25" i="66" s="1"/>
  <c r="I158" i="66" a="1"/>
  <c r="I158" i="66" s="1"/>
  <c r="I63" i="66" a="1"/>
  <c r="I63" i="66" s="1"/>
  <c r="I191" i="66" a="1"/>
  <c r="I191" i="66" s="1"/>
  <c r="I136" i="66" a="1"/>
  <c r="I136" i="66" s="1"/>
  <c r="I23" i="66" a="1"/>
  <c r="I23" i="66" s="1"/>
  <c r="I149" i="66" a="1"/>
  <c r="I149" i="66" s="1"/>
  <c r="I11" i="66" a="1"/>
  <c r="I11" i="66" s="1"/>
  <c r="I107" i="66" a="1"/>
  <c r="I107" i="66" s="1"/>
  <c r="I66" i="66" a="1"/>
  <c r="I66" i="66" s="1"/>
  <c r="I24" i="66" a="1"/>
  <c r="I24" i="66" s="1"/>
  <c r="I150" i="66" a="1"/>
  <c r="I150" i="66" s="1"/>
  <c r="I109" i="66" a="1"/>
  <c r="I109" i="66" s="1"/>
  <c r="I112" i="66" a="1"/>
  <c r="I112" i="66" s="1"/>
  <c r="I71" i="66" a="1"/>
  <c r="I71" i="66" s="1"/>
  <c r="I72" i="66" a="1"/>
  <c r="I72" i="66" s="1"/>
  <c r="I73" i="66" a="1"/>
  <c r="I73" i="66" s="1"/>
  <c r="I116" i="66" a="1"/>
  <c r="I116" i="66" s="1"/>
  <c r="I12" i="66" a="1"/>
  <c r="I12" i="66" s="1"/>
  <c r="I180" i="66" a="1"/>
  <c r="I180" i="66" s="1"/>
  <c r="I97" i="66" a="1"/>
  <c r="I97" i="66" s="1"/>
  <c r="I155" i="66" a="1"/>
  <c r="I155" i="66" s="1"/>
  <c r="I115" i="66" a="1"/>
  <c r="I115" i="66" s="1"/>
  <c r="I106" i="66" a="1"/>
  <c r="I106" i="66" s="1"/>
  <c r="I10" i="66" a="1"/>
  <c r="I10" i="66" s="1"/>
  <c r="I114" i="66" a="1"/>
  <c r="I114" i="66" s="1"/>
  <c r="I190" i="66" a="1"/>
  <c r="I190" i="66" s="1"/>
  <c r="I51" i="66" a="1"/>
  <c r="I51" i="66" s="1"/>
  <c r="I105" i="66" a="1"/>
  <c r="I105" i="66" s="1"/>
  <c r="I64" i="66" a="1"/>
  <c r="I64" i="66" s="1"/>
  <c r="I148" i="66" a="1"/>
  <c r="I148" i="66" s="1"/>
  <c r="I94" i="66" a="1"/>
  <c r="I94" i="66" s="1"/>
  <c r="I179" i="66" a="1"/>
  <c r="I179" i="66" s="1"/>
  <c r="I139" i="66" a="1"/>
  <c r="I139" i="66" s="1"/>
  <c r="I30" i="66" a="1"/>
  <c r="I30" i="66" s="1"/>
  <c r="I54" i="66" a="1"/>
  <c r="I54" i="66" s="1"/>
  <c r="I194" i="66" a="1"/>
  <c r="I194" i="66" s="1"/>
  <c r="I31" i="66" a="1"/>
  <c r="I31" i="66" s="1"/>
  <c r="I147" i="66" a="1"/>
  <c r="I147" i="66" s="1"/>
  <c r="I177" i="66" a="1"/>
  <c r="I177" i="66" s="1"/>
  <c r="I21" i="66" a="1"/>
  <c r="I21" i="66" s="1"/>
  <c r="I95" i="66" a="1"/>
  <c r="I95" i="66" s="1"/>
  <c r="I138" i="66" a="1"/>
  <c r="I138" i="66" s="1"/>
  <c r="D67" i="83" a="1"/>
  <c r="D51" i="83" a="1"/>
  <c r="D75" i="83" a="1"/>
  <c r="D83" i="83" a="1"/>
  <c r="D59" i="83" a="1"/>
  <c r="C12" i="113" l="1" a="1"/>
  <c r="C12" i="113" s="1"/>
  <c r="C11" i="113" s="1"/>
  <c r="C12" i="114" a="1"/>
  <c r="C12" i="114" s="1"/>
  <c r="C11" i="114" s="1"/>
  <c r="D13" i="113" a="1"/>
  <c r="D13" i="113" s="1"/>
  <c r="D13" i="114" a="1"/>
  <c r="D13" i="114" s="1"/>
  <c r="D12" i="113" a="1"/>
  <c r="D12" i="113" s="1"/>
  <c r="D12" i="114" a="1"/>
  <c r="D12" i="114" s="1"/>
  <c r="J38" i="114"/>
  <c r="S38" i="114"/>
  <c r="J38" i="113"/>
  <c r="S38" i="113"/>
  <c r="D12" i="111" a="1"/>
  <c r="D12" i="111" s="1"/>
  <c r="D12" i="112" a="1"/>
  <c r="D12" i="112" s="1"/>
  <c r="J38" i="112"/>
  <c r="C12" i="111" a="1"/>
  <c r="C12" i="111" s="1"/>
  <c r="C11" i="111" s="1"/>
  <c r="C12" i="112" a="1"/>
  <c r="C12" i="112" s="1"/>
  <c r="C11" i="112" s="1"/>
  <c r="D13" i="111" a="1"/>
  <c r="D13" i="111" s="1"/>
  <c r="D13" i="112" a="1"/>
  <c r="D13" i="112" s="1"/>
  <c r="S38" i="112"/>
  <c r="J38" i="111"/>
  <c r="D13" i="108" a="1"/>
  <c r="D13" i="108" s="1"/>
  <c r="S38" i="111"/>
  <c r="O138" i="98"/>
  <c r="C12" i="108" a="1"/>
  <c r="C12" i="108" s="1"/>
  <c r="C11" i="108" s="1"/>
  <c r="S38" i="108"/>
  <c r="D12" i="108" a="1"/>
  <c r="D12" i="108" s="1"/>
  <c r="J38" i="108"/>
  <c r="O21" i="98"/>
  <c r="O22" i="98" s="1"/>
  <c r="O75" i="98"/>
  <c r="O76" i="98" s="1"/>
  <c r="Q137" i="98"/>
  <c r="O93" i="98"/>
  <c r="O94" i="98" s="1"/>
  <c r="Q109" i="98"/>
  <c r="O111" i="98"/>
  <c r="O112" i="98" s="1"/>
  <c r="O30" i="98"/>
  <c r="O31" i="98" s="1"/>
  <c r="F19" i="98" a="1"/>
  <c r="F19" i="98" s="1"/>
  <c r="F20" i="98" a="1"/>
  <c r="F20" i="98" s="1"/>
  <c r="F21" i="98" a="1"/>
  <c r="F21" i="98" s="1"/>
  <c r="F22" i="98" a="1"/>
  <c r="F22" i="98" s="1"/>
  <c r="F100" i="98" a="1"/>
  <c r="F100" i="98" s="1"/>
  <c r="F101" i="98" a="1"/>
  <c r="F101" i="98" s="1"/>
  <c r="F102" i="98" a="1"/>
  <c r="F102" i="98" s="1"/>
  <c r="F103" i="98" a="1"/>
  <c r="F103" i="98" s="1"/>
  <c r="F127" i="98" a="1"/>
  <c r="F127" i="98" s="1"/>
  <c r="F128" i="98" a="1"/>
  <c r="F128" i="98" s="1"/>
  <c r="F129" i="98" a="1"/>
  <c r="F129" i="98" s="1"/>
  <c r="F130" i="98" a="1"/>
  <c r="F130" i="98" s="1"/>
  <c r="Q110" i="98"/>
  <c r="F46" i="98" a="1"/>
  <c r="F46" i="98" s="1"/>
  <c r="F47" i="98" a="1"/>
  <c r="F47" i="98" s="1"/>
  <c r="F48" i="98" a="1"/>
  <c r="F48" i="98" s="1"/>
  <c r="F49" i="98" a="1"/>
  <c r="F49" i="98" s="1"/>
  <c r="F91" i="98" a="1"/>
  <c r="F91" i="98" s="1"/>
  <c r="F92" i="98" a="1"/>
  <c r="F92" i="98" s="1"/>
  <c r="F93" i="98" a="1"/>
  <c r="F93" i="98" s="1"/>
  <c r="F94" i="98" a="1"/>
  <c r="F94" i="98" s="1"/>
  <c r="F118" i="98" a="1"/>
  <c r="F118" i="98" s="1"/>
  <c r="F119" i="98" a="1"/>
  <c r="F119" i="98" s="1"/>
  <c r="F120" i="98" a="1"/>
  <c r="F120" i="98" s="1"/>
  <c r="F121" i="98" a="1"/>
  <c r="F121" i="98" s="1"/>
  <c r="F10" i="98" a="1"/>
  <c r="F10" i="98" s="1"/>
  <c r="F11" i="98" a="1"/>
  <c r="F11" i="98" s="1"/>
  <c r="Q11" i="98" s="1"/>
  <c r="F12" i="98" a="1"/>
  <c r="F12" i="98" s="1"/>
  <c r="F13" i="98" a="1"/>
  <c r="F13" i="98" s="1"/>
  <c r="F73" i="98" a="1"/>
  <c r="F73" i="98" s="1"/>
  <c r="F74" i="98" a="1"/>
  <c r="F74" i="98" s="1"/>
  <c r="F75" i="98" a="1"/>
  <c r="F75" i="98" s="1"/>
  <c r="F76" i="98" a="1"/>
  <c r="F76" i="98" s="1"/>
  <c r="O57" i="98"/>
  <c r="O58" i="98" s="1"/>
  <c r="F37" i="98" a="1"/>
  <c r="F37" i="98" s="1"/>
  <c r="F38" i="98" a="1"/>
  <c r="F38" i="98" s="1"/>
  <c r="F39" i="98" a="1"/>
  <c r="F39" i="98" s="1"/>
  <c r="F40" i="98" a="1"/>
  <c r="F40" i="98" s="1"/>
  <c r="F64" i="98" a="1"/>
  <c r="F64" i="98" s="1"/>
  <c r="F65" i="98" a="1"/>
  <c r="F65" i="98" s="1"/>
  <c r="F66" i="98" a="1"/>
  <c r="F66" i="98" s="1"/>
  <c r="F67" i="98" a="1"/>
  <c r="F67" i="98" s="1"/>
  <c r="O48" i="98"/>
  <c r="O49" i="98" s="1"/>
  <c r="O39" i="98"/>
  <c r="O139" i="98"/>
  <c r="O102" i="98"/>
  <c r="Q28" i="98"/>
  <c r="O84" i="98"/>
  <c r="Q29" i="98"/>
  <c r="O120" i="98"/>
  <c r="O66" i="98"/>
  <c r="Q56" i="98"/>
  <c r="Q82" i="98"/>
  <c r="O129" i="98"/>
  <c r="O130" i="98" s="1"/>
  <c r="Q83" i="98"/>
  <c r="Q27" i="98"/>
  <c r="Q54" i="98"/>
  <c r="Q108" i="98"/>
  <c r="Q81" i="98"/>
  <c r="Q135" i="98"/>
  <c r="Q136" i="98"/>
  <c r="O12" i="98"/>
  <c r="O13" i="98" s="1"/>
  <c r="F45" i="98" a="1"/>
  <c r="F45" i="98" s="1"/>
  <c r="F90" i="98" a="1"/>
  <c r="F90" i="98" s="1"/>
  <c r="F117" i="98" a="1"/>
  <c r="F117" i="98" s="1"/>
  <c r="F72" i="98" a="1"/>
  <c r="F72" i="98" s="1"/>
  <c r="F36" i="98" a="1"/>
  <c r="F36" i="98" s="1"/>
  <c r="F63" i="98" a="1"/>
  <c r="F63" i="98" s="1"/>
  <c r="F99" i="98" a="1"/>
  <c r="F99" i="98" s="1"/>
  <c r="F126" i="98" a="1"/>
  <c r="F126" i="98" s="1"/>
  <c r="F18" i="98" a="1"/>
  <c r="F18" i="98" s="1"/>
  <c r="I106" i="68" a="1"/>
  <c r="I106" i="68" s="1"/>
  <c r="P196" i="66" a="1"/>
  <c r="P196" i="66" s="1"/>
  <c r="F12" i="68" a="1"/>
  <c r="F12" i="68" s="1"/>
  <c r="J12" i="68" s="1"/>
  <c r="F9" i="98" a="1"/>
  <c r="F9" i="98" s="1"/>
  <c r="F88" i="68" a="1"/>
  <c r="F88" i="68" s="1"/>
  <c r="J88" i="68" s="1"/>
  <c r="I100" i="68" a="1"/>
  <c r="I100" i="68" s="1"/>
  <c r="I183" i="66" a="1"/>
  <c r="I183" i="66" s="1"/>
  <c r="I196" i="66" a="1"/>
  <c r="I196" i="66" s="1"/>
  <c r="P209" i="66" a="1"/>
  <c r="P209" i="66" s="1"/>
  <c r="P89" i="68" a="1"/>
  <c r="P89" i="68" s="1"/>
  <c r="P100" i="68" a="1"/>
  <c r="P100" i="68" s="1"/>
  <c r="I68" i="68" a="1"/>
  <c r="I68" i="68" s="1"/>
  <c r="P79" i="68" a="1"/>
  <c r="P79" i="68" s="1"/>
  <c r="I51" i="68" a="1"/>
  <c r="I51" i="68" s="1"/>
  <c r="P68" i="68" a="1"/>
  <c r="P68" i="68" s="1"/>
  <c r="P117" i="68" a="1"/>
  <c r="P117" i="68" s="1"/>
  <c r="P51" i="68" a="1"/>
  <c r="P51" i="68" s="1"/>
  <c r="P183" i="66" a="1"/>
  <c r="P183" i="66" s="1"/>
  <c r="I30" i="68" a="1"/>
  <c r="I30" i="68" s="1"/>
  <c r="I62" i="68" a="1"/>
  <c r="I62" i="68" s="1"/>
  <c r="I157" i="68" a="1"/>
  <c r="I157" i="68" s="1"/>
  <c r="P41" i="68" a="1"/>
  <c r="P41" i="68" s="1"/>
  <c r="I89" i="68" a="1"/>
  <c r="I89" i="68" s="1"/>
  <c r="P168" i="68" a="1"/>
  <c r="P168" i="68" s="1"/>
  <c r="P30" i="68" a="1"/>
  <c r="P30" i="68" s="1"/>
  <c r="P157" i="68" a="1"/>
  <c r="P157" i="68" s="1"/>
  <c r="P106" i="68" a="1"/>
  <c r="P106" i="68" s="1"/>
  <c r="P179" i="68" a="1"/>
  <c r="P179" i="68" s="1"/>
  <c r="I168" i="68" a="1"/>
  <c r="I168" i="68" s="1"/>
  <c r="P62" i="68" a="1"/>
  <c r="P62" i="68" s="1"/>
  <c r="F156" i="68" a="1"/>
  <c r="F156" i="68" s="1"/>
  <c r="Q156" i="68" s="1"/>
  <c r="F182" i="66" a="1"/>
  <c r="F182" i="66" s="1"/>
  <c r="F50" i="68" a="1"/>
  <c r="F50" i="68" s="1"/>
  <c r="J50" i="68" s="1"/>
  <c r="P24" i="68" a="1"/>
  <c r="P24" i="68" s="1"/>
  <c r="I24" i="68" a="1"/>
  <c r="I24" i="68" s="1"/>
  <c r="I13" i="68" a="1"/>
  <c r="I13" i="68" s="1"/>
  <c r="P13" i="68" a="1"/>
  <c r="P13" i="68" s="1"/>
  <c r="D83" i="83"/>
  <c r="D67" i="83"/>
  <c r="D75" i="83"/>
  <c r="D59" i="83"/>
  <c r="D51" i="83"/>
  <c r="Q144" i="52"/>
  <c r="Q145" i="52" s="1"/>
  <c r="Q146" i="52" s="1"/>
  <c r="Q116" i="52"/>
  <c r="Q117" i="52" s="1"/>
  <c r="Q118" i="52" s="1"/>
  <c r="J139" i="52"/>
  <c r="K139" i="52" s="1"/>
  <c r="Q139" i="52"/>
  <c r="J141" i="52"/>
  <c r="K141" i="52" s="1"/>
  <c r="Q140" i="52"/>
  <c r="Q141" i="52"/>
  <c r="J140" i="52"/>
  <c r="K140" i="52" s="1"/>
  <c r="K14" i="61"/>
  <c r="K15" i="61"/>
  <c r="K16" i="61"/>
  <c r="F109" i="52" s="1" a="1"/>
  <c r="F109" i="52" s="1"/>
  <c r="K18" i="61"/>
  <c r="F134" i="52" s="1" a="1"/>
  <c r="F134" i="52" s="1"/>
  <c r="K17" i="61"/>
  <c r="F81" i="52" s="1" a="1"/>
  <c r="F81" i="52" s="1"/>
  <c r="F122" i="52" a="1"/>
  <c r="F122" i="52" s="1"/>
  <c r="F121" i="52" a="1"/>
  <c r="F121" i="52" s="1"/>
  <c r="F123" i="52" a="1"/>
  <c r="F123" i="52" s="1"/>
  <c r="F38" i="52" a="1"/>
  <c r="F38" i="52" s="1"/>
  <c r="F37" i="52" a="1"/>
  <c r="F37" i="52" s="1"/>
  <c r="F39" i="52" a="1"/>
  <c r="F39" i="52" s="1"/>
  <c r="F129" i="52" a="1"/>
  <c r="F129" i="52" s="1"/>
  <c r="F128" i="52" a="1"/>
  <c r="F128" i="52" s="1"/>
  <c r="F130" i="52" a="1"/>
  <c r="F130" i="52" s="1"/>
  <c r="G16" i="61"/>
  <c r="P134" i="68" a="1"/>
  <c r="P134" i="68" s="1"/>
  <c r="P14" i="66" a="1"/>
  <c r="P14" i="66" s="1"/>
  <c r="P110" i="66" a="1"/>
  <c r="P110" i="66" s="1"/>
  <c r="P26" i="66" a="1"/>
  <c r="P26" i="66" s="1"/>
  <c r="I125" i="68" a="1"/>
  <c r="I125" i="68" s="1"/>
  <c r="P68" i="66" a="1"/>
  <c r="P68" i="66" s="1"/>
  <c r="I110" i="66" a="1"/>
  <c r="I110" i="66" s="1"/>
  <c r="P98" i="66" a="1"/>
  <c r="P98" i="66" s="1"/>
  <c r="P75" i="66" a="1"/>
  <c r="P75" i="66" s="1"/>
  <c r="P152" i="66" a="1"/>
  <c r="P152" i="66" s="1"/>
  <c r="I159" i="66" a="1"/>
  <c r="I159" i="66" s="1"/>
  <c r="I138" i="68" a="1"/>
  <c r="I138" i="68" s="1"/>
  <c r="P117" i="66" a="1"/>
  <c r="P117" i="66" s="1"/>
  <c r="P33" i="66" a="1"/>
  <c r="P33" i="66" s="1"/>
  <c r="P56" i="66" a="1"/>
  <c r="P56" i="66" s="1"/>
  <c r="P129" i="66" a="1"/>
  <c r="P129" i="66" s="1"/>
  <c r="P171" i="66" a="1"/>
  <c r="P171" i="66" s="1"/>
  <c r="P140" i="66" a="1"/>
  <c r="P140" i="66" s="1"/>
  <c r="P87" i="66" a="1"/>
  <c r="P87" i="66" s="1"/>
  <c r="I152" i="66" a="1"/>
  <c r="I152" i="66" s="1"/>
  <c r="I56" i="66" a="1"/>
  <c r="I56" i="66" s="1"/>
  <c r="I75" i="66" a="1"/>
  <c r="I75" i="66" s="1"/>
  <c r="P45" i="66" a="1"/>
  <c r="P45" i="66" s="1"/>
  <c r="P138" i="68" a="1"/>
  <c r="P138" i="68" s="1"/>
  <c r="P159" i="66" a="1"/>
  <c r="P159" i="66" s="1"/>
  <c r="I117" i="66" a="1"/>
  <c r="I117" i="66" s="1"/>
  <c r="I98" i="66" a="1"/>
  <c r="I98" i="66" s="1"/>
  <c r="I26" i="66" a="1"/>
  <c r="I26" i="66" s="1"/>
  <c r="I68" i="66" a="1"/>
  <c r="I68" i="66" s="1"/>
  <c r="I14" i="66" a="1"/>
  <c r="I14" i="66" s="1"/>
  <c r="I134" i="68" a="1"/>
  <c r="I134" i="68" s="1"/>
  <c r="I140" i="66" a="1"/>
  <c r="I140" i="66" s="1"/>
  <c r="I33" i="66" a="1"/>
  <c r="I33" i="66" s="1"/>
  <c r="G18" i="61"/>
  <c r="F123" i="68" a="1"/>
  <c r="F123" i="68" s="1"/>
  <c r="Q75" i="68"/>
  <c r="R75" i="68" s="1"/>
  <c r="G17" i="61"/>
  <c r="G14" i="61"/>
  <c r="F131" i="68" a="1"/>
  <c r="F131" i="68" s="1"/>
  <c r="F126" i="68" a="1"/>
  <c r="F126" i="68" s="1"/>
  <c r="F141" i="66" a="1"/>
  <c r="F141" i="66" s="1"/>
  <c r="F90" i="68" a="1"/>
  <c r="F90" i="68" s="1"/>
  <c r="F184" i="66" a="1"/>
  <c r="F184" i="66" s="1"/>
  <c r="F158" i="68" a="1"/>
  <c r="F158" i="68" s="1"/>
  <c r="F52" i="68" a="1"/>
  <c r="F52" i="68" s="1"/>
  <c r="F57" i="66" a="1"/>
  <c r="F57" i="66" s="1"/>
  <c r="Q145" i="68"/>
  <c r="R145" i="68" s="1"/>
  <c r="Q37" i="68"/>
  <c r="R37" i="68" s="1"/>
  <c r="Q175" i="68"/>
  <c r="R175" i="68" s="1"/>
  <c r="Q113" i="68"/>
  <c r="R113" i="68" s="1"/>
  <c r="Q205" i="66"/>
  <c r="R205" i="66" s="1"/>
  <c r="Q84" i="66"/>
  <c r="Q168" i="66"/>
  <c r="Q77" i="68"/>
  <c r="R77" i="68" s="1"/>
  <c r="Q177" i="68"/>
  <c r="R177" i="68" s="1"/>
  <c r="Q38" i="68"/>
  <c r="R38" i="68" s="1"/>
  <c r="Q39" i="68"/>
  <c r="R39" i="68" s="1"/>
  <c r="I57" i="68"/>
  <c r="P57" i="68"/>
  <c r="Q115" i="68"/>
  <c r="R115" i="68" s="1"/>
  <c r="Q76" i="68"/>
  <c r="R76" i="68" s="1"/>
  <c r="P163" i="68"/>
  <c r="Q114" i="68"/>
  <c r="R114" i="68" s="1"/>
  <c r="Q146" i="68"/>
  <c r="R146" i="68" s="1"/>
  <c r="I163" i="68"/>
  <c r="P95" i="68"/>
  <c r="P131" i="68"/>
  <c r="Q176" i="68"/>
  <c r="R176" i="68" s="1"/>
  <c r="P19" i="68"/>
  <c r="F13" i="68" a="1"/>
  <c r="F13" i="68" s="1"/>
  <c r="F9" i="68" a="1"/>
  <c r="F9" i="68" s="1"/>
  <c r="F20" i="66" a="1"/>
  <c r="F20" i="66" s="1"/>
  <c r="F189" i="66" a="1"/>
  <c r="F189" i="66" s="1"/>
  <c r="F163" i="68" a="1"/>
  <c r="F163" i="68" s="1"/>
  <c r="Q126" i="66"/>
  <c r="I131" i="68"/>
  <c r="F137" i="66" a="1"/>
  <c r="F137" i="66" s="1"/>
  <c r="Q137" i="66" s="1"/>
  <c r="F125" i="68" a="1"/>
  <c r="F125" i="68" s="1"/>
  <c r="F124" i="68" a="1"/>
  <c r="F124" i="68" s="1"/>
  <c r="J124" i="68" s="1"/>
  <c r="F53" i="66" a="1"/>
  <c r="F53" i="66" s="1"/>
  <c r="J53" i="66" s="1"/>
  <c r="F51" i="68" a="1"/>
  <c r="F51" i="68" s="1"/>
  <c r="F47" i="68" a="1"/>
  <c r="F47" i="68" s="1"/>
  <c r="F48" i="68" a="1"/>
  <c r="F48" i="68" s="1"/>
  <c r="J48" i="68" s="1"/>
  <c r="F49" i="68" a="1"/>
  <c r="F49" i="68" s="1"/>
  <c r="Q49" i="68" s="1"/>
  <c r="I19" i="68"/>
  <c r="I32" i="68" s="1"/>
  <c r="F62" i="66" a="1"/>
  <c r="F62" i="66" s="1"/>
  <c r="F57" i="68" a="1"/>
  <c r="F57" i="68" s="1"/>
  <c r="F104" i="66" a="1"/>
  <c r="F104" i="66" s="1"/>
  <c r="F95" i="68" a="1"/>
  <c r="F95" i="68" s="1"/>
  <c r="F95" i="66" a="1"/>
  <c r="F95" i="66" s="1"/>
  <c r="Q95" i="66" s="1"/>
  <c r="F89" i="68" a="1"/>
  <c r="F89" i="68" s="1"/>
  <c r="F86" i="68" a="1"/>
  <c r="F86" i="68" s="1"/>
  <c r="Q86" i="68" s="1"/>
  <c r="F87" i="68" a="1"/>
  <c r="F87" i="68" s="1"/>
  <c r="J87" i="68" s="1"/>
  <c r="F85" i="68" a="1"/>
  <c r="F85" i="68" s="1"/>
  <c r="F179" i="66" a="1"/>
  <c r="F179" i="66" s="1"/>
  <c r="J179" i="66" s="1"/>
  <c r="F157" i="68" a="1"/>
  <c r="F157" i="68" s="1"/>
  <c r="F154" i="68" a="1"/>
  <c r="F154" i="68" s="1"/>
  <c r="Q154" i="68" s="1"/>
  <c r="F155" i="68" a="1"/>
  <c r="F155" i="68" s="1"/>
  <c r="J155" i="68" s="1"/>
  <c r="F153" i="68" a="1"/>
  <c r="F153" i="68" s="1"/>
  <c r="Q42" i="66"/>
  <c r="F96" i="66" a="1"/>
  <c r="F96" i="66" s="1"/>
  <c r="F93" i="66" a="1"/>
  <c r="F93" i="66" s="1"/>
  <c r="F97" i="66" a="1"/>
  <c r="F97" i="66" s="1"/>
  <c r="F94" i="66" a="1"/>
  <c r="F94" i="66" s="1"/>
  <c r="F98" i="66" a="1"/>
  <c r="F98" i="66" s="1"/>
  <c r="F181" i="66" a="1"/>
  <c r="F181" i="66" s="1"/>
  <c r="F178" i="66" a="1"/>
  <c r="F178" i="66" s="1"/>
  <c r="F183" i="66" a="1"/>
  <c r="F183" i="66" s="1"/>
  <c r="F180" i="66" a="1"/>
  <c r="F180" i="66" s="1"/>
  <c r="F177" i="66" a="1"/>
  <c r="F177" i="66" s="1"/>
  <c r="F13" i="66" a="1"/>
  <c r="F13" i="66" s="1"/>
  <c r="J13" i="66" s="1"/>
  <c r="F14" i="66" a="1"/>
  <c r="F14" i="66" s="1"/>
  <c r="F10" i="66" a="1"/>
  <c r="F10" i="66" s="1"/>
  <c r="J10" i="66" s="1"/>
  <c r="F12" i="66" a="1"/>
  <c r="F12" i="66" s="1"/>
  <c r="Q12" i="66" s="1"/>
  <c r="F146" i="66" a="1"/>
  <c r="F146" i="66" s="1"/>
  <c r="F138" i="66" a="1"/>
  <c r="F138" i="66" s="1"/>
  <c r="F136" i="66" a="1"/>
  <c r="F136" i="66" s="1"/>
  <c r="F140" i="66" a="1"/>
  <c r="F140" i="66" s="1"/>
  <c r="F139" i="66" a="1"/>
  <c r="F139" i="66" s="1"/>
  <c r="F135" i="66" a="1"/>
  <c r="F135" i="66" s="1"/>
  <c r="F54" i="66" a="1"/>
  <c r="F54" i="66" s="1"/>
  <c r="F52" i="66" a="1"/>
  <c r="F52" i="66" s="1"/>
  <c r="F55" i="66" a="1"/>
  <c r="F55" i="66" s="1"/>
  <c r="F51" i="66" a="1"/>
  <c r="F51" i="66" s="1"/>
  <c r="F56" i="66" a="1"/>
  <c r="F56" i="66" s="1"/>
  <c r="F58" i="52" a="1"/>
  <c r="F58" i="52" s="1"/>
  <c r="F59" i="52" a="1"/>
  <c r="F59" i="52" s="1"/>
  <c r="F30" i="52" a="1"/>
  <c r="F30" i="52" s="1"/>
  <c r="F31" i="52" a="1"/>
  <c r="F31" i="52" s="1"/>
  <c r="F209" i="66" a="1"/>
  <c r="F209" i="66" s="1"/>
  <c r="F203" i="66" a="1"/>
  <c r="F203" i="66" s="1"/>
  <c r="F204" i="66" a="1"/>
  <c r="F204" i="66" s="1"/>
  <c r="F206" i="66" a="1"/>
  <c r="F206" i="66" s="1"/>
  <c r="F207" i="66" a="1"/>
  <c r="F207" i="66" s="1"/>
  <c r="F129" i="66" a="1"/>
  <c r="F129" i="66" s="1"/>
  <c r="F124" i="66" a="1"/>
  <c r="F124" i="66" s="1"/>
  <c r="F125" i="66" a="1"/>
  <c r="F125" i="66" s="1"/>
  <c r="F128" i="66" a="1"/>
  <c r="F128" i="66" s="1"/>
  <c r="F127" i="66" a="1"/>
  <c r="F127" i="66" s="1"/>
  <c r="F87" i="66" a="1"/>
  <c r="F87" i="66" s="1"/>
  <c r="F82" i="66" a="1"/>
  <c r="F82" i="66" s="1"/>
  <c r="F86" i="66" a="1"/>
  <c r="F86" i="66" s="1"/>
  <c r="F85" i="66" a="1"/>
  <c r="F85" i="66" s="1"/>
  <c r="F83" i="66" a="1"/>
  <c r="F83" i="66" s="1"/>
  <c r="F171" i="66" a="1"/>
  <c r="F171" i="66" s="1"/>
  <c r="F166" i="66" a="1"/>
  <c r="F166" i="66" s="1"/>
  <c r="F169" i="66" a="1"/>
  <c r="F169" i="66" s="1"/>
  <c r="F170" i="66" a="1"/>
  <c r="F170" i="66" s="1"/>
  <c r="F167" i="66" a="1"/>
  <c r="F167" i="66" s="1"/>
  <c r="F41" i="66" a="1"/>
  <c r="F41" i="66" s="1"/>
  <c r="F40" i="66" a="1"/>
  <c r="F40" i="66" s="1"/>
  <c r="F43" i="66" a="1"/>
  <c r="F43" i="66" s="1"/>
  <c r="F44" i="66" a="1"/>
  <c r="F44" i="66" s="1"/>
  <c r="F45" i="66" a="1"/>
  <c r="F45" i="66" s="1"/>
  <c r="H14" i="61"/>
  <c r="H15" i="61"/>
  <c r="H16" i="61"/>
  <c r="H17" i="61"/>
  <c r="H18" i="61"/>
  <c r="F28" i="57" a="1"/>
  <c r="F9" i="57" a="1"/>
  <c r="F22" i="57" a="1"/>
  <c r="D27" i="57" a="1"/>
  <c r="F34" i="57" a="1"/>
  <c r="F10" i="57" a="1"/>
  <c r="F21" i="57" a="1"/>
  <c r="D33" i="57" a="1"/>
  <c r="F33" i="57" a="1"/>
  <c r="F27" i="57" a="1"/>
  <c r="F16" i="57" a="1"/>
  <c r="D21" i="57" a="1"/>
  <c r="D15" i="57" a="1"/>
  <c r="D11" i="114" l="1"/>
  <c r="D11" i="113"/>
  <c r="D11" i="112"/>
  <c r="D11" i="111"/>
  <c r="D11" i="108"/>
  <c r="F28" i="57"/>
  <c r="F34" i="57"/>
  <c r="J182" i="66"/>
  <c r="Q182" i="66"/>
  <c r="Q12" i="68"/>
  <c r="Q21" i="98"/>
  <c r="Q22" i="98" s="1"/>
  <c r="Q23" i="98" s="1"/>
  <c r="Q24" i="98" s="1"/>
  <c r="Q93" i="98"/>
  <c r="Q94" i="98" s="1"/>
  <c r="Q95" i="98" s="1"/>
  <c r="Q138" i="98"/>
  <c r="R137" i="98" s="1"/>
  <c r="Q48" i="98"/>
  <c r="Q49" i="98" s="1"/>
  <c r="Q50" i="98" s="1"/>
  <c r="O67" i="98"/>
  <c r="Q66" i="98"/>
  <c r="O85" i="98"/>
  <c r="Q84" i="98"/>
  <c r="R82" i="98" s="1"/>
  <c r="O40" i="98"/>
  <c r="Q39" i="98"/>
  <c r="Q30" i="98"/>
  <c r="O121" i="98"/>
  <c r="Q120" i="98"/>
  <c r="Q111" i="98"/>
  <c r="R108" i="98" s="1"/>
  <c r="O103" i="98"/>
  <c r="Q102" i="98"/>
  <c r="Q75" i="98"/>
  <c r="Q76" i="98" s="1"/>
  <c r="Q57" i="98"/>
  <c r="R54" i="98" s="1"/>
  <c r="Q12" i="98"/>
  <c r="R11" i="98" s="1"/>
  <c r="Q88" i="68"/>
  <c r="F16" i="57"/>
  <c r="F22" i="57"/>
  <c r="Q129" i="98"/>
  <c r="Q128" i="98"/>
  <c r="Q65" i="98"/>
  <c r="Q74" i="98"/>
  <c r="Q92" i="98"/>
  <c r="Q127" i="98"/>
  <c r="Q64" i="98"/>
  <c r="Q73" i="98"/>
  <c r="Q91" i="98"/>
  <c r="Q126" i="98"/>
  <c r="Q63" i="98"/>
  <c r="Q72" i="98"/>
  <c r="Q90" i="98"/>
  <c r="Q101" i="98"/>
  <c r="Q38" i="98"/>
  <c r="Q119" i="98"/>
  <c r="Q47" i="98"/>
  <c r="Q100" i="98"/>
  <c r="Q37" i="98"/>
  <c r="Q118" i="98"/>
  <c r="Q46" i="98"/>
  <c r="Q99" i="98"/>
  <c r="Q36" i="98"/>
  <c r="Q117" i="98"/>
  <c r="Q45" i="98"/>
  <c r="Q20" i="98"/>
  <c r="Q19" i="98"/>
  <c r="Q18" i="98"/>
  <c r="Q9" i="98"/>
  <c r="F33" i="57"/>
  <c r="F61" i="68" a="1"/>
  <c r="F61" i="68" s="1"/>
  <c r="J61" i="68" s="1"/>
  <c r="F23" i="68" a="1"/>
  <c r="F23" i="68" s="1"/>
  <c r="Q23" i="68" s="1"/>
  <c r="F53" i="52" a="1"/>
  <c r="F53" i="52" s="1"/>
  <c r="Q10" i="98"/>
  <c r="F25" i="52" a="1"/>
  <c r="F25" i="52" s="1"/>
  <c r="F99" i="68" a="1"/>
  <c r="F99" i="68" s="1"/>
  <c r="Q99" i="68" s="1"/>
  <c r="Q50" i="68"/>
  <c r="D15" i="57"/>
  <c r="F167" i="68" a="1"/>
  <c r="F167" i="68" s="1"/>
  <c r="F195" i="66" a="1"/>
  <c r="F195" i="66" s="1"/>
  <c r="J156" i="68"/>
  <c r="M139" i="52"/>
  <c r="M141" i="52"/>
  <c r="M140" i="52"/>
  <c r="J129" i="52"/>
  <c r="Q129" i="52"/>
  <c r="J122" i="52"/>
  <c r="Q122" i="52"/>
  <c r="Q128" i="52"/>
  <c r="J128" i="52"/>
  <c r="J121" i="52"/>
  <c r="Q121" i="52"/>
  <c r="Q59" i="52"/>
  <c r="Q58" i="52"/>
  <c r="Q37" i="52"/>
  <c r="J37" i="52"/>
  <c r="Q38" i="52"/>
  <c r="J38" i="52"/>
  <c r="Q31" i="52"/>
  <c r="Q30" i="52"/>
  <c r="F21" i="57"/>
  <c r="F9" i="57"/>
  <c r="F19" i="68" a="1"/>
  <c r="F19" i="68" s="1"/>
  <c r="Q19" i="68" s="1"/>
  <c r="F11" i="68" a="1"/>
  <c r="F11" i="68" s="1"/>
  <c r="J11" i="68" s="1"/>
  <c r="F11" i="66" a="1"/>
  <c r="F11" i="66" s="1"/>
  <c r="J11" i="66" s="1"/>
  <c r="F14" i="68" a="1"/>
  <c r="F14" i="68" s="1"/>
  <c r="F9" i="66" a="1"/>
  <c r="F9" i="66" s="1"/>
  <c r="J9" i="66" s="1"/>
  <c r="F10" i="68" a="1"/>
  <c r="F10" i="68" s="1"/>
  <c r="J10" i="68" s="1"/>
  <c r="F15" i="66" a="1"/>
  <c r="F15" i="66" s="1"/>
  <c r="J15" i="66" s="1"/>
  <c r="F99" i="66" a="1"/>
  <c r="F99" i="66" s="1"/>
  <c r="J99" i="66" s="1"/>
  <c r="F46" i="52" a="1"/>
  <c r="F46" i="52" s="1"/>
  <c r="F45" i="52" a="1"/>
  <c r="F45" i="52" s="1"/>
  <c r="F44" i="52" a="1"/>
  <c r="F44" i="52" s="1"/>
  <c r="F11" i="52" a="1"/>
  <c r="F11" i="52" s="1"/>
  <c r="F9" i="52" a="1"/>
  <c r="F9" i="52" s="1"/>
  <c r="F10" i="52" a="1"/>
  <c r="F10" i="52" s="1"/>
  <c r="J10" i="52" s="1"/>
  <c r="J14" i="66"/>
  <c r="F133" i="52" a="1"/>
  <c r="F133" i="52" s="1"/>
  <c r="F132" i="52" a="1"/>
  <c r="F132" i="52" s="1"/>
  <c r="F131" i="52" a="1"/>
  <c r="F131" i="52" s="1"/>
  <c r="F21" i="52" a="1"/>
  <c r="F21" i="52" s="1"/>
  <c r="F19" i="52" a="1"/>
  <c r="F19" i="52" s="1"/>
  <c r="F20" i="52" a="1"/>
  <c r="F20" i="52" s="1"/>
  <c r="F16" i="52" a="1"/>
  <c r="F16" i="52" s="1"/>
  <c r="J16" i="52" s="1"/>
  <c r="F18" i="52" a="1"/>
  <c r="F18" i="52" s="1"/>
  <c r="F17" i="52" a="1"/>
  <c r="F17" i="52" s="1"/>
  <c r="J17" i="52" s="1"/>
  <c r="Q10" i="66"/>
  <c r="J12" i="66"/>
  <c r="Q13" i="66"/>
  <c r="F66" i="52" a="1"/>
  <c r="F66" i="52" s="1"/>
  <c r="F67" i="52" a="1"/>
  <c r="F67" i="52" s="1"/>
  <c r="F65" i="52" a="1"/>
  <c r="F65" i="52" s="1"/>
  <c r="F76" i="52" a="1"/>
  <c r="F76" i="52" s="1"/>
  <c r="F75" i="52" a="1"/>
  <c r="F75" i="52" s="1"/>
  <c r="F77" i="52" a="1"/>
  <c r="F77" i="52" s="1"/>
  <c r="F104" i="52" a="1"/>
  <c r="F104" i="52" s="1"/>
  <c r="F105" i="52" a="1"/>
  <c r="F105" i="52" s="1"/>
  <c r="F103" i="52" a="1"/>
  <c r="F103" i="52" s="1"/>
  <c r="F48" i="52" a="1"/>
  <c r="F48" i="52" s="1"/>
  <c r="F47" i="52" a="1"/>
  <c r="F47" i="52" s="1"/>
  <c r="F49" i="52" a="1"/>
  <c r="F49" i="52" s="1"/>
  <c r="F101" i="52" a="1"/>
  <c r="F101" i="52" s="1"/>
  <c r="F102" i="52" a="1"/>
  <c r="F102" i="52" s="1"/>
  <c r="F100" i="52" a="1"/>
  <c r="F100" i="52" s="1"/>
  <c r="F94" i="52" a="1"/>
  <c r="F94" i="52" s="1"/>
  <c r="F93" i="52" a="1"/>
  <c r="F93" i="52" s="1"/>
  <c r="F95" i="52" a="1"/>
  <c r="F95" i="52" s="1"/>
  <c r="F72" i="52" a="1"/>
  <c r="F72" i="52" s="1"/>
  <c r="F74" i="52" a="1"/>
  <c r="F74" i="52" s="1"/>
  <c r="F73" i="52" a="1"/>
  <c r="F73" i="52" s="1"/>
  <c r="Q14" i="66"/>
  <c r="F27" i="57"/>
  <c r="R141" i="52"/>
  <c r="F10" i="57"/>
  <c r="D27" i="57"/>
  <c r="D33" i="57"/>
  <c r="D21" i="57"/>
  <c r="F161" i="66" a="1"/>
  <c r="F161" i="66" s="1"/>
  <c r="F140" i="68" a="1"/>
  <c r="F140" i="68" s="1"/>
  <c r="F108" i="68" a="1"/>
  <c r="F108" i="68" s="1"/>
  <c r="F119" i="66" a="1"/>
  <c r="F119" i="66" s="1"/>
  <c r="F35" i="66" a="1"/>
  <c r="F35" i="66" s="1"/>
  <c r="F32" i="68" a="1"/>
  <c r="F32" i="68" s="1"/>
  <c r="F70" i="68" a="1"/>
  <c r="F70" i="68" s="1"/>
  <c r="F77" i="66" a="1"/>
  <c r="F77" i="66" s="1"/>
  <c r="F170" i="68" a="1"/>
  <c r="F170" i="68" s="1"/>
  <c r="F198" i="66" a="1"/>
  <c r="F198" i="66" s="1"/>
  <c r="F169" i="68" a="1"/>
  <c r="F169" i="68" s="1"/>
  <c r="F197" i="66" a="1"/>
  <c r="F197" i="66" s="1"/>
  <c r="F25" i="68" a="1"/>
  <c r="F25" i="68" s="1"/>
  <c r="F27" i="66" a="1"/>
  <c r="F27" i="66" s="1"/>
  <c r="J90" i="68"/>
  <c r="K88" i="68" s="1"/>
  <c r="Q90" i="68"/>
  <c r="R86" i="68" s="1"/>
  <c r="F101" i="68" a="1"/>
  <c r="F101" i="68" s="1"/>
  <c r="F111" i="66" a="1"/>
  <c r="F111" i="66" s="1"/>
  <c r="J57" i="66"/>
  <c r="Q57" i="66"/>
  <c r="J158" i="68"/>
  <c r="K155" i="68" s="1"/>
  <c r="Q158" i="68"/>
  <c r="R156" i="68" s="1"/>
  <c r="Q141" i="66"/>
  <c r="J141" i="66"/>
  <c r="F135" i="68" a="1"/>
  <c r="F135" i="68" s="1"/>
  <c r="F153" i="66" a="1"/>
  <c r="F153" i="66" s="1"/>
  <c r="F63" i="68" a="1"/>
  <c r="F63" i="68" s="1"/>
  <c r="F69" i="66" a="1"/>
  <c r="F69" i="66" s="1"/>
  <c r="J52" i="68"/>
  <c r="K50" i="68" s="1"/>
  <c r="Q52" i="68"/>
  <c r="R49" i="68" s="1"/>
  <c r="Q184" i="66"/>
  <c r="J184" i="66"/>
  <c r="Q126" i="68"/>
  <c r="J126" i="68"/>
  <c r="K124" i="68" s="1"/>
  <c r="Q179" i="66"/>
  <c r="M179" i="66" s="1"/>
  <c r="Q153" i="68"/>
  <c r="J153" i="68"/>
  <c r="Q85" i="68"/>
  <c r="J85" i="68"/>
  <c r="J47" i="68"/>
  <c r="Q47" i="68"/>
  <c r="J123" i="68"/>
  <c r="Q123" i="68"/>
  <c r="Q9" i="68"/>
  <c r="J9" i="68"/>
  <c r="P161" i="66"/>
  <c r="J137" i="66"/>
  <c r="M137" i="66" s="1"/>
  <c r="P119" i="66"/>
  <c r="J95" i="66"/>
  <c r="M95" i="66" s="1"/>
  <c r="Q53" i="66"/>
  <c r="M53" i="66" s="1"/>
  <c r="Q124" i="68"/>
  <c r="J89" i="68"/>
  <c r="Q48" i="68"/>
  <c r="J49" i="68"/>
  <c r="M49" i="68" s="1"/>
  <c r="Q179" i="68"/>
  <c r="Q157" i="68"/>
  <c r="Q147" i="68"/>
  <c r="R147" i="68" s="1"/>
  <c r="Q125" i="68"/>
  <c r="Q117" i="68"/>
  <c r="R117" i="68" s="1"/>
  <c r="Q89" i="68"/>
  <c r="Q79" i="68"/>
  <c r="J51" i="68"/>
  <c r="Q41" i="68"/>
  <c r="R41" i="68" s="1"/>
  <c r="I170" i="68"/>
  <c r="Q87" i="68"/>
  <c r="J86" i="68"/>
  <c r="M86" i="68" s="1"/>
  <c r="Q155" i="68"/>
  <c r="Q13" i="68"/>
  <c r="I140" i="68"/>
  <c r="J13" i="68"/>
  <c r="P140" i="68"/>
  <c r="I95" i="68"/>
  <c r="I108" i="68" s="1"/>
  <c r="Q51" i="68"/>
  <c r="F149" i="66" a="1"/>
  <c r="F149" i="66" s="1"/>
  <c r="J149" i="66" s="1"/>
  <c r="F133" i="68" a="1"/>
  <c r="F133" i="68" s="1"/>
  <c r="F132" i="68" a="1"/>
  <c r="F132" i="68" s="1"/>
  <c r="F134" i="68" a="1"/>
  <c r="F134" i="68" s="1"/>
  <c r="J134" i="68" s="1"/>
  <c r="F65" i="66" a="1"/>
  <c r="F65" i="66" s="1"/>
  <c r="J65" i="66" s="1"/>
  <c r="F62" i="68" a="1"/>
  <c r="F62" i="68" s="1"/>
  <c r="Q62" i="68" s="1"/>
  <c r="F58" i="68" a="1"/>
  <c r="F58" i="68" s="1"/>
  <c r="F59" i="68" a="1"/>
  <c r="F59" i="68" s="1"/>
  <c r="F60" i="68" a="1"/>
  <c r="F60" i="68" s="1"/>
  <c r="I70" i="68"/>
  <c r="J57" i="68"/>
  <c r="P170" i="68"/>
  <c r="J163" i="68"/>
  <c r="J154" i="68"/>
  <c r="J157" i="68"/>
  <c r="F107" i="66" a="1"/>
  <c r="F107" i="66" s="1"/>
  <c r="Q107" i="66" s="1"/>
  <c r="F100" i="68" a="1"/>
  <c r="F100" i="68" s="1"/>
  <c r="F97" i="68" a="1"/>
  <c r="F97" i="68" s="1"/>
  <c r="F98" i="68" a="1"/>
  <c r="F98" i="68" s="1"/>
  <c r="F96" i="68" a="1"/>
  <c r="F96" i="68" s="1"/>
  <c r="F192" i="66" a="1"/>
  <c r="F192" i="66" s="1"/>
  <c r="J192" i="66" s="1"/>
  <c r="F168" i="68" a="1"/>
  <c r="F168" i="68" s="1"/>
  <c r="J168" i="68" s="1"/>
  <c r="F165" i="68" a="1"/>
  <c r="F165" i="68" s="1"/>
  <c r="F166" i="68" a="1"/>
  <c r="F166" i="68" s="1"/>
  <c r="Q166" i="68" s="1"/>
  <c r="F164" i="68" a="1"/>
  <c r="F164" i="68" s="1"/>
  <c r="F20" i="68" a="1"/>
  <c r="F20" i="68" s="1"/>
  <c r="F24" i="68" a="1"/>
  <c r="F24" i="68" s="1"/>
  <c r="J24" i="68" s="1"/>
  <c r="F21" i="68" a="1"/>
  <c r="F21" i="68" s="1"/>
  <c r="F22" i="68" a="1"/>
  <c r="F22" i="68" s="1"/>
  <c r="Q95" i="68"/>
  <c r="P70" i="68"/>
  <c r="Q131" i="68"/>
  <c r="P32" i="68"/>
  <c r="J125" i="68"/>
  <c r="J131" i="68"/>
  <c r="Q163" i="68"/>
  <c r="P108" i="68"/>
  <c r="J183" i="66"/>
  <c r="Q183" i="66"/>
  <c r="J140" i="66"/>
  <c r="J56" i="66"/>
  <c r="Q140" i="66"/>
  <c r="Q56" i="66"/>
  <c r="Q45" i="66"/>
  <c r="Q129" i="66"/>
  <c r="P35" i="66"/>
  <c r="J98" i="66"/>
  <c r="Q171" i="66"/>
  <c r="Q87" i="66"/>
  <c r="I119" i="66"/>
  <c r="Q209" i="66"/>
  <c r="R209" i="66" s="1"/>
  <c r="Q98" i="66"/>
  <c r="I161" i="66"/>
  <c r="I77" i="66"/>
  <c r="Q62" i="66"/>
  <c r="F21" i="66" a="1"/>
  <c r="F21" i="66" s="1"/>
  <c r="J21" i="66" s="1"/>
  <c r="F23" i="66" a="1"/>
  <c r="F23" i="66" s="1"/>
  <c r="Q44" i="66"/>
  <c r="Q86" i="66"/>
  <c r="Q128" i="66"/>
  <c r="Q124" i="66"/>
  <c r="Q207" i="66"/>
  <c r="R207" i="66" s="1"/>
  <c r="Q204" i="66"/>
  <c r="R204" i="66" s="1"/>
  <c r="Q54" i="66"/>
  <c r="J54" i="66"/>
  <c r="J139" i="66"/>
  <c r="Q139" i="66"/>
  <c r="J136" i="66"/>
  <c r="Q136" i="66"/>
  <c r="Q180" i="66"/>
  <c r="J180" i="66"/>
  <c r="J181" i="66"/>
  <c r="Q181" i="66"/>
  <c r="J94" i="66"/>
  <c r="Q94" i="66"/>
  <c r="Q167" i="66"/>
  <c r="Q40" i="66"/>
  <c r="Q169" i="66"/>
  <c r="Q83" i="66"/>
  <c r="Q125" i="66"/>
  <c r="Q206" i="66"/>
  <c r="R206" i="66" s="1"/>
  <c r="Q203" i="66"/>
  <c r="R203" i="66" s="1"/>
  <c r="J138" i="66"/>
  <c r="Q138" i="66"/>
  <c r="Q97" i="66"/>
  <c r="J97" i="66"/>
  <c r="Q43" i="66"/>
  <c r="Q170" i="66"/>
  <c r="Q166" i="66"/>
  <c r="Q85" i="66"/>
  <c r="Q127" i="66"/>
  <c r="J51" i="66"/>
  <c r="Q51" i="66"/>
  <c r="Q93" i="66"/>
  <c r="J93" i="66"/>
  <c r="Q41" i="66"/>
  <c r="Q82" i="66"/>
  <c r="J55" i="66"/>
  <c r="Q55" i="66"/>
  <c r="J52" i="66"/>
  <c r="Q52" i="66"/>
  <c r="J135" i="66"/>
  <c r="Q135" i="66"/>
  <c r="Q177" i="66"/>
  <c r="J177" i="66"/>
  <c r="Q178" i="66"/>
  <c r="J178" i="66"/>
  <c r="Q96" i="66"/>
  <c r="J96" i="66"/>
  <c r="P198" i="66"/>
  <c r="I198" i="66"/>
  <c r="J189" i="66"/>
  <c r="Q189" i="66"/>
  <c r="J104" i="66"/>
  <c r="Q104" i="66"/>
  <c r="P77" i="66"/>
  <c r="Q20" i="66"/>
  <c r="I16" i="61"/>
  <c r="F152" i="66" a="1"/>
  <c r="F152" i="66" s="1"/>
  <c r="F147" i="66" a="1"/>
  <c r="F147" i="66" s="1"/>
  <c r="F148" i="66" a="1"/>
  <c r="F148" i="66" s="1"/>
  <c r="F150" i="66" a="1"/>
  <c r="F150" i="66" s="1"/>
  <c r="F151" i="66" a="1"/>
  <c r="F151" i="66" s="1"/>
  <c r="I15" i="61"/>
  <c r="F68" i="66" a="1"/>
  <c r="F68" i="66" s="1"/>
  <c r="J68" i="66" s="1"/>
  <c r="F63" i="66" a="1"/>
  <c r="F63" i="66" s="1"/>
  <c r="F67" i="66" a="1"/>
  <c r="F67" i="66" s="1"/>
  <c r="F64" i="66" a="1"/>
  <c r="F64" i="66" s="1"/>
  <c r="F66" i="66" a="1"/>
  <c r="F66" i="66" s="1"/>
  <c r="I18" i="61"/>
  <c r="F196" i="66" a="1"/>
  <c r="F196" i="66" s="1"/>
  <c r="Q196" i="66" s="1"/>
  <c r="F190" i="66" a="1"/>
  <c r="F190" i="66" s="1"/>
  <c r="F191" i="66" a="1"/>
  <c r="F191" i="66" s="1"/>
  <c r="F194" i="66" a="1"/>
  <c r="F194" i="66" s="1"/>
  <c r="Q194" i="66" s="1"/>
  <c r="F193" i="66" a="1"/>
  <c r="F193" i="66" s="1"/>
  <c r="I17" i="61"/>
  <c r="F110" i="66" a="1"/>
  <c r="F110" i="66" s="1"/>
  <c r="J110" i="66" s="1"/>
  <c r="F105" i="66" a="1"/>
  <c r="F105" i="66" s="1"/>
  <c r="F109" i="66" a="1"/>
  <c r="F109" i="66" s="1"/>
  <c r="F108" i="66" a="1"/>
  <c r="F108" i="66" s="1"/>
  <c r="F106" i="66" a="1"/>
  <c r="F106" i="66" s="1"/>
  <c r="F24" i="66" a="1"/>
  <c r="F24" i="66" s="1"/>
  <c r="F26" i="66" a="1"/>
  <c r="F26" i="66" s="1"/>
  <c r="Q26" i="66" s="1"/>
  <c r="F25" i="66" a="1"/>
  <c r="F25" i="66" s="1"/>
  <c r="F22" i="66" a="1"/>
  <c r="F22" i="66" s="1"/>
  <c r="I14" i="61"/>
  <c r="F15" i="57" a="1"/>
  <c r="D9" i="57" a="1"/>
  <c r="K154" i="68" l="1"/>
  <c r="R123" i="68"/>
  <c r="R85" i="68"/>
  <c r="R10" i="98"/>
  <c r="K125" i="68"/>
  <c r="K157" i="68"/>
  <c r="R51" i="68"/>
  <c r="R89" i="68"/>
  <c r="K153" i="68"/>
  <c r="R154" i="68"/>
  <c r="Q181" i="68"/>
  <c r="Q182" i="68" s="1"/>
  <c r="R179" i="68"/>
  <c r="R153" i="68"/>
  <c r="M12" i="68"/>
  <c r="M87" i="68"/>
  <c r="R87" i="68"/>
  <c r="M48" i="68"/>
  <c r="R48" i="68"/>
  <c r="M156" i="68"/>
  <c r="K156" i="68"/>
  <c r="R125" i="68"/>
  <c r="K123" i="68"/>
  <c r="R47" i="68"/>
  <c r="M50" i="68"/>
  <c r="R50" i="68"/>
  <c r="R9" i="98"/>
  <c r="M155" i="68"/>
  <c r="R155" i="68"/>
  <c r="R157" i="68"/>
  <c r="M124" i="68"/>
  <c r="R124" i="68"/>
  <c r="M88" i="68"/>
  <c r="R88" i="68"/>
  <c r="K182" i="66"/>
  <c r="R182" i="66"/>
  <c r="R136" i="98"/>
  <c r="Q139" i="98"/>
  <c r="Q140" i="98" s="1"/>
  <c r="Q141" i="98" s="1"/>
  <c r="R135" i="98"/>
  <c r="R92" i="98"/>
  <c r="R64" i="98"/>
  <c r="R126" i="98"/>
  <c r="Q112" i="98"/>
  <c r="Q31" i="98"/>
  <c r="Q32" i="98" s="1"/>
  <c r="Q40" i="98"/>
  <c r="Q41" i="98" s="1"/>
  <c r="Q42" i="98" s="1"/>
  <c r="Q85" i="98"/>
  <c r="Q86" i="98" s="1"/>
  <c r="Q77" i="98"/>
  <c r="R74" i="98"/>
  <c r="Q130" i="98"/>
  <c r="Q103" i="98"/>
  <c r="Q104" i="98" s="1"/>
  <c r="Q13" i="98"/>
  <c r="Q14" i="98" s="1"/>
  <c r="Q15" i="98" s="1"/>
  <c r="Q121" i="98"/>
  <c r="Q122" i="98" s="1"/>
  <c r="Q123" i="98" s="1"/>
  <c r="Q67" i="98"/>
  <c r="Q68" i="98" s="1"/>
  <c r="Q69" i="98" s="1"/>
  <c r="Q58" i="98"/>
  <c r="Q59" i="98" s="1"/>
  <c r="Q60" i="98" s="1"/>
  <c r="R28" i="98"/>
  <c r="R27" i="98"/>
  <c r="R81" i="98"/>
  <c r="R83" i="98"/>
  <c r="R29" i="98"/>
  <c r="R90" i="98"/>
  <c r="R110" i="98"/>
  <c r="R109" i="98"/>
  <c r="R55" i="98"/>
  <c r="R56" i="98"/>
  <c r="R19" i="98"/>
  <c r="R127" i="98"/>
  <c r="R128" i="98"/>
  <c r="R36" i="98"/>
  <c r="R38" i="98"/>
  <c r="R63" i="98"/>
  <c r="R65" i="98"/>
  <c r="R45" i="98"/>
  <c r="R46" i="98"/>
  <c r="R91" i="98"/>
  <c r="Q96" i="98"/>
  <c r="R47" i="98"/>
  <c r="Q51" i="98"/>
  <c r="R117" i="98"/>
  <c r="R118" i="98"/>
  <c r="R119" i="98"/>
  <c r="R72" i="98"/>
  <c r="R73" i="98"/>
  <c r="J23" i="68"/>
  <c r="R20" i="98"/>
  <c r="R37" i="98"/>
  <c r="R100" i="98"/>
  <c r="R99" i="98"/>
  <c r="R101" i="98"/>
  <c r="Q61" i="68"/>
  <c r="R18" i="98"/>
  <c r="J99" i="68"/>
  <c r="F29" i="68" a="1"/>
  <c r="F29" i="68" s="1"/>
  <c r="J29" i="68" s="1"/>
  <c r="F105" i="68" a="1"/>
  <c r="F105" i="68" s="1"/>
  <c r="J105" i="68" s="1"/>
  <c r="F67" i="68" a="1"/>
  <c r="F67" i="68" s="1"/>
  <c r="J67" i="68" s="1"/>
  <c r="J167" i="68"/>
  <c r="Q167" i="68"/>
  <c r="J100" i="68"/>
  <c r="Q100" i="68"/>
  <c r="M182" i="66"/>
  <c r="Q195" i="66"/>
  <c r="J195" i="66"/>
  <c r="Q14" i="68"/>
  <c r="R12" i="68" s="1"/>
  <c r="J14" i="68"/>
  <c r="K12" i="68" s="1"/>
  <c r="Q11" i="66"/>
  <c r="M11" i="66" s="1"/>
  <c r="Q99" i="66"/>
  <c r="Q123" i="52"/>
  <c r="Q124" i="52" s="1"/>
  <c r="Q125" i="52" s="1"/>
  <c r="Q130" i="52"/>
  <c r="J73" i="52"/>
  <c r="Q73" i="52"/>
  <c r="J72" i="52"/>
  <c r="Q72" i="52"/>
  <c r="Q66" i="52"/>
  <c r="J66" i="52"/>
  <c r="Q132" i="52"/>
  <c r="J132" i="52"/>
  <c r="M121" i="52"/>
  <c r="J123" i="52"/>
  <c r="Q65" i="52"/>
  <c r="J65" i="52"/>
  <c r="M122" i="52"/>
  <c r="Q131" i="52"/>
  <c r="J131" i="52"/>
  <c r="J75" i="52"/>
  <c r="Q75" i="52"/>
  <c r="J76" i="52"/>
  <c r="Q76" i="52"/>
  <c r="J130" i="52"/>
  <c r="K129" i="52" s="1"/>
  <c r="M128" i="52"/>
  <c r="M129" i="52"/>
  <c r="J93" i="52"/>
  <c r="Q93" i="52"/>
  <c r="M38" i="52"/>
  <c r="J39" i="52"/>
  <c r="K37" i="52" s="1"/>
  <c r="M37" i="52"/>
  <c r="J45" i="52"/>
  <c r="Q45" i="52"/>
  <c r="Q39" i="52"/>
  <c r="R38" i="52" s="1"/>
  <c r="J48" i="52"/>
  <c r="Q48" i="52"/>
  <c r="J101" i="52"/>
  <c r="Q101" i="52"/>
  <c r="Q47" i="52"/>
  <c r="J47" i="52"/>
  <c r="Q103" i="52"/>
  <c r="J103" i="52"/>
  <c r="J104" i="52"/>
  <c r="Q104" i="52"/>
  <c r="Q44" i="52"/>
  <c r="J44" i="52"/>
  <c r="Q100" i="52"/>
  <c r="J100" i="52"/>
  <c r="J94" i="52"/>
  <c r="Q94" i="52"/>
  <c r="Q60" i="52"/>
  <c r="Q61" i="52" s="1"/>
  <c r="Q62" i="52" s="1"/>
  <c r="Q32" i="52"/>
  <c r="Q19" i="52"/>
  <c r="J19" i="52"/>
  <c r="Q20" i="52"/>
  <c r="J20" i="52"/>
  <c r="J18" i="52"/>
  <c r="Q15" i="66"/>
  <c r="Q9" i="66"/>
  <c r="M9" i="66" s="1"/>
  <c r="Q11" i="68"/>
  <c r="Q10" i="68"/>
  <c r="F15" i="57"/>
  <c r="F51" i="52" a="1"/>
  <c r="F51" i="52" s="1"/>
  <c r="F52" i="52" a="1"/>
  <c r="F52" i="52" s="1"/>
  <c r="F50" i="52" a="1"/>
  <c r="F50" i="52" s="1"/>
  <c r="F22" i="52" a="1"/>
  <c r="F22" i="52" s="1"/>
  <c r="F24" i="52" a="1"/>
  <c r="F24" i="52" s="1"/>
  <c r="F23" i="52" a="1"/>
  <c r="F23" i="52" s="1"/>
  <c r="F80" i="52" a="1"/>
  <c r="F80" i="52" s="1"/>
  <c r="F79" i="52" a="1"/>
  <c r="F79" i="52" s="1"/>
  <c r="F78" i="52" a="1"/>
  <c r="F78" i="52" s="1"/>
  <c r="J9" i="52"/>
  <c r="J11" i="52" s="1"/>
  <c r="Q9" i="52"/>
  <c r="Q16" i="52"/>
  <c r="M16" i="52" s="1"/>
  <c r="Q17" i="52"/>
  <c r="M17" i="52" s="1"/>
  <c r="Q10" i="52"/>
  <c r="F107" i="52" a="1"/>
  <c r="F107" i="52" s="1"/>
  <c r="F108" i="52" a="1"/>
  <c r="F108" i="52" s="1"/>
  <c r="F106" i="52" a="1"/>
  <c r="F106" i="52" s="1"/>
  <c r="R140" i="52"/>
  <c r="R139" i="52"/>
  <c r="D9" i="57"/>
  <c r="Q153" i="66"/>
  <c r="J153" i="66"/>
  <c r="Q111" i="66"/>
  <c r="J111" i="66"/>
  <c r="Q27" i="66"/>
  <c r="R26" i="66" s="1"/>
  <c r="J27" i="66"/>
  <c r="F69" i="68" a="1"/>
  <c r="F69" i="68" s="1"/>
  <c r="F76" i="66" a="1"/>
  <c r="F76" i="66" s="1"/>
  <c r="Q135" i="68"/>
  <c r="J135" i="68"/>
  <c r="K134" i="68" s="1"/>
  <c r="Q101" i="68"/>
  <c r="R99" i="68" s="1"/>
  <c r="J101" i="68"/>
  <c r="Q25" i="68"/>
  <c r="R23" i="68" s="1"/>
  <c r="J25" i="68"/>
  <c r="Q69" i="66"/>
  <c r="J69" i="66"/>
  <c r="Q197" i="66"/>
  <c r="R194" i="66" s="1"/>
  <c r="J197" i="66"/>
  <c r="F31" i="68" a="1"/>
  <c r="F31" i="68" s="1"/>
  <c r="F34" i="66" a="1"/>
  <c r="F34" i="66" s="1"/>
  <c r="F107" i="68" a="1"/>
  <c r="F107" i="68" s="1"/>
  <c r="F118" i="66" a="1"/>
  <c r="F118" i="66" s="1"/>
  <c r="F139" i="68" a="1"/>
  <c r="F139" i="68" s="1"/>
  <c r="F160" i="66" a="1"/>
  <c r="F160" i="66" s="1"/>
  <c r="J63" i="68"/>
  <c r="K61" i="68" s="1"/>
  <c r="Q63" i="68"/>
  <c r="R62" i="68" s="1"/>
  <c r="J169" i="68"/>
  <c r="K168" i="68" s="1"/>
  <c r="Q169" i="68"/>
  <c r="R166" i="68" s="1"/>
  <c r="I35" i="66"/>
  <c r="J20" i="66"/>
  <c r="J133" i="68"/>
  <c r="Q133" i="68"/>
  <c r="Q81" i="68"/>
  <c r="Q43" i="68"/>
  <c r="R181" i="68"/>
  <c r="Q119" i="68"/>
  <c r="M9" i="68"/>
  <c r="M85" i="68"/>
  <c r="M153" i="68"/>
  <c r="Q20" i="68"/>
  <c r="J20" i="68"/>
  <c r="J164" i="68"/>
  <c r="Q164" i="68"/>
  <c r="M123" i="68"/>
  <c r="J96" i="68"/>
  <c r="Q96" i="68"/>
  <c r="J58" i="68"/>
  <c r="Q58" i="68"/>
  <c r="J132" i="68"/>
  <c r="Q132" i="68"/>
  <c r="M47" i="68"/>
  <c r="Q151" i="66"/>
  <c r="J151" i="66"/>
  <c r="Q148" i="66"/>
  <c r="J148" i="66"/>
  <c r="Q150" i="66"/>
  <c r="J150" i="66"/>
  <c r="J147" i="66"/>
  <c r="Q147" i="66"/>
  <c r="Q149" i="66"/>
  <c r="M149" i="66" s="1"/>
  <c r="Q134" i="68"/>
  <c r="J107" i="66"/>
  <c r="M107" i="66" s="1"/>
  <c r="Q192" i="66"/>
  <c r="M192" i="66" s="1"/>
  <c r="J95" i="68"/>
  <c r="M95" i="68" s="1"/>
  <c r="Q65" i="66"/>
  <c r="M65" i="66" s="1"/>
  <c r="M89" i="68"/>
  <c r="Q91" i="68"/>
  <c r="R79" i="68"/>
  <c r="F72" i="66" a="1"/>
  <c r="F72" i="66" s="1"/>
  <c r="Q72" i="66" s="1"/>
  <c r="F64" i="68" a="1"/>
  <c r="F64" i="68" s="1"/>
  <c r="F68" i="68" a="1"/>
  <c r="F68" i="68" s="1"/>
  <c r="F66" i="68" a="1"/>
  <c r="F66" i="68" s="1"/>
  <c r="F65" i="68" a="1"/>
  <c r="F65" i="68" s="1"/>
  <c r="J22" i="68"/>
  <c r="Q22" i="68"/>
  <c r="Q165" i="68"/>
  <c r="J165" i="68"/>
  <c r="Q97" i="68"/>
  <c r="J97" i="68"/>
  <c r="J19" i="68"/>
  <c r="M163" i="68"/>
  <c r="Q59" i="68"/>
  <c r="J59" i="68"/>
  <c r="Q168" i="68"/>
  <c r="M13" i="68"/>
  <c r="M51" i="68"/>
  <c r="Q24" i="68"/>
  <c r="F30" i="66" a="1"/>
  <c r="F30" i="66" s="1"/>
  <c r="Q30" i="66" s="1"/>
  <c r="F26" i="68" a="1"/>
  <c r="F26" i="68" s="1"/>
  <c r="F30" i="68" a="1"/>
  <c r="F30" i="68" s="1"/>
  <c r="F27" i="68" a="1"/>
  <c r="F27" i="68" s="1"/>
  <c r="F28" i="68" a="1"/>
  <c r="F28" i="68" s="1"/>
  <c r="F114" i="66" a="1"/>
  <c r="F114" i="66" s="1"/>
  <c r="Q114" i="66" s="1"/>
  <c r="F106" i="68" a="1"/>
  <c r="F106" i="68" s="1"/>
  <c r="F103" i="68" a="1"/>
  <c r="F103" i="68" s="1"/>
  <c r="F104" i="68" a="1"/>
  <c r="F104" i="68" s="1"/>
  <c r="F102" i="68" a="1"/>
  <c r="F102" i="68" s="1"/>
  <c r="F156" i="66" a="1"/>
  <c r="F156" i="66" s="1"/>
  <c r="Q156" i="66" s="1"/>
  <c r="F138" i="68" a="1"/>
  <c r="F138" i="68" s="1"/>
  <c r="F137" i="68" a="1"/>
  <c r="F137" i="68" s="1"/>
  <c r="F136" i="68" a="1"/>
  <c r="F136" i="68" s="1"/>
  <c r="M131" i="68"/>
  <c r="J166" i="68"/>
  <c r="Q98" i="68"/>
  <c r="J98" i="68"/>
  <c r="M154" i="68"/>
  <c r="M125" i="68"/>
  <c r="J21" i="68"/>
  <c r="Q21" i="68"/>
  <c r="M157" i="68"/>
  <c r="Q60" i="68"/>
  <c r="J60" i="68"/>
  <c r="Q57" i="68"/>
  <c r="J62" i="68"/>
  <c r="M183" i="66"/>
  <c r="Q146" i="66"/>
  <c r="J62" i="66"/>
  <c r="M62" i="66" s="1"/>
  <c r="J196" i="66"/>
  <c r="Q185" i="66"/>
  <c r="Q186" i="66" s="1"/>
  <c r="M98" i="66"/>
  <c r="M56" i="66"/>
  <c r="Q68" i="66"/>
  <c r="J26" i="66"/>
  <c r="Q110" i="66"/>
  <c r="M140" i="66"/>
  <c r="Q152" i="66"/>
  <c r="J152" i="66"/>
  <c r="J146" i="66"/>
  <c r="Q21" i="66"/>
  <c r="J23" i="66"/>
  <c r="Q23" i="66"/>
  <c r="M10" i="66"/>
  <c r="M14" i="66"/>
  <c r="M13" i="66"/>
  <c r="M55" i="66"/>
  <c r="M139" i="66"/>
  <c r="Q109" i="66"/>
  <c r="J109" i="66"/>
  <c r="J64" i="66"/>
  <c r="Q64" i="66"/>
  <c r="M178" i="66"/>
  <c r="M97" i="66"/>
  <c r="M180" i="66"/>
  <c r="M54" i="66"/>
  <c r="M52" i="66"/>
  <c r="M51" i="66"/>
  <c r="M138" i="66"/>
  <c r="M94" i="66"/>
  <c r="J106" i="66"/>
  <c r="Q106" i="66"/>
  <c r="Q190" i="66"/>
  <c r="J190" i="66"/>
  <c r="Q22" i="66"/>
  <c r="J22" i="66"/>
  <c r="J25" i="66"/>
  <c r="Q25" i="66"/>
  <c r="J108" i="66"/>
  <c r="Q108" i="66"/>
  <c r="J191" i="66"/>
  <c r="Q191" i="66"/>
  <c r="J67" i="66"/>
  <c r="Q67" i="66"/>
  <c r="M96" i="66"/>
  <c r="M177" i="66"/>
  <c r="M93" i="66"/>
  <c r="Q24" i="66"/>
  <c r="J24" i="66"/>
  <c r="J194" i="66"/>
  <c r="Q63" i="66"/>
  <c r="J63" i="66"/>
  <c r="J105" i="66"/>
  <c r="Q105" i="66"/>
  <c r="J193" i="66"/>
  <c r="Q193" i="66"/>
  <c r="J66" i="66"/>
  <c r="Q66" i="66"/>
  <c r="M135" i="66"/>
  <c r="M181" i="66"/>
  <c r="M136" i="66"/>
  <c r="M189" i="66"/>
  <c r="M104" i="66"/>
  <c r="M12" i="66"/>
  <c r="F116" i="66" a="1"/>
  <c r="F116" i="66" s="1"/>
  <c r="F115" i="66" a="1"/>
  <c r="F115" i="66" s="1"/>
  <c r="F113" i="66" a="1"/>
  <c r="F113" i="66" s="1"/>
  <c r="F117" i="66" a="1"/>
  <c r="F117" i="66" s="1"/>
  <c r="F112" i="66" a="1"/>
  <c r="F112" i="66" s="1"/>
  <c r="F74" i="66" a="1"/>
  <c r="F74" i="66" s="1"/>
  <c r="F73" i="66" a="1"/>
  <c r="F73" i="66" s="1"/>
  <c r="F71" i="66" a="1"/>
  <c r="F71" i="66" s="1"/>
  <c r="F75" i="66" a="1"/>
  <c r="F75" i="66" s="1"/>
  <c r="F70" i="66" a="1"/>
  <c r="F70" i="66" s="1"/>
  <c r="F158" i="66" a="1"/>
  <c r="F158" i="66" s="1"/>
  <c r="F157" i="66" a="1"/>
  <c r="F157" i="66" s="1"/>
  <c r="F155" i="66" a="1"/>
  <c r="F155" i="66" s="1"/>
  <c r="F159" i="66" a="1"/>
  <c r="F159" i="66" s="1"/>
  <c r="F154" i="66" a="1"/>
  <c r="F154" i="66" s="1"/>
  <c r="F32" i="66" a="1"/>
  <c r="F32" i="66" s="1"/>
  <c r="F29" i="66" a="1"/>
  <c r="F29" i="66" s="1"/>
  <c r="F28" i="66" a="1"/>
  <c r="F28" i="66" s="1"/>
  <c r="F31" i="66" a="1"/>
  <c r="F31" i="66" s="1"/>
  <c r="F33" i="66" a="1"/>
  <c r="F33" i="66" s="1"/>
  <c r="N37" i="113" a="1"/>
  <c r="R37" i="114" a="1"/>
  <c r="R37" i="113" a="1"/>
  <c r="N37" i="112" a="1"/>
  <c r="N37" i="108" a="1"/>
  <c r="N37" i="114" a="1"/>
  <c r="R37" i="108" a="1"/>
  <c r="N37" i="111" a="1"/>
  <c r="W37" i="111" a="1"/>
  <c r="R25" i="66" l="1"/>
  <c r="R21" i="66"/>
  <c r="R24" i="66"/>
  <c r="R98" i="68"/>
  <c r="R97" i="68"/>
  <c r="R96" i="68"/>
  <c r="R132" i="68"/>
  <c r="W37" i="111"/>
  <c r="K166" i="68"/>
  <c r="R133" i="68"/>
  <c r="R23" i="66"/>
  <c r="R37" i="114"/>
  <c r="S37" i="114" s="1"/>
  <c r="N37" i="114"/>
  <c r="K165" i="68"/>
  <c r="R22" i="66"/>
  <c r="N37" i="113"/>
  <c r="R37" i="113"/>
  <c r="S37" i="113" s="1"/>
  <c r="N37" i="112"/>
  <c r="N37" i="111"/>
  <c r="R60" i="68"/>
  <c r="N37" i="108"/>
  <c r="R37" i="108"/>
  <c r="S37" i="108" s="1"/>
  <c r="J21" i="52"/>
  <c r="R182" i="68"/>
  <c r="K132" i="68"/>
  <c r="K133" i="68"/>
  <c r="R21" i="68"/>
  <c r="R22" i="68"/>
  <c r="R164" i="68"/>
  <c r="R59" i="68"/>
  <c r="R165" i="68"/>
  <c r="M11" i="68"/>
  <c r="R11" i="68"/>
  <c r="R100" i="68"/>
  <c r="M99" i="68"/>
  <c r="K99" i="68"/>
  <c r="K21" i="68"/>
  <c r="R24" i="68"/>
  <c r="K22" i="68"/>
  <c r="K164" i="68"/>
  <c r="R167" i="68"/>
  <c r="M61" i="68"/>
  <c r="R61" i="68"/>
  <c r="R9" i="68"/>
  <c r="K20" i="68"/>
  <c r="K167" i="68"/>
  <c r="M134" i="68"/>
  <c r="R134" i="68"/>
  <c r="R58" i="68"/>
  <c r="R20" i="68"/>
  <c r="R13" i="68"/>
  <c r="K11" i="68"/>
  <c r="K10" i="68"/>
  <c r="M168" i="68"/>
  <c r="R168" i="68"/>
  <c r="M23" i="68"/>
  <c r="K23" i="68"/>
  <c r="M10" i="68"/>
  <c r="R10" i="68"/>
  <c r="K9" i="68"/>
  <c r="K13" i="68"/>
  <c r="K196" i="66"/>
  <c r="K195" i="66"/>
  <c r="R195" i="66"/>
  <c r="Q132" i="98"/>
  <c r="Q113" i="98"/>
  <c r="Q114" i="98" s="1"/>
  <c r="Q105" i="98"/>
  <c r="Q78" i="98"/>
  <c r="Q87" i="98"/>
  <c r="Q33" i="98"/>
  <c r="Q105" i="68"/>
  <c r="M100" i="68"/>
  <c r="Q29" i="68"/>
  <c r="Q67" i="68"/>
  <c r="M195" i="66"/>
  <c r="M167" i="68"/>
  <c r="Q82" i="68"/>
  <c r="Q44" i="68"/>
  <c r="Q92" i="68"/>
  <c r="Q120" i="68"/>
  <c r="Q102" i="52"/>
  <c r="Q154" i="66"/>
  <c r="J154" i="66"/>
  <c r="K122" i="52"/>
  <c r="M72" i="52"/>
  <c r="Q133" i="52"/>
  <c r="Q134" i="52" s="1"/>
  <c r="Q135" i="52" s="1"/>
  <c r="Q136" i="52" s="1"/>
  <c r="M66" i="52"/>
  <c r="M76" i="52"/>
  <c r="J79" i="52"/>
  <c r="Q79" i="52"/>
  <c r="M130" i="52"/>
  <c r="M132" i="52"/>
  <c r="J124" i="52"/>
  <c r="M124" i="52" s="1"/>
  <c r="M123" i="52"/>
  <c r="M75" i="52"/>
  <c r="J78" i="52"/>
  <c r="Q78" i="52"/>
  <c r="Q49" i="52"/>
  <c r="R47" i="52" s="1"/>
  <c r="K128" i="52"/>
  <c r="J133" i="52"/>
  <c r="M131" i="52"/>
  <c r="M65" i="52"/>
  <c r="K121" i="52"/>
  <c r="M73" i="52"/>
  <c r="R58" i="52"/>
  <c r="M94" i="52"/>
  <c r="R37" i="52"/>
  <c r="J106" i="52"/>
  <c r="Q106" i="52"/>
  <c r="M104" i="52"/>
  <c r="M48" i="52"/>
  <c r="J46" i="52"/>
  <c r="M103" i="52"/>
  <c r="J105" i="52"/>
  <c r="R59" i="52"/>
  <c r="K38" i="52"/>
  <c r="Q51" i="52"/>
  <c r="J51" i="52"/>
  <c r="R30" i="52"/>
  <c r="J102" i="52"/>
  <c r="K101" i="52" s="1"/>
  <c r="M100" i="52"/>
  <c r="M44" i="52"/>
  <c r="Q46" i="52"/>
  <c r="Q105" i="52"/>
  <c r="M101" i="52"/>
  <c r="Q40" i="52"/>
  <c r="Q41" i="52" s="1"/>
  <c r="M45" i="52"/>
  <c r="Q95" i="52"/>
  <c r="Q96" i="52" s="1"/>
  <c r="Q97" i="52" s="1"/>
  <c r="Q107" i="52"/>
  <c r="J107" i="52"/>
  <c r="Q50" i="52"/>
  <c r="J50" i="52"/>
  <c r="J49" i="52"/>
  <c r="M47" i="52"/>
  <c r="J40" i="52"/>
  <c r="M39" i="52"/>
  <c r="M93" i="52"/>
  <c r="J95" i="52"/>
  <c r="M19" i="52"/>
  <c r="M20" i="52"/>
  <c r="R31" i="52"/>
  <c r="Q33" i="52"/>
  <c r="Q34" i="52" s="1"/>
  <c r="Q22" i="52"/>
  <c r="J22" i="52"/>
  <c r="J23" i="52"/>
  <c r="Q23" i="52"/>
  <c r="M9" i="52"/>
  <c r="M10" i="52"/>
  <c r="J67" i="52"/>
  <c r="Q67" i="52"/>
  <c r="Q68" i="52" s="1"/>
  <c r="Q18" i="52"/>
  <c r="Q11" i="52"/>
  <c r="R9" i="52" s="1"/>
  <c r="Q21" i="52"/>
  <c r="R19" i="52" s="1"/>
  <c r="Q160" i="66"/>
  <c r="J160" i="66"/>
  <c r="Q34" i="66"/>
  <c r="R30" i="66" s="1"/>
  <c r="J34" i="66"/>
  <c r="Q76" i="66"/>
  <c r="J76" i="66"/>
  <c r="Q139" i="68"/>
  <c r="J139" i="68"/>
  <c r="Q31" i="68"/>
  <c r="J31" i="68"/>
  <c r="J32" i="68" s="1"/>
  <c r="Q69" i="68"/>
  <c r="J69" i="68"/>
  <c r="K67" i="68" s="1"/>
  <c r="Q118" i="66"/>
  <c r="J118" i="66"/>
  <c r="J107" i="68"/>
  <c r="K105" i="68" s="1"/>
  <c r="Q107" i="68"/>
  <c r="M132" i="68"/>
  <c r="M133" i="68"/>
  <c r="R166" i="66"/>
  <c r="Q173" i="66"/>
  <c r="Q174" i="66" s="1"/>
  <c r="Q211" i="66"/>
  <c r="K11" i="66"/>
  <c r="J16" i="66"/>
  <c r="J17" i="66" s="1"/>
  <c r="K85" i="68"/>
  <c r="J91" i="68"/>
  <c r="R53" i="66"/>
  <c r="Q58" i="66"/>
  <c r="Q59" i="66" s="1"/>
  <c r="R126" i="66"/>
  <c r="Q131" i="66"/>
  <c r="Q132" i="66" s="1"/>
  <c r="R11" i="66"/>
  <c r="Q16" i="66"/>
  <c r="Q17" i="66" s="1"/>
  <c r="K137" i="66"/>
  <c r="J142" i="66"/>
  <c r="J143" i="66" s="1"/>
  <c r="J159" i="68"/>
  <c r="Q149" i="68"/>
  <c r="Q150" i="68" s="1"/>
  <c r="R140" i="66"/>
  <c r="Q142" i="66"/>
  <c r="Q143" i="66" s="1"/>
  <c r="K53" i="66"/>
  <c r="J58" i="66"/>
  <c r="J59" i="66" s="1"/>
  <c r="R95" i="66"/>
  <c r="Q100" i="66"/>
  <c r="Q101" i="66" s="1"/>
  <c r="K47" i="68"/>
  <c r="J53" i="68"/>
  <c r="Q53" i="68"/>
  <c r="Q15" i="68"/>
  <c r="J15" i="68"/>
  <c r="K95" i="66"/>
  <c r="J100" i="66"/>
  <c r="J101" i="66" s="1"/>
  <c r="R84" i="66"/>
  <c r="Q89" i="66"/>
  <c r="Q90" i="66" s="1"/>
  <c r="R42" i="66"/>
  <c r="Q47" i="66"/>
  <c r="Q48" i="66" s="1"/>
  <c r="J185" i="66"/>
  <c r="Q159" i="68"/>
  <c r="J127" i="68"/>
  <c r="J128" i="68" s="1"/>
  <c r="Q127" i="68"/>
  <c r="Q128" i="68" s="1"/>
  <c r="J64" i="68"/>
  <c r="Q64" i="68"/>
  <c r="M58" i="68"/>
  <c r="M96" i="68"/>
  <c r="M164" i="68"/>
  <c r="J136" i="68"/>
  <c r="Q136" i="68"/>
  <c r="R136" i="68" s="1"/>
  <c r="Q102" i="68"/>
  <c r="R102" i="68" s="1"/>
  <c r="J102" i="68"/>
  <c r="Q26" i="68"/>
  <c r="J26" i="68"/>
  <c r="M20" i="68"/>
  <c r="M150" i="66"/>
  <c r="M151" i="66"/>
  <c r="M148" i="66"/>
  <c r="Q155" i="66"/>
  <c r="J155" i="66"/>
  <c r="M147" i="66"/>
  <c r="J72" i="66"/>
  <c r="M72" i="66" s="1"/>
  <c r="J114" i="66"/>
  <c r="M114" i="66" s="1"/>
  <c r="J156" i="66"/>
  <c r="M156" i="66" s="1"/>
  <c r="J30" i="66"/>
  <c r="M30" i="66" s="1"/>
  <c r="M14" i="68"/>
  <c r="M126" i="68"/>
  <c r="M90" i="68"/>
  <c r="K89" i="68"/>
  <c r="K86" i="68"/>
  <c r="K87" i="68"/>
  <c r="M60" i="68"/>
  <c r="M98" i="68"/>
  <c r="M166" i="68"/>
  <c r="Q138" i="68"/>
  <c r="J138" i="68"/>
  <c r="M97" i="68"/>
  <c r="M165" i="68"/>
  <c r="J103" i="68"/>
  <c r="Q103" i="68"/>
  <c r="J28" i="68"/>
  <c r="Q28" i="68"/>
  <c r="Q30" i="68"/>
  <c r="J30" i="68"/>
  <c r="M24" i="68"/>
  <c r="M22" i="68"/>
  <c r="J66" i="68"/>
  <c r="Q66" i="68"/>
  <c r="Q68" i="68"/>
  <c r="J68" i="68"/>
  <c r="M146" i="66"/>
  <c r="M62" i="68"/>
  <c r="M57" i="68"/>
  <c r="Q137" i="68"/>
  <c r="J137" i="68"/>
  <c r="M21" i="68"/>
  <c r="M52" i="68"/>
  <c r="K49" i="68"/>
  <c r="K51" i="68"/>
  <c r="K48" i="68"/>
  <c r="Q104" i="68"/>
  <c r="J104" i="68"/>
  <c r="Q106" i="68"/>
  <c r="J106" i="68"/>
  <c r="Q27" i="68"/>
  <c r="J27" i="68"/>
  <c r="M59" i="68"/>
  <c r="M19" i="68"/>
  <c r="M158" i="68"/>
  <c r="J65" i="68"/>
  <c r="Q65" i="68"/>
  <c r="R152" i="66"/>
  <c r="R56" i="66"/>
  <c r="R128" i="66"/>
  <c r="K94" i="66"/>
  <c r="R85" i="66"/>
  <c r="K140" i="66"/>
  <c r="R98" i="66"/>
  <c r="R9" i="66"/>
  <c r="R169" i="66"/>
  <c r="R12" i="66"/>
  <c r="R41" i="66"/>
  <c r="K52" i="66"/>
  <c r="K98" i="66"/>
  <c r="R13" i="66"/>
  <c r="R83" i="66"/>
  <c r="K10" i="66"/>
  <c r="R52" i="66"/>
  <c r="R124" i="66"/>
  <c r="K13" i="66"/>
  <c r="R10" i="66"/>
  <c r="R168" i="66"/>
  <c r="R129" i="66"/>
  <c r="R54" i="66"/>
  <c r="R167" i="66"/>
  <c r="K93" i="66"/>
  <c r="K96" i="66"/>
  <c r="R45" i="66"/>
  <c r="R94" i="66"/>
  <c r="R87" i="66"/>
  <c r="R97" i="66"/>
  <c r="K14" i="66"/>
  <c r="R125" i="66"/>
  <c r="K97" i="66"/>
  <c r="R93" i="66"/>
  <c r="R96" i="66"/>
  <c r="M21" i="66"/>
  <c r="M68" i="66"/>
  <c r="K139" i="66"/>
  <c r="R40" i="66"/>
  <c r="K51" i="66"/>
  <c r="R55" i="66"/>
  <c r="K54" i="66"/>
  <c r="R127" i="66"/>
  <c r="R82" i="66"/>
  <c r="R14" i="66"/>
  <c r="K55" i="66"/>
  <c r="M141" i="66"/>
  <c r="R137" i="66"/>
  <c r="K152" i="66"/>
  <c r="R86" i="66"/>
  <c r="K9" i="66"/>
  <c r="K12" i="66"/>
  <c r="R170" i="66"/>
  <c r="R135" i="66"/>
  <c r="R171" i="66"/>
  <c r="R44" i="66"/>
  <c r="R139" i="66"/>
  <c r="R43" i="66"/>
  <c r="R51" i="66"/>
  <c r="K56" i="66"/>
  <c r="K136" i="66"/>
  <c r="K138" i="66"/>
  <c r="R136" i="66"/>
  <c r="R138" i="66"/>
  <c r="K135" i="66"/>
  <c r="K177" i="66"/>
  <c r="K181" i="66"/>
  <c r="K178" i="66"/>
  <c r="K180" i="66"/>
  <c r="K179" i="66"/>
  <c r="K183" i="66"/>
  <c r="R178" i="66"/>
  <c r="R177" i="66"/>
  <c r="R180" i="66"/>
  <c r="R179" i="66"/>
  <c r="R181" i="66"/>
  <c r="R183" i="66"/>
  <c r="M184" i="66"/>
  <c r="K105" i="66"/>
  <c r="K21" i="66"/>
  <c r="J33" i="66"/>
  <c r="Q33" i="66"/>
  <c r="K66" i="66"/>
  <c r="R107" i="66"/>
  <c r="M110" i="66"/>
  <c r="Q75" i="66"/>
  <c r="J75" i="66"/>
  <c r="M57" i="66"/>
  <c r="M152" i="66"/>
  <c r="M26" i="66"/>
  <c r="Q159" i="66"/>
  <c r="J159" i="66"/>
  <c r="J117" i="66"/>
  <c r="Q117" i="66"/>
  <c r="K192" i="66"/>
  <c r="M99" i="66"/>
  <c r="R65" i="66"/>
  <c r="M196" i="66"/>
  <c r="M23" i="66"/>
  <c r="M25" i="66"/>
  <c r="M106" i="66"/>
  <c r="Q28" i="66"/>
  <c r="J28" i="66"/>
  <c r="Q157" i="66"/>
  <c r="J157" i="66"/>
  <c r="Q70" i="66"/>
  <c r="J70" i="66"/>
  <c r="Q73" i="66"/>
  <c r="J73" i="66"/>
  <c r="M63" i="66"/>
  <c r="M24" i="66"/>
  <c r="M191" i="66"/>
  <c r="M108" i="66"/>
  <c r="J113" i="66"/>
  <c r="Q113" i="66"/>
  <c r="J116" i="66"/>
  <c r="Q116" i="66"/>
  <c r="M193" i="66"/>
  <c r="M194" i="66"/>
  <c r="M190" i="66"/>
  <c r="J31" i="66"/>
  <c r="Q31" i="66"/>
  <c r="J29" i="66"/>
  <c r="Q29" i="66"/>
  <c r="J74" i="66"/>
  <c r="Q74" i="66"/>
  <c r="J112" i="66"/>
  <c r="Q112" i="66"/>
  <c r="J115" i="66"/>
  <c r="Q115" i="66"/>
  <c r="M67" i="66"/>
  <c r="M109" i="66"/>
  <c r="J32" i="66"/>
  <c r="Q32" i="66"/>
  <c r="Q158" i="66"/>
  <c r="J158" i="66"/>
  <c r="J71" i="66"/>
  <c r="Q71" i="66"/>
  <c r="M66" i="66"/>
  <c r="M105" i="66"/>
  <c r="M22" i="66"/>
  <c r="M64" i="66"/>
  <c r="K16" i="52"/>
  <c r="K10" i="52"/>
  <c r="K17" i="52"/>
  <c r="AF34" i="113" a="1"/>
  <c r="AF35" i="113" a="1"/>
  <c r="AF37" i="114" a="1"/>
  <c r="AF33" i="113" a="1"/>
  <c r="R37" i="112" a="1"/>
  <c r="N34" i="108" a="1"/>
  <c r="AF37" i="112" a="1"/>
  <c r="I34" i="113" a="1"/>
  <c r="I34" i="111" a="1"/>
  <c r="AF35" i="111" a="1"/>
  <c r="I37" i="111" a="1"/>
  <c r="AF33" i="114" a="1"/>
  <c r="AF37" i="111" a="1"/>
  <c r="I34" i="112" a="1"/>
  <c r="D82" i="102" a="1"/>
  <c r="I37" i="114" a="1"/>
  <c r="AF33" i="108" a="1"/>
  <c r="I37" i="113" a="1"/>
  <c r="W37" i="108" a="1"/>
  <c r="N34" i="114" a="1"/>
  <c r="W37" i="112" a="1"/>
  <c r="AF34" i="111" a="1"/>
  <c r="AF33" i="111" a="1"/>
  <c r="I37" i="112" a="1"/>
  <c r="AF37" i="108" a="1"/>
  <c r="AF34" i="112" a="1"/>
  <c r="W37" i="114" a="1"/>
  <c r="N34" i="112" a="1"/>
  <c r="W37" i="113" a="1"/>
  <c r="AF35" i="108" a="1"/>
  <c r="N34" i="113" a="1"/>
  <c r="AF35" i="112" a="1"/>
  <c r="I37" i="108" a="1"/>
  <c r="D74" i="102" a="1"/>
  <c r="D50" i="102" a="1"/>
  <c r="AF35" i="114" a="1"/>
  <c r="AF37" i="113" a="1"/>
  <c r="N34" i="111" a="1"/>
  <c r="R37" i="111" a="1"/>
  <c r="R37" i="111" l="1"/>
  <c r="S37" i="111" s="1"/>
  <c r="R37" i="112"/>
  <c r="S37" i="112" s="1"/>
  <c r="W37" i="112"/>
  <c r="W37" i="113"/>
  <c r="U37" i="113" s="1"/>
  <c r="W37" i="114"/>
  <c r="V37" i="114" s="1"/>
  <c r="R31" i="66"/>
  <c r="R68" i="68"/>
  <c r="AF37" i="114"/>
  <c r="AF33" i="114"/>
  <c r="N34" i="114"/>
  <c r="AF35" i="114"/>
  <c r="I37" i="114"/>
  <c r="J37" i="114" s="1"/>
  <c r="N34" i="113"/>
  <c r="AF33" i="113"/>
  <c r="AF35" i="113"/>
  <c r="I37" i="113"/>
  <c r="J37" i="113" s="1"/>
  <c r="I34" i="113"/>
  <c r="J34" i="113" s="1"/>
  <c r="AF34" i="113"/>
  <c r="AF37" i="113"/>
  <c r="I34" i="112"/>
  <c r="J34" i="112" s="1"/>
  <c r="AF34" i="112"/>
  <c r="AF37" i="112"/>
  <c r="N34" i="112"/>
  <c r="AF35" i="112"/>
  <c r="I37" i="112"/>
  <c r="J37" i="112" s="1"/>
  <c r="I37" i="111"/>
  <c r="J37" i="111" s="1"/>
  <c r="AF35" i="111"/>
  <c r="I34" i="111"/>
  <c r="J34" i="111" s="1"/>
  <c r="AF34" i="111"/>
  <c r="AF37" i="111"/>
  <c r="N34" i="111"/>
  <c r="AF33" i="111"/>
  <c r="U37" i="111"/>
  <c r="R33" i="66"/>
  <c r="R32" i="66"/>
  <c r="R28" i="66"/>
  <c r="AF35" i="108"/>
  <c r="N34" i="108"/>
  <c r="AF37" i="108"/>
  <c r="AF33" i="108"/>
  <c r="R29" i="66"/>
  <c r="W37" i="108"/>
  <c r="I37" i="108"/>
  <c r="J37" i="108" s="1"/>
  <c r="R137" i="68"/>
  <c r="R30" i="68"/>
  <c r="R65" i="68"/>
  <c r="R66" i="68"/>
  <c r="R26" i="68"/>
  <c r="R64" i="68"/>
  <c r="K27" i="68"/>
  <c r="R28" i="68"/>
  <c r="R27" i="68"/>
  <c r="K28" i="68"/>
  <c r="K26" i="68"/>
  <c r="K136" i="68"/>
  <c r="R104" i="68"/>
  <c r="K29" i="68"/>
  <c r="K138" i="68"/>
  <c r="M105" i="68"/>
  <c r="R105" i="68"/>
  <c r="R103" i="68"/>
  <c r="R138" i="68"/>
  <c r="K137" i="68"/>
  <c r="M67" i="68"/>
  <c r="R67" i="68"/>
  <c r="M29" i="68"/>
  <c r="R29" i="68"/>
  <c r="D82" i="102"/>
  <c r="D74" i="102"/>
  <c r="D50" i="102"/>
  <c r="J186" i="66"/>
  <c r="J160" i="68"/>
  <c r="J92" i="68"/>
  <c r="Q54" i="68"/>
  <c r="Q160" i="68"/>
  <c r="J54" i="68"/>
  <c r="Q16" i="68"/>
  <c r="J16" i="68"/>
  <c r="K9" i="52"/>
  <c r="M79" i="52"/>
  <c r="M49" i="52"/>
  <c r="M133" i="52"/>
  <c r="K131" i="52"/>
  <c r="J134" i="52"/>
  <c r="J135" i="52" s="1"/>
  <c r="M135" i="52" s="1"/>
  <c r="J125" i="52"/>
  <c r="K47" i="52"/>
  <c r="M78" i="52"/>
  <c r="K132" i="52"/>
  <c r="R48" i="52"/>
  <c r="K65" i="52"/>
  <c r="K66" i="52"/>
  <c r="M40" i="52"/>
  <c r="M105" i="52"/>
  <c r="M102" i="52"/>
  <c r="M46" i="52"/>
  <c r="J41" i="52"/>
  <c r="M50" i="52"/>
  <c r="J52" i="52"/>
  <c r="J53" i="52" s="1"/>
  <c r="K100" i="52"/>
  <c r="K103" i="52"/>
  <c r="K48" i="52"/>
  <c r="Q52" i="52"/>
  <c r="R51" i="52" s="1"/>
  <c r="K45" i="52"/>
  <c r="M51" i="52"/>
  <c r="R45" i="52"/>
  <c r="Q108" i="52"/>
  <c r="Q109" i="52" s="1"/>
  <c r="Q110" i="52" s="1"/>
  <c r="Q111" i="52" s="1"/>
  <c r="K93" i="52"/>
  <c r="M95" i="52"/>
  <c r="J96" i="52"/>
  <c r="M96" i="52" s="1"/>
  <c r="M107" i="52"/>
  <c r="R44" i="52"/>
  <c r="K44" i="52"/>
  <c r="K94" i="52"/>
  <c r="K104" i="52"/>
  <c r="J108" i="52"/>
  <c r="M106" i="52"/>
  <c r="M23" i="52"/>
  <c r="M22" i="52"/>
  <c r="M21" i="52"/>
  <c r="M18" i="52"/>
  <c r="M11" i="52"/>
  <c r="R65" i="52"/>
  <c r="J68" i="52"/>
  <c r="M67" i="52"/>
  <c r="J24" i="52"/>
  <c r="Q24" i="52"/>
  <c r="Q25" i="52" s="1"/>
  <c r="J74" i="52"/>
  <c r="J77" i="52"/>
  <c r="K76" i="52" s="1"/>
  <c r="M138" i="68"/>
  <c r="M136" i="68"/>
  <c r="M137" i="68"/>
  <c r="M135" i="68"/>
  <c r="M101" i="66"/>
  <c r="M59" i="66"/>
  <c r="M128" i="68"/>
  <c r="M17" i="66"/>
  <c r="Q212" i="66"/>
  <c r="R211" i="66"/>
  <c r="M143" i="66"/>
  <c r="M26" i="68"/>
  <c r="M102" i="68"/>
  <c r="M64" i="68"/>
  <c r="M155" i="66"/>
  <c r="J12" i="52"/>
  <c r="Q170" i="68"/>
  <c r="K98" i="68"/>
  <c r="K96" i="68"/>
  <c r="K59" i="68"/>
  <c r="K58" i="68"/>
  <c r="M153" i="66"/>
  <c r="M65" i="68"/>
  <c r="M106" i="68"/>
  <c r="K62" i="68"/>
  <c r="M103" i="68"/>
  <c r="K97" i="68"/>
  <c r="M101" i="68"/>
  <c r="K100" i="68"/>
  <c r="K60" i="68"/>
  <c r="M27" i="68"/>
  <c r="M104" i="68"/>
  <c r="K102" i="68"/>
  <c r="M66" i="68"/>
  <c r="M28" i="68"/>
  <c r="M169" i="68"/>
  <c r="J170" i="68"/>
  <c r="M63" i="68"/>
  <c r="M68" i="68"/>
  <c r="M30" i="68"/>
  <c r="M25" i="68"/>
  <c r="K24" i="68"/>
  <c r="R193" i="66"/>
  <c r="R105" i="66"/>
  <c r="R108" i="66"/>
  <c r="R66" i="66"/>
  <c r="R191" i="66"/>
  <c r="R68" i="66"/>
  <c r="K23" i="66"/>
  <c r="K26" i="66"/>
  <c r="K25" i="66"/>
  <c r="K108" i="66"/>
  <c r="K194" i="66"/>
  <c r="K193" i="66"/>
  <c r="R106" i="66"/>
  <c r="K67" i="66"/>
  <c r="R110" i="66"/>
  <c r="R196" i="66"/>
  <c r="R192" i="66"/>
  <c r="K150" i="66"/>
  <c r="K147" i="66"/>
  <c r="K151" i="66"/>
  <c r="K148" i="66"/>
  <c r="K149" i="66"/>
  <c r="R64" i="66"/>
  <c r="K191" i="66"/>
  <c r="R63" i="66"/>
  <c r="K22" i="66"/>
  <c r="K24" i="66"/>
  <c r="R109" i="66"/>
  <c r="R190" i="66"/>
  <c r="R67" i="66"/>
  <c r="K68" i="66"/>
  <c r="K65" i="66"/>
  <c r="K110" i="66"/>
  <c r="K107" i="66"/>
  <c r="K106" i="66"/>
  <c r="R150" i="66"/>
  <c r="R151" i="66"/>
  <c r="R148" i="66"/>
  <c r="R147" i="66"/>
  <c r="R149" i="66"/>
  <c r="K109" i="66"/>
  <c r="K190" i="66"/>
  <c r="K63" i="66"/>
  <c r="K64" i="66"/>
  <c r="Q198" i="66"/>
  <c r="M27" i="66"/>
  <c r="K156" i="66"/>
  <c r="M159" i="66"/>
  <c r="M69" i="66"/>
  <c r="K114" i="66"/>
  <c r="K30" i="66"/>
  <c r="M197" i="66"/>
  <c r="J198" i="66"/>
  <c r="R156" i="66"/>
  <c r="M111" i="66"/>
  <c r="R114" i="66"/>
  <c r="M75" i="66"/>
  <c r="M33" i="66"/>
  <c r="K72" i="66"/>
  <c r="M117" i="66"/>
  <c r="R72" i="66"/>
  <c r="M113" i="66"/>
  <c r="M70" i="66"/>
  <c r="M157" i="66"/>
  <c r="M158" i="66"/>
  <c r="M32" i="66"/>
  <c r="M112" i="66"/>
  <c r="M29" i="66"/>
  <c r="M116" i="66"/>
  <c r="M71" i="66"/>
  <c r="M74" i="66"/>
  <c r="M73" i="66"/>
  <c r="M28" i="66"/>
  <c r="M115" i="66"/>
  <c r="M31" i="66"/>
  <c r="M154" i="66"/>
  <c r="M15" i="66"/>
  <c r="I35" i="114" a="1"/>
  <c r="K63" i="83" a="1"/>
  <c r="N35" i="113" a="1"/>
  <c r="AF34" i="108" a="1"/>
  <c r="N35" i="114" a="1"/>
  <c r="K50" i="102" a="1"/>
  <c r="K79" i="83" a="1"/>
  <c r="L34" i="112" a="1"/>
  <c r="K66" i="102" a="1"/>
  <c r="I35" i="108" a="1"/>
  <c r="I34" i="114" a="1"/>
  <c r="K71" i="83" a="1"/>
  <c r="I35" i="111" a="1"/>
  <c r="K82" i="102" a="1"/>
  <c r="K47" i="83" a="1"/>
  <c r="L34" i="111" a="1"/>
  <c r="D66" i="102" a="1"/>
  <c r="K74" i="102" a="1"/>
  <c r="I34" i="108" a="1"/>
  <c r="I35" i="112" a="1"/>
  <c r="I35" i="113" a="1"/>
  <c r="K58" i="102" a="1"/>
  <c r="N35" i="108" a="1"/>
  <c r="AF34" i="114" a="1"/>
  <c r="N35" i="112" a="1"/>
  <c r="K55" i="83" a="1"/>
  <c r="D58" i="102" a="1"/>
  <c r="N35" i="111" a="1"/>
  <c r="L34" i="113" a="1"/>
  <c r="U37" i="112" l="1"/>
  <c r="V37" i="111"/>
  <c r="AF34" i="114"/>
  <c r="AF38" i="114" s="1"/>
  <c r="I34" i="114"/>
  <c r="J34" i="114" s="1"/>
  <c r="V37" i="112"/>
  <c r="U37" i="114"/>
  <c r="V37" i="113"/>
  <c r="M37" i="111"/>
  <c r="L37" i="114"/>
  <c r="L37" i="113"/>
  <c r="M37" i="114"/>
  <c r="I35" i="114"/>
  <c r="J35" i="114" s="1"/>
  <c r="N35" i="114"/>
  <c r="L37" i="112"/>
  <c r="L34" i="113"/>
  <c r="M34" i="113" s="1"/>
  <c r="I35" i="113"/>
  <c r="J35" i="113" s="1"/>
  <c r="N35" i="113"/>
  <c r="M37" i="112"/>
  <c r="AF38" i="113"/>
  <c r="M37" i="113"/>
  <c r="L37" i="111"/>
  <c r="L34" i="112"/>
  <c r="M34" i="112" s="1"/>
  <c r="I35" i="112"/>
  <c r="J35" i="112" s="1"/>
  <c r="N35" i="112"/>
  <c r="N35" i="111"/>
  <c r="I35" i="111"/>
  <c r="J35" i="111" s="1"/>
  <c r="L34" i="111"/>
  <c r="M34" i="111" s="1"/>
  <c r="AF38" i="111"/>
  <c r="K58" i="102"/>
  <c r="K50" i="102"/>
  <c r="I50" i="102" s="1"/>
  <c r="L37" i="108"/>
  <c r="M37" i="108"/>
  <c r="N35" i="108"/>
  <c r="I34" i="108"/>
  <c r="I35" i="108"/>
  <c r="J35" i="108" s="1"/>
  <c r="AF34" i="108"/>
  <c r="U37" i="108"/>
  <c r="V37" i="108"/>
  <c r="M125" i="52"/>
  <c r="K82" i="102"/>
  <c r="L82" i="102" s="1"/>
  <c r="D66" i="102"/>
  <c r="K74" i="102"/>
  <c r="I74" i="102" s="1"/>
  <c r="K66" i="102"/>
  <c r="D58" i="102"/>
  <c r="M41" i="52"/>
  <c r="M92" i="68"/>
  <c r="M54" i="68"/>
  <c r="M160" i="68"/>
  <c r="M186" i="66"/>
  <c r="J199" i="66"/>
  <c r="J200" i="66" s="1"/>
  <c r="Q199" i="66"/>
  <c r="Q200" i="66" s="1"/>
  <c r="J171" i="68"/>
  <c r="J172" i="68" s="1"/>
  <c r="Q171" i="68"/>
  <c r="Q172" i="68" s="1"/>
  <c r="M16" i="68"/>
  <c r="M134" i="52"/>
  <c r="M108" i="52"/>
  <c r="J136" i="52"/>
  <c r="K75" i="52"/>
  <c r="K73" i="52"/>
  <c r="K72" i="52"/>
  <c r="K107" i="52"/>
  <c r="M52" i="52"/>
  <c r="J54" i="52"/>
  <c r="J55" i="52" s="1"/>
  <c r="Q53" i="52"/>
  <c r="M53" i="52" s="1"/>
  <c r="J109" i="52"/>
  <c r="K106" i="52"/>
  <c r="J97" i="52"/>
  <c r="K51" i="52"/>
  <c r="R50" i="52"/>
  <c r="K50" i="52"/>
  <c r="M24" i="52"/>
  <c r="J25" i="52"/>
  <c r="M25" i="52" s="1"/>
  <c r="K22" i="52"/>
  <c r="K23" i="52"/>
  <c r="J13" i="52"/>
  <c r="M68" i="52"/>
  <c r="J69" i="52"/>
  <c r="K55" i="83"/>
  <c r="K47" i="83"/>
  <c r="K71" i="83"/>
  <c r="K79" i="83"/>
  <c r="K63" i="83"/>
  <c r="J80" i="52"/>
  <c r="K79" i="52" s="1"/>
  <c r="J35" i="66"/>
  <c r="J36" i="66" s="1"/>
  <c r="J37" i="66" s="1"/>
  <c r="R212" i="66"/>
  <c r="J140" i="68"/>
  <c r="J141" i="68" s="1"/>
  <c r="J142" i="68" s="1"/>
  <c r="M139" i="68"/>
  <c r="M170" i="68"/>
  <c r="K68" i="68"/>
  <c r="K64" i="68"/>
  <c r="J70" i="68"/>
  <c r="Q32" i="68"/>
  <c r="Q108" i="68"/>
  <c r="K30" i="68"/>
  <c r="K66" i="68"/>
  <c r="M107" i="68"/>
  <c r="Q70" i="68"/>
  <c r="M69" i="68"/>
  <c r="Q140" i="68"/>
  <c r="Q141" i="68" s="1"/>
  <c r="Q142" i="68" s="1"/>
  <c r="M31" i="68"/>
  <c r="J33" i="68"/>
  <c r="J34" i="68" s="1"/>
  <c r="K104" i="68"/>
  <c r="R106" i="68"/>
  <c r="J108" i="68"/>
  <c r="K65" i="68"/>
  <c r="K103" i="68"/>
  <c r="K106" i="68"/>
  <c r="K113" i="66"/>
  <c r="K154" i="66"/>
  <c r="K115" i="66"/>
  <c r="R116" i="66"/>
  <c r="K159" i="66"/>
  <c r="R117" i="66"/>
  <c r="R115" i="66"/>
  <c r="K116" i="66"/>
  <c r="R155" i="66"/>
  <c r="R158" i="66"/>
  <c r="R74" i="66"/>
  <c r="K29" i="66"/>
  <c r="Q77" i="66"/>
  <c r="Q78" i="66" s="1"/>
  <c r="Q79" i="66" s="1"/>
  <c r="R159" i="66"/>
  <c r="K75" i="66"/>
  <c r="K157" i="66"/>
  <c r="K71" i="66"/>
  <c r="K73" i="66"/>
  <c r="K158" i="66"/>
  <c r="K28" i="66"/>
  <c r="K155" i="66"/>
  <c r="R70" i="66"/>
  <c r="K31" i="66"/>
  <c r="R154" i="66"/>
  <c r="Q35" i="66"/>
  <c r="Q36" i="66" s="1"/>
  <c r="Q37" i="66" s="1"/>
  <c r="K112" i="66"/>
  <c r="R75" i="66"/>
  <c r="R157" i="66"/>
  <c r="K117" i="66"/>
  <c r="K70" i="66"/>
  <c r="R113" i="66"/>
  <c r="R112" i="66"/>
  <c r="K33" i="66"/>
  <c r="K74" i="66"/>
  <c r="R71" i="66"/>
  <c r="K32" i="66"/>
  <c r="R73" i="66"/>
  <c r="J161" i="66"/>
  <c r="M198" i="66"/>
  <c r="Q119" i="66"/>
  <c r="Q120" i="66" s="1"/>
  <c r="Q121" i="66" s="1"/>
  <c r="Q161" i="66"/>
  <c r="Q162" i="66" s="1"/>
  <c r="Q163" i="66" s="1"/>
  <c r="M34" i="66"/>
  <c r="M160" i="66"/>
  <c r="M76" i="66"/>
  <c r="J77" i="66"/>
  <c r="M118" i="66"/>
  <c r="J119" i="66"/>
  <c r="J120" i="66" s="1"/>
  <c r="J121" i="66" s="1"/>
  <c r="K20" i="52"/>
  <c r="K19" i="52"/>
  <c r="Q13" i="57" a="1"/>
  <c r="Q17" i="57" a="1"/>
  <c r="L34" i="114" a="1"/>
  <c r="L35" i="108" a="1"/>
  <c r="L34" i="108" a="1"/>
  <c r="W34" i="108" a="1"/>
  <c r="W34" i="111" a="1"/>
  <c r="L35" i="113" a="1"/>
  <c r="R34" i="112" a="1"/>
  <c r="D71" i="83" a="1"/>
  <c r="I33" i="113" a="1"/>
  <c r="L35" i="114" a="1"/>
  <c r="R35" i="108" a="1"/>
  <c r="W34" i="114" a="1"/>
  <c r="I33" i="114" a="1"/>
  <c r="D48" i="83" a="1"/>
  <c r="Q16" i="57" a="1"/>
  <c r="K48" i="83" a="1"/>
  <c r="Q15" i="57" a="1"/>
  <c r="Q18" i="57" a="1"/>
  <c r="D56" i="83" a="1"/>
  <c r="Q11" i="57" a="1"/>
  <c r="K64" i="83" a="1"/>
  <c r="D55" i="83" a="1"/>
  <c r="L35" i="112" a="1"/>
  <c r="D63" i="83" a="1"/>
  <c r="I33" i="111" a="1"/>
  <c r="W34" i="112" a="1"/>
  <c r="R34" i="108" a="1"/>
  <c r="R35" i="114" a="1"/>
  <c r="Q9" i="57" a="1"/>
  <c r="R34" i="114" a="1"/>
  <c r="I33" i="108" a="1"/>
  <c r="Q12" i="57" a="1"/>
  <c r="D47" i="83" a="1"/>
  <c r="L35" i="111" a="1"/>
  <c r="I33" i="112" a="1"/>
  <c r="W34" i="113" a="1"/>
  <c r="D64" i="83" a="1"/>
  <c r="Q19" i="57" a="1"/>
  <c r="Q10" i="57" a="1"/>
  <c r="K80" i="83" a="1"/>
  <c r="K72" i="83" a="1"/>
  <c r="R35" i="113" a="1"/>
  <c r="K56" i="83" a="1"/>
  <c r="D80" i="83" a="1"/>
  <c r="D79" i="83" a="1"/>
  <c r="D72" i="83" a="1"/>
  <c r="L34" i="114" l="1"/>
  <c r="M34" i="114" s="1"/>
  <c r="Q19" i="57"/>
  <c r="I33" i="114"/>
  <c r="W34" i="114"/>
  <c r="R35" i="114"/>
  <c r="S35" i="114" s="1"/>
  <c r="R34" i="114"/>
  <c r="S34" i="114" s="1"/>
  <c r="L35" i="114"/>
  <c r="M35" i="114" s="1"/>
  <c r="Z39" i="114"/>
  <c r="AG38" i="114" s="1"/>
  <c r="R35" i="113"/>
  <c r="S35" i="113" s="1"/>
  <c r="W34" i="113"/>
  <c r="L35" i="113"/>
  <c r="M35" i="113" s="1"/>
  <c r="I33" i="113"/>
  <c r="Z39" i="113"/>
  <c r="AG38" i="113" s="1"/>
  <c r="I33" i="112"/>
  <c r="W34" i="112"/>
  <c r="R34" i="112"/>
  <c r="S34" i="112" s="1"/>
  <c r="L35" i="112"/>
  <c r="M35" i="112" s="1"/>
  <c r="I33" i="111"/>
  <c r="W34" i="111"/>
  <c r="L35" i="111"/>
  <c r="M35" i="111" s="1"/>
  <c r="Z39" i="111"/>
  <c r="AG38" i="111" s="1"/>
  <c r="D72" i="83"/>
  <c r="Q12" i="57"/>
  <c r="K72" i="83"/>
  <c r="D71" i="83"/>
  <c r="L71" i="83" s="1"/>
  <c r="L50" i="102"/>
  <c r="K64" i="83"/>
  <c r="D63" i="83"/>
  <c r="L63" i="83" s="1"/>
  <c r="I58" i="102"/>
  <c r="D55" i="83"/>
  <c r="F55" i="83" s="1"/>
  <c r="I33" i="108"/>
  <c r="I36" i="108" s="1"/>
  <c r="Q10" i="57"/>
  <c r="D47" i="83"/>
  <c r="F47" i="83" s="1"/>
  <c r="Q15" i="57"/>
  <c r="Q9" i="57"/>
  <c r="J34" i="108"/>
  <c r="W34" i="108"/>
  <c r="R34" i="108"/>
  <c r="S34" i="108" s="1"/>
  <c r="L34" i="108"/>
  <c r="L35" i="108"/>
  <c r="M35" i="108" s="1"/>
  <c r="R35" i="108"/>
  <c r="S35" i="108" s="1"/>
  <c r="AF38" i="108"/>
  <c r="M136" i="52"/>
  <c r="M97" i="52"/>
  <c r="Q18" i="57"/>
  <c r="Q16" i="57"/>
  <c r="I82" i="102"/>
  <c r="Q13" i="57"/>
  <c r="L66" i="102"/>
  <c r="Q17" i="57"/>
  <c r="I66" i="102"/>
  <c r="L58" i="102"/>
  <c r="L74" i="102"/>
  <c r="Q11" i="57"/>
  <c r="M172" i="68"/>
  <c r="M200" i="66"/>
  <c r="D79" i="83"/>
  <c r="L79" i="83" s="1"/>
  <c r="K56" i="83"/>
  <c r="K80" i="83"/>
  <c r="D64" i="83"/>
  <c r="D80" i="83"/>
  <c r="D56" i="83"/>
  <c r="J109" i="68"/>
  <c r="J110" i="68" s="1"/>
  <c r="Q71" i="68"/>
  <c r="Q72" i="68" s="1"/>
  <c r="Q109" i="68"/>
  <c r="Q110" i="68" s="1"/>
  <c r="K48" i="83"/>
  <c r="D48" i="83"/>
  <c r="K78" i="52"/>
  <c r="M109" i="52"/>
  <c r="J110" i="52"/>
  <c r="M110" i="52" s="1"/>
  <c r="Q54" i="52"/>
  <c r="M54" i="52" s="1"/>
  <c r="J81" i="52"/>
  <c r="J82" i="52" s="1"/>
  <c r="J83" i="52" s="1"/>
  <c r="M121" i="66"/>
  <c r="M142" i="68"/>
  <c r="M140" i="68"/>
  <c r="M37" i="66"/>
  <c r="Q33" i="68"/>
  <c r="Q34" i="68" s="1"/>
  <c r="J78" i="66"/>
  <c r="J79" i="66" s="1"/>
  <c r="J162" i="66"/>
  <c r="J163" i="66" s="1"/>
  <c r="J71" i="68"/>
  <c r="J72" i="68" s="1"/>
  <c r="M70" i="68"/>
  <c r="M32" i="68"/>
  <c r="M108" i="68"/>
  <c r="M77" i="66"/>
  <c r="M35" i="66"/>
  <c r="M119" i="66"/>
  <c r="M161" i="66"/>
  <c r="R35" i="111" a="1"/>
  <c r="Y11" i="57" a="1"/>
  <c r="D47" i="102" a="1"/>
  <c r="K55" i="102" a="1"/>
  <c r="R35" i="112" a="1"/>
  <c r="Y13" i="57" a="1"/>
  <c r="R34" i="111" a="1"/>
  <c r="U34" i="114" a="1"/>
  <c r="N12" i="57" a="1"/>
  <c r="D46" i="83" a="1"/>
  <c r="U34" i="108" a="1"/>
  <c r="W35" i="113" a="1"/>
  <c r="X12" i="57" a="1"/>
  <c r="N13" i="57" a="1"/>
  <c r="N10" i="57" a="1"/>
  <c r="U34" i="112" a="1"/>
  <c r="W35" i="108" a="1"/>
  <c r="W35" i="112" a="1"/>
  <c r="X11" i="57" a="1"/>
  <c r="N11" i="57" a="1"/>
  <c r="N9" i="57" a="1"/>
  <c r="Y12" i="57" a="1"/>
  <c r="O13" i="57" a="1"/>
  <c r="K63" i="102" a="1"/>
  <c r="O9" i="57" a="1"/>
  <c r="Y10" i="57" a="1"/>
  <c r="R34" i="113" a="1"/>
  <c r="X10" i="57" a="1"/>
  <c r="O12" i="57" a="1"/>
  <c r="K71" i="102" a="1"/>
  <c r="K47" i="102" a="1"/>
  <c r="K79" i="102" a="1"/>
  <c r="Y9" i="57" a="1"/>
  <c r="O10" i="57" a="1"/>
  <c r="X9" i="57" a="1"/>
  <c r="D80" i="102" a="1"/>
  <c r="W35" i="111" a="1"/>
  <c r="W35" i="114" a="1"/>
  <c r="X13" i="57" a="1"/>
  <c r="D62" i="83" a="1"/>
  <c r="O11" i="57" a="1"/>
  <c r="R34" i="111" l="1"/>
  <c r="S34" i="111" s="1"/>
  <c r="R35" i="111"/>
  <c r="S35" i="111" s="1"/>
  <c r="R34" i="113"/>
  <c r="S34" i="113" s="1"/>
  <c r="R35" i="112"/>
  <c r="S35" i="112" s="1"/>
  <c r="W35" i="114"/>
  <c r="U34" i="114"/>
  <c r="V34" i="114" s="1"/>
  <c r="E9" i="114"/>
  <c r="AG36" i="114"/>
  <c r="AG37" i="114"/>
  <c r="AG34" i="114"/>
  <c r="AG35" i="114"/>
  <c r="AG33" i="114"/>
  <c r="J33" i="114"/>
  <c r="I36" i="114"/>
  <c r="W35" i="113"/>
  <c r="AG36" i="113"/>
  <c r="E9" i="113"/>
  <c r="AG35" i="113"/>
  <c r="AG33" i="113"/>
  <c r="AG37" i="113"/>
  <c r="AG34" i="113"/>
  <c r="J33" i="113"/>
  <c r="I36" i="113"/>
  <c r="U34" i="112"/>
  <c r="V34" i="112" s="1"/>
  <c r="W35" i="112"/>
  <c r="J33" i="112"/>
  <c r="I36" i="112"/>
  <c r="W35" i="111"/>
  <c r="AG36" i="111"/>
  <c r="E9" i="111"/>
  <c r="AG37" i="111"/>
  <c r="AG34" i="111"/>
  <c r="AG35" i="111"/>
  <c r="AG33" i="111"/>
  <c r="J33" i="111"/>
  <c r="I36" i="111"/>
  <c r="F63" i="83"/>
  <c r="F71" i="83"/>
  <c r="G72" i="83"/>
  <c r="L47" i="83"/>
  <c r="L55" i="83"/>
  <c r="L72" i="83"/>
  <c r="Y12" i="57"/>
  <c r="N12" i="57"/>
  <c r="O12" i="57"/>
  <c r="X12" i="57"/>
  <c r="J33" i="108"/>
  <c r="L64" i="83"/>
  <c r="N11" i="57"/>
  <c r="X11" i="57"/>
  <c r="M34" i="108"/>
  <c r="X10" i="57"/>
  <c r="W35" i="108"/>
  <c r="N10" i="57"/>
  <c r="X9" i="57"/>
  <c r="N9" i="57"/>
  <c r="U34" i="108"/>
  <c r="V34" i="108" s="1"/>
  <c r="L36" i="108"/>
  <c r="J36" i="108"/>
  <c r="Z39" i="108"/>
  <c r="AG38" i="108" s="1"/>
  <c r="D46" i="83"/>
  <c r="K47" i="102"/>
  <c r="K71" i="102"/>
  <c r="D80" i="102"/>
  <c r="K55" i="102"/>
  <c r="K79" i="102"/>
  <c r="D47" i="102"/>
  <c r="K63" i="102"/>
  <c r="X13" i="57"/>
  <c r="Y9" i="57"/>
  <c r="Y10" i="57"/>
  <c r="Y11" i="57"/>
  <c r="O11" i="57"/>
  <c r="Y13" i="57"/>
  <c r="O9" i="57"/>
  <c r="G64" i="83"/>
  <c r="F79" i="83"/>
  <c r="M110" i="68"/>
  <c r="G56" i="83"/>
  <c r="O10" i="57"/>
  <c r="O13" i="57"/>
  <c r="G80" i="83"/>
  <c r="N13" i="57"/>
  <c r="L56" i="83"/>
  <c r="L80" i="83"/>
  <c r="L48" i="83"/>
  <c r="G48" i="83"/>
  <c r="J111" i="52"/>
  <c r="Q55" i="52"/>
  <c r="D62" i="83"/>
  <c r="M34" i="68"/>
  <c r="M163" i="66"/>
  <c r="M72" i="68"/>
  <c r="M79" i="66"/>
  <c r="J26" i="52"/>
  <c r="N15" i="57" a="1"/>
  <c r="D50" i="83" a="1"/>
  <c r="U35" i="108" a="1"/>
  <c r="U35" i="113" a="1"/>
  <c r="U35" i="114" a="1"/>
  <c r="D49" i="83" a="1"/>
  <c r="D55" i="102" a="1"/>
  <c r="D54" i="83" a="1"/>
  <c r="D63" i="102" a="1"/>
  <c r="K48" i="102" a="1"/>
  <c r="D64" i="102" a="1"/>
  <c r="K64" i="102" a="1"/>
  <c r="D72" i="102" a="1"/>
  <c r="D66" i="83" a="1"/>
  <c r="Y19" i="57" a="1"/>
  <c r="K56" i="102" a="1"/>
  <c r="U35" i="112" a="1"/>
  <c r="U34" i="113" a="1"/>
  <c r="D79" i="102" a="1"/>
  <c r="X15" i="57" a="1"/>
  <c r="W11" i="57" a="1"/>
  <c r="P9" i="57" a="1"/>
  <c r="K80" i="102" a="1"/>
  <c r="D65" i="83" a="1"/>
  <c r="D70" i="83" a="1"/>
  <c r="W9" i="57" a="1"/>
  <c r="U35" i="111" a="1"/>
  <c r="D56" i="102" a="1"/>
  <c r="D71" i="102" a="1"/>
  <c r="K72" i="102" a="1"/>
  <c r="D48" i="102" a="1"/>
  <c r="D78" i="83" a="1"/>
  <c r="D57" i="83" a="1"/>
  <c r="U34" i="111" a="1"/>
  <c r="U34" i="111" l="1"/>
  <c r="V34" i="111" s="1"/>
  <c r="U34" i="113"/>
  <c r="V34" i="113" s="1"/>
  <c r="K80" i="102"/>
  <c r="L80" i="102" s="1"/>
  <c r="K72" i="102"/>
  <c r="D57" i="83"/>
  <c r="L57" i="83" s="1"/>
  <c r="U35" i="114"/>
  <c r="J36" i="114"/>
  <c r="L36" i="114"/>
  <c r="U35" i="113"/>
  <c r="V35" i="113" s="1"/>
  <c r="J36" i="113"/>
  <c r="L36" i="113"/>
  <c r="U35" i="112"/>
  <c r="V35" i="112" s="1"/>
  <c r="L36" i="112"/>
  <c r="J36" i="112"/>
  <c r="U35" i="111"/>
  <c r="V35" i="111" s="1"/>
  <c r="L36" i="111"/>
  <c r="J36" i="111"/>
  <c r="D63" i="102"/>
  <c r="L63" i="102" s="1"/>
  <c r="M111" i="52"/>
  <c r="U35" i="108"/>
  <c r="V35" i="108" s="1"/>
  <c r="M36" i="108"/>
  <c r="E9" i="108"/>
  <c r="AG36" i="108"/>
  <c r="AG33" i="108"/>
  <c r="AG37" i="108"/>
  <c r="AG35" i="108"/>
  <c r="AG34" i="108"/>
  <c r="P9" i="57"/>
  <c r="D64" i="102"/>
  <c r="D48" i="102"/>
  <c r="D55" i="102"/>
  <c r="D71" i="102"/>
  <c r="F71" i="102" s="1"/>
  <c r="D72" i="102"/>
  <c r="K56" i="102"/>
  <c r="K64" i="102"/>
  <c r="D79" i="102"/>
  <c r="D56" i="102"/>
  <c r="K48" i="102"/>
  <c r="L47" i="102"/>
  <c r="F47" i="102"/>
  <c r="D65" i="83"/>
  <c r="D49" i="83"/>
  <c r="L49" i="83" s="1"/>
  <c r="M55" i="52"/>
  <c r="W9" i="57"/>
  <c r="W11" i="57"/>
  <c r="J27" i="52"/>
  <c r="D50" i="83"/>
  <c r="D66" i="83"/>
  <c r="Y19" i="57"/>
  <c r="X15" i="57"/>
  <c r="N15" i="57"/>
  <c r="D78" i="83"/>
  <c r="D54" i="83"/>
  <c r="D70" i="83"/>
  <c r="Y18" i="57" a="1"/>
  <c r="P11" i="57" a="1"/>
  <c r="Z9" i="57" a="1"/>
  <c r="O17" i="57" a="1"/>
  <c r="W10" i="57" a="1"/>
  <c r="X16" i="57" a="1"/>
  <c r="Y15" i="57" a="1"/>
  <c r="D81" i="83" a="1"/>
  <c r="D74" i="83" a="1"/>
  <c r="R33" i="114" a="1"/>
  <c r="N17" i="57" a="1"/>
  <c r="X18" i="57" a="1"/>
  <c r="N19" i="57" a="1"/>
  <c r="P10" i="57" a="1"/>
  <c r="O15" i="57" a="1"/>
  <c r="Y17" i="57" a="1"/>
  <c r="X19" i="57" a="1"/>
  <c r="W13" i="57" a="1"/>
  <c r="W12" i="57" a="1"/>
  <c r="D58" i="83" a="1"/>
  <c r="X17" i="57" a="1"/>
  <c r="R33" i="108" a="1"/>
  <c r="N18" i="57" a="1"/>
  <c r="O18" i="57" a="1"/>
  <c r="Y16" i="57" a="1"/>
  <c r="P12" i="57" a="1"/>
  <c r="O19" i="57" a="1"/>
  <c r="Z11" i="57" a="1"/>
  <c r="D82" i="83" a="1"/>
  <c r="N16" i="57" a="1"/>
  <c r="R33" i="111" a="1"/>
  <c r="R33" i="112" a="1"/>
  <c r="O16" i="57" a="1"/>
  <c r="R33" i="113" a="1"/>
  <c r="D73" i="83" a="1"/>
  <c r="L72" i="102" l="1"/>
  <c r="G80" i="102"/>
  <c r="O19" i="57"/>
  <c r="V35" i="114"/>
  <c r="P10" i="57"/>
  <c r="H57" i="83"/>
  <c r="M36" i="114"/>
  <c r="R33" i="114"/>
  <c r="R33" i="113"/>
  <c r="M36" i="113"/>
  <c r="M36" i="112"/>
  <c r="R33" i="112"/>
  <c r="R33" i="111"/>
  <c r="M36" i="111"/>
  <c r="F63" i="102"/>
  <c r="X17" i="57"/>
  <c r="P11" i="57"/>
  <c r="N17" i="57"/>
  <c r="R33" i="108"/>
  <c r="S33" i="108" s="1"/>
  <c r="P12" i="57"/>
  <c r="D52" i="83"/>
  <c r="G72" i="102"/>
  <c r="G64" i="102"/>
  <c r="L71" i="102"/>
  <c r="G48" i="102"/>
  <c r="L48" i="102"/>
  <c r="L55" i="102"/>
  <c r="F55" i="102"/>
  <c r="L64" i="102"/>
  <c r="L79" i="102"/>
  <c r="F79" i="102"/>
  <c r="L56" i="102"/>
  <c r="G56" i="102"/>
  <c r="D68" i="83"/>
  <c r="D73" i="83"/>
  <c r="L73" i="83" s="1"/>
  <c r="D81" i="83"/>
  <c r="H81" i="83" s="1"/>
  <c r="L65" i="83"/>
  <c r="H65" i="83"/>
  <c r="H49" i="83"/>
  <c r="Y15" i="57"/>
  <c r="Y17" i="57"/>
  <c r="Z11" i="57"/>
  <c r="Z9" i="57"/>
  <c r="W13" i="57"/>
  <c r="X18" i="57"/>
  <c r="X19" i="57"/>
  <c r="W12" i="57"/>
  <c r="X16" i="57"/>
  <c r="Y18" i="57"/>
  <c r="Y16" i="57"/>
  <c r="W10" i="57"/>
  <c r="O15" i="57"/>
  <c r="N16" i="57"/>
  <c r="O17" i="57"/>
  <c r="N18" i="57"/>
  <c r="N19" i="57"/>
  <c r="O16" i="57"/>
  <c r="O18" i="57"/>
  <c r="D82" i="83"/>
  <c r="D74" i="83"/>
  <c r="D58" i="83"/>
  <c r="D60" i="83" s="1"/>
  <c r="D46" i="102" a="1"/>
  <c r="D62" i="102" a="1"/>
  <c r="D54" i="102" a="1"/>
  <c r="D78" i="102" a="1"/>
  <c r="Z12" i="57" a="1"/>
  <c r="Z10" i="57" a="1"/>
  <c r="D70" i="102" a="1"/>
  <c r="Z13" i="57" a="1"/>
  <c r="P13" i="57" a="1"/>
  <c r="D78" i="102" l="1"/>
  <c r="D70" i="102"/>
  <c r="D62" i="102"/>
  <c r="D54" i="102"/>
  <c r="S33" i="114"/>
  <c r="R36" i="114"/>
  <c r="S33" i="113"/>
  <c r="R36" i="113"/>
  <c r="S33" i="112"/>
  <c r="R36" i="112"/>
  <c r="S33" i="111"/>
  <c r="R36" i="111"/>
  <c r="R36" i="108"/>
  <c r="U36" i="108" s="1"/>
  <c r="P13" i="57"/>
  <c r="D46" i="102"/>
  <c r="L81" i="83"/>
  <c r="D84" i="83"/>
  <c r="D76" i="83"/>
  <c r="H73" i="83"/>
  <c r="Z13" i="57"/>
  <c r="Z12" i="57"/>
  <c r="Z10" i="57"/>
  <c r="M20" i="66"/>
  <c r="P15" i="57" a="1"/>
  <c r="D49" i="102" a="1"/>
  <c r="D65" i="102" a="1"/>
  <c r="W19" i="57" a="1"/>
  <c r="W15" i="57" a="1"/>
  <c r="W17" i="57" a="1"/>
  <c r="D73" i="102" a="1"/>
  <c r="W16" i="57" a="1"/>
  <c r="D81" i="102" a="1"/>
  <c r="W18" i="57" a="1"/>
  <c r="D57" i="102" a="1"/>
  <c r="W19" i="57" l="1"/>
  <c r="D81" i="102"/>
  <c r="W18" i="57"/>
  <c r="D73" i="102"/>
  <c r="D76" i="102" s="1"/>
  <c r="D65" i="102"/>
  <c r="D68" i="102" s="1"/>
  <c r="W17" i="57"/>
  <c r="D57" i="102"/>
  <c r="U36" i="114"/>
  <c r="S36" i="114"/>
  <c r="U36" i="113"/>
  <c r="S36" i="113"/>
  <c r="U36" i="112"/>
  <c r="S36" i="112"/>
  <c r="U36" i="111"/>
  <c r="S36" i="111"/>
  <c r="S36" i="108"/>
  <c r="P15" i="57"/>
  <c r="D49" i="102"/>
  <c r="D52" i="102" s="1"/>
  <c r="W16" i="57"/>
  <c r="W15" i="57"/>
  <c r="Z16" i="57" a="1"/>
  <c r="P17" i="57" a="1"/>
  <c r="Z19" i="57" a="1"/>
  <c r="P18" i="57" a="1"/>
  <c r="P16" i="57" a="1"/>
  <c r="Z15" i="57" a="1"/>
  <c r="Z17" i="57" a="1"/>
  <c r="Z18" i="57" a="1"/>
  <c r="P19" i="57" a="1"/>
  <c r="H73" i="102" l="1"/>
  <c r="L73" i="102"/>
  <c r="H65" i="102"/>
  <c r="L65" i="102"/>
  <c r="Z19" i="57"/>
  <c r="P19" i="57"/>
  <c r="D84" i="102"/>
  <c r="H81" i="102"/>
  <c r="L81" i="102"/>
  <c r="P18" i="57"/>
  <c r="Z18" i="57"/>
  <c r="P17" i="57"/>
  <c r="Z17" i="57"/>
  <c r="V36" i="114"/>
  <c r="P16" i="57"/>
  <c r="D60" i="102"/>
  <c r="H57" i="102"/>
  <c r="L57" i="102"/>
  <c r="V36" i="112"/>
  <c r="V36" i="113"/>
  <c r="V36" i="111"/>
  <c r="V36" i="108"/>
  <c r="H49" i="102"/>
  <c r="L49" i="102"/>
  <c r="Z15" i="57"/>
  <c r="Z16" i="57"/>
  <c r="H14" i="57" a="1"/>
  <c r="H14" i="57" l="1"/>
  <c r="K58" i="83" a="1"/>
  <c r="K58" i="83" l="1"/>
  <c r="L58" i="83" l="1"/>
  <c r="I58" i="83"/>
  <c r="Q12" i="52"/>
  <c r="M12" i="52" s="1"/>
  <c r="Q13" i="52" l="1"/>
  <c r="N33" i="114" a="1"/>
  <c r="N33" i="111" a="1"/>
  <c r="N33" i="108" a="1"/>
  <c r="N33" i="113" a="1"/>
  <c r="N33" i="114" l="1"/>
  <c r="N33" i="113"/>
  <c r="N33" i="111"/>
  <c r="N33" i="108"/>
  <c r="N38" i="108" s="1"/>
  <c r="M13" i="52"/>
  <c r="R16" i="52"/>
  <c r="R17" i="52"/>
  <c r="R22" i="52"/>
  <c r="R23" i="52"/>
  <c r="R10" i="52"/>
  <c r="Q74" i="52"/>
  <c r="M74" i="52" s="1"/>
  <c r="Q77" i="52"/>
  <c r="M77" i="52" s="1"/>
  <c r="Q80" i="52"/>
  <c r="M80" i="52" s="1"/>
  <c r="L33" i="108" a="1"/>
  <c r="L33" i="113" a="1"/>
  <c r="K54" i="83" a="1"/>
  <c r="L33" i="114" a="1"/>
  <c r="L33" i="111" a="1"/>
  <c r="K54" i="83" l="1"/>
  <c r="L33" i="114"/>
  <c r="M33" i="114" s="1"/>
  <c r="N38" i="114"/>
  <c r="H39" i="114" s="1"/>
  <c r="L33" i="113"/>
  <c r="M33" i="113" s="1"/>
  <c r="N38" i="113"/>
  <c r="L33" i="111"/>
  <c r="N38" i="111"/>
  <c r="L33" i="108"/>
  <c r="M33" i="108" s="1"/>
  <c r="H39" i="108"/>
  <c r="O33" i="108" s="1"/>
  <c r="L38" i="108"/>
  <c r="M38" i="108"/>
  <c r="Q81" i="52"/>
  <c r="M81" i="52" s="1"/>
  <c r="M10" i="57" a="1"/>
  <c r="K59" i="83" a="1"/>
  <c r="K59" i="83" l="1"/>
  <c r="M10" i="57"/>
  <c r="L54" i="83"/>
  <c r="E54" i="83"/>
  <c r="M33" i="111"/>
  <c r="C9" i="114"/>
  <c r="L39" i="114"/>
  <c r="O36" i="114"/>
  <c r="O37" i="114"/>
  <c r="O34" i="114"/>
  <c r="O35" i="114"/>
  <c r="O33" i="114"/>
  <c r="L38" i="114"/>
  <c r="O38" i="114"/>
  <c r="M38" i="114"/>
  <c r="L38" i="113"/>
  <c r="M38" i="113"/>
  <c r="H39" i="113"/>
  <c r="L38" i="111"/>
  <c r="M38" i="111"/>
  <c r="H39" i="111"/>
  <c r="O38" i="108"/>
  <c r="C9" i="108"/>
  <c r="O37" i="108"/>
  <c r="O34" i="108"/>
  <c r="O35" i="108"/>
  <c r="L39" i="108"/>
  <c r="O36" i="108"/>
  <c r="Q82" i="52"/>
  <c r="M82" i="52" s="1"/>
  <c r="R10" i="57" a="1"/>
  <c r="R10" i="57" l="1"/>
  <c r="J59" i="83"/>
  <c r="L59" i="83"/>
  <c r="K60" i="83"/>
  <c r="E53" i="83"/>
  <c r="F53" i="83" s="1"/>
  <c r="G53" i="83" s="1"/>
  <c r="H53" i="83" s="1"/>
  <c r="I53" i="83" s="1"/>
  <c r="C15" i="114"/>
  <c r="C16" i="114"/>
  <c r="C9" i="113"/>
  <c r="L39" i="113"/>
  <c r="O36" i="113"/>
  <c r="O37" i="113"/>
  <c r="O34" i="113"/>
  <c r="O35" i="113"/>
  <c r="O33" i="113"/>
  <c r="O38" i="113"/>
  <c r="C9" i="111"/>
  <c r="L39" i="111"/>
  <c r="O36" i="111"/>
  <c r="O37" i="111"/>
  <c r="O34" i="111"/>
  <c r="O35" i="111"/>
  <c r="O33" i="111"/>
  <c r="O38" i="111"/>
  <c r="C16" i="108"/>
  <c r="C15" i="108"/>
  <c r="Q83" i="52"/>
  <c r="D14" i="57" a="1"/>
  <c r="J53" i="83" l="1"/>
  <c r="D14" i="57"/>
  <c r="C15" i="113"/>
  <c r="C16" i="113"/>
  <c r="C15" i="111"/>
  <c r="C16" i="111"/>
  <c r="M83" i="52"/>
  <c r="Q88" i="52"/>
  <c r="S10" i="57" a="1"/>
  <c r="E18" i="57" a="1"/>
  <c r="D18" i="57" a="1"/>
  <c r="D18" i="57" l="1"/>
  <c r="S10" i="57"/>
  <c r="E18" i="57"/>
  <c r="R87" i="52"/>
  <c r="R86" i="52"/>
  <c r="Q89" i="52"/>
  <c r="Q90" i="52" l="1"/>
  <c r="AF33" i="112" a="1"/>
  <c r="H8" i="57" a="1"/>
  <c r="AF33" i="112" l="1"/>
  <c r="H8" i="57"/>
  <c r="Q69" i="52"/>
  <c r="N33" i="112" a="1"/>
  <c r="N33" i="112" l="1"/>
  <c r="AF38" i="112"/>
  <c r="Z39" i="112" s="1"/>
  <c r="M69" i="52"/>
  <c r="L33" i="112" a="1"/>
  <c r="K62" i="83" a="1"/>
  <c r="K46" i="83" a="1"/>
  <c r="L33" i="112" l="1"/>
  <c r="M33" i="112" s="1"/>
  <c r="N38" i="112"/>
  <c r="AG38" i="112"/>
  <c r="AG36" i="112"/>
  <c r="E9" i="112"/>
  <c r="AG37" i="112"/>
  <c r="AG34" i="112"/>
  <c r="AG35" i="112"/>
  <c r="AG33" i="112"/>
  <c r="K46" i="83"/>
  <c r="K62" i="83"/>
  <c r="K51" i="83" a="1"/>
  <c r="M11" i="57" a="1"/>
  <c r="M9" i="57" a="1"/>
  <c r="K67" i="83" a="1"/>
  <c r="L38" i="112" l="1"/>
  <c r="M38" i="112"/>
  <c r="H39" i="112"/>
  <c r="M9" i="57"/>
  <c r="K51" i="83"/>
  <c r="L46" i="83"/>
  <c r="E45" i="83" s="1"/>
  <c r="E46" i="83"/>
  <c r="K67" i="83"/>
  <c r="L62" i="83"/>
  <c r="E61" i="83" s="1"/>
  <c r="M11" i="57"/>
  <c r="R11" i="57" a="1"/>
  <c r="H20" i="57" a="1"/>
  <c r="R9" i="57" a="1"/>
  <c r="O38" i="112" l="1"/>
  <c r="C9" i="112"/>
  <c r="L39" i="112"/>
  <c r="O34" i="112"/>
  <c r="O36" i="112"/>
  <c r="O37" i="112"/>
  <c r="O35" i="112"/>
  <c r="O33" i="112"/>
  <c r="R9" i="57"/>
  <c r="R11" i="57"/>
  <c r="F45" i="83"/>
  <c r="G45" i="83" s="1"/>
  <c r="H45" i="83" s="1"/>
  <c r="F61" i="83"/>
  <c r="G61" i="83" s="1"/>
  <c r="H61" i="83" s="1"/>
  <c r="J51" i="83"/>
  <c r="L51" i="83"/>
  <c r="L67" i="83"/>
  <c r="J67" i="83"/>
  <c r="H20" i="57"/>
  <c r="E62" i="83"/>
  <c r="R78" i="52"/>
  <c r="R79" i="52"/>
  <c r="R75" i="52"/>
  <c r="R76" i="52"/>
  <c r="R66" i="52"/>
  <c r="R72" i="52"/>
  <c r="R73" i="52"/>
  <c r="K66" i="83" a="1"/>
  <c r="D20" i="57" a="1"/>
  <c r="C15" i="112" l="1"/>
  <c r="C16" i="112"/>
  <c r="D20" i="57"/>
  <c r="K66" i="83"/>
  <c r="K68" i="83" s="1"/>
  <c r="D24" i="57" a="1"/>
  <c r="S11" i="57" a="1"/>
  <c r="E24" i="57" a="1"/>
  <c r="E24" i="57" l="1"/>
  <c r="S11" i="57"/>
  <c r="D24" i="57"/>
  <c r="I66" i="83"/>
  <c r="L66" i="83"/>
  <c r="I61" i="83" l="1"/>
  <c r="J61" i="83" s="1"/>
  <c r="K70" i="83" a="1"/>
  <c r="K70" i="83" l="1"/>
  <c r="K75" i="83" a="1"/>
  <c r="M12" i="57" a="1"/>
  <c r="K75" i="83" l="1"/>
  <c r="J75" i="83" s="1"/>
  <c r="L70" i="83"/>
  <c r="E69" i="83" s="1"/>
  <c r="M12" i="57"/>
  <c r="R12" i="57" a="1"/>
  <c r="R12" i="57" l="1"/>
  <c r="L75" i="83"/>
  <c r="F69" i="83"/>
  <c r="G69" i="83" s="1"/>
  <c r="H69" i="83" s="1"/>
  <c r="K74" i="83" a="1"/>
  <c r="K74" i="83" l="1"/>
  <c r="S12" i="57" a="1"/>
  <c r="E30" i="57" a="1"/>
  <c r="I74" i="83" l="1"/>
  <c r="K76" i="83"/>
  <c r="L74" i="83"/>
  <c r="S12" i="57"/>
  <c r="E30" i="57"/>
  <c r="H26" i="57" a="1"/>
  <c r="I69" i="83" l="1"/>
  <c r="J69" i="83" s="1"/>
  <c r="H26" i="57"/>
  <c r="E70" i="83"/>
  <c r="R93" i="52"/>
  <c r="R94" i="52"/>
  <c r="R106" i="52"/>
  <c r="R107" i="52"/>
  <c r="R101" i="52"/>
  <c r="R100" i="52"/>
  <c r="R114" i="52"/>
  <c r="R115" i="52"/>
  <c r="R103" i="52"/>
  <c r="R104" i="52"/>
  <c r="D30" i="57" a="1"/>
  <c r="D26" i="57" a="1"/>
  <c r="D30" i="57" l="1"/>
  <c r="D26" i="57"/>
  <c r="K78" i="83" a="1"/>
  <c r="K78" i="83" l="1"/>
  <c r="K83" i="83" a="1"/>
  <c r="M13" i="57" a="1"/>
  <c r="K83" i="83" l="1"/>
  <c r="L83" i="83" s="1"/>
  <c r="M13" i="57"/>
  <c r="R13" i="57" a="1"/>
  <c r="R13" i="57" l="1"/>
  <c r="J83" i="83"/>
  <c r="L78" i="83"/>
  <c r="E77" i="83" s="1"/>
  <c r="K82" i="83" a="1"/>
  <c r="D36" i="57" a="1"/>
  <c r="F77" i="83" l="1"/>
  <c r="G77" i="83" s="1"/>
  <c r="H77" i="83" s="1"/>
  <c r="K82" i="83"/>
  <c r="K84" i="83" s="1"/>
  <c r="D36" i="57"/>
  <c r="E36" i="57" a="1"/>
  <c r="S13" i="57" a="1"/>
  <c r="E36" i="57" l="1"/>
  <c r="S13" i="57"/>
  <c r="L82" i="83"/>
  <c r="I82" i="83"/>
  <c r="I77" i="83" l="1"/>
  <c r="J77" i="83" s="1"/>
  <c r="D32" i="57" a="1"/>
  <c r="D32" i="57" l="1"/>
  <c r="E78" i="83" l="1"/>
  <c r="R121" i="52" l="1"/>
  <c r="R122" i="52"/>
  <c r="R129" i="52" l="1"/>
  <c r="R128" i="52"/>
  <c r="R143" i="52"/>
  <c r="R142" i="52"/>
  <c r="R131" i="52"/>
  <c r="R132" i="52"/>
  <c r="H32" i="57" a="1"/>
  <c r="H32" i="57" l="1"/>
  <c r="D12" i="57" a="1"/>
  <c r="K50" i="83" a="1"/>
  <c r="D8" i="57" a="1"/>
  <c r="K50" i="83" l="1"/>
  <c r="K52" i="83" s="1"/>
  <c r="D8" i="57"/>
  <c r="D12" i="57"/>
  <c r="S9" i="57" a="1"/>
  <c r="E12" i="57" a="1"/>
  <c r="I50" i="83" l="1"/>
  <c r="L50" i="83"/>
  <c r="E12" i="57"/>
  <c r="S9" i="57"/>
  <c r="I45" i="83" l="1"/>
  <c r="J45" i="83" s="1"/>
  <c r="Q26" i="52"/>
  <c r="M26" i="52" s="1"/>
  <c r="R20" i="52"/>
  <c r="Q27" i="52" l="1"/>
  <c r="W33" i="111" a="1"/>
  <c r="W33" i="108" a="1"/>
  <c r="W33" i="113" a="1"/>
  <c r="W33" i="112" a="1"/>
  <c r="W33" i="114" a="1"/>
  <c r="W33" i="114" l="1"/>
  <c r="W33" i="113"/>
  <c r="W33" i="112"/>
  <c r="W33" i="111"/>
  <c r="W33" i="108"/>
  <c r="M27" i="52"/>
  <c r="U33" i="113" a="1"/>
  <c r="K62" i="102" a="1"/>
  <c r="U33" i="114" a="1"/>
  <c r="K54" i="102" a="1"/>
  <c r="K46" i="102" a="1"/>
  <c r="K70" i="102" a="1"/>
  <c r="U33" i="112" a="1"/>
  <c r="K78" i="102" a="1"/>
  <c r="U33" i="111" a="1"/>
  <c r="U33" i="108" a="1"/>
  <c r="K78" i="102" l="1"/>
  <c r="K70" i="102"/>
  <c r="K62" i="102"/>
  <c r="K54" i="102"/>
  <c r="U33" i="114"/>
  <c r="W38" i="114"/>
  <c r="U33" i="113"/>
  <c r="W38" i="113"/>
  <c r="U33" i="112"/>
  <c r="W38" i="112"/>
  <c r="U33" i="111"/>
  <c r="W38" i="111"/>
  <c r="U33" i="108"/>
  <c r="V33" i="108" s="1"/>
  <c r="W38" i="108"/>
  <c r="Q39" i="108" s="1"/>
  <c r="K46" i="102"/>
  <c r="M15" i="57" a="1"/>
  <c r="K83" i="102" a="1"/>
  <c r="M18" i="57" a="1"/>
  <c r="M17" i="57" a="1"/>
  <c r="K67" i="102" a="1"/>
  <c r="K75" i="102" a="1"/>
  <c r="M19" i="57" a="1"/>
  <c r="K51" i="102" a="1"/>
  <c r="M16" i="57" a="1"/>
  <c r="K59" i="102" a="1"/>
  <c r="M19" i="57" l="1"/>
  <c r="K83" i="102"/>
  <c r="K84" i="102" s="1"/>
  <c r="V33" i="114"/>
  <c r="Q39" i="114"/>
  <c r="X36" i="114" s="1"/>
  <c r="L78" i="102"/>
  <c r="E78" i="102"/>
  <c r="K75" i="102"/>
  <c r="M18" i="57"/>
  <c r="V33" i="113"/>
  <c r="L70" i="102"/>
  <c r="E70" i="102"/>
  <c r="K67" i="102"/>
  <c r="K68" i="102" s="1"/>
  <c r="M17" i="57"/>
  <c r="E62" i="102"/>
  <c r="L62" i="102"/>
  <c r="V33" i="112"/>
  <c r="M16" i="57"/>
  <c r="K59" i="102"/>
  <c r="V33" i="111"/>
  <c r="E54" i="102"/>
  <c r="L54" i="102"/>
  <c r="E53" i="102" s="1"/>
  <c r="F53" i="102" s="1"/>
  <c r="G53" i="102" s="1"/>
  <c r="H53" i="102" s="1"/>
  <c r="I53" i="102" s="1"/>
  <c r="V38" i="114"/>
  <c r="U38" i="114"/>
  <c r="V38" i="113"/>
  <c r="U38" i="113"/>
  <c r="Q39" i="113"/>
  <c r="V38" i="112"/>
  <c r="U38" i="112"/>
  <c r="Q39" i="112"/>
  <c r="V38" i="111"/>
  <c r="U38" i="111"/>
  <c r="Q39" i="111"/>
  <c r="X38" i="111" s="1"/>
  <c r="X36" i="108"/>
  <c r="X35" i="108"/>
  <c r="U39" i="108"/>
  <c r="X34" i="108"/>
  <c r="D9" i="108"/>
  <c r="X37" i="108"/>
  <c r="X33" i="108"/>
  <c r="V38" i="108"/>
  <c r="U38" i="108"/>
  <c r="X38" i="108"/>
  <c r="K51" i="102"/>
  <c r="E46" i="102"/>
  <c r="L46" i="102"/>
  <c r="E45" i="102" s="1"/>
  <c r="M15" i="57"/>
  <c r="R17" i="57" a="1"/>
  <c r="R19" i="57" a="1"/>
  <c r="R15" i="57" a="1"/>
  <c r="R16" i="57" a="1"/>
  <c r="R18" i="57" a="1"/>
  <c r="X35" i="114" l="1"/>
  <c r="X38" i="114"/>
  <c r="R19" i="57"/>
  <c r="U39" i="114"/>
  <c r="D9" i="114"/>
  <c r="D15" i="114" s="1"/>
  <c r="X33" i="114"/>
  <c r="E77" i="102"/>
  <c r="F77" i="102" s="1"/>
  <c r="G77" i="102" s="1"/>
  <c r="H77" i="102" s="1"/>
  <c r="I77" i="102" s="1"/>
  <c r="X34" i="114"/>
  <c r="X37" i="114"/>
  <c r="L83" i="102"/>
  <c r="J83" i="102"/>
  <c r="R18" i="57"/>
  <c r="E69" i="102"/>
  <c r="F69" i="102" s="1"/>
  <c r="G69" i="102" s="1"/>
  <c r="H69" i="102" s="1"/>
  <c r="I69" i="102" s="1"/>
  <c r="K76" i="102"/>
  <c r="L75" i="102"/>
  <c r="J75" i="102"/>
  <c r="R17" i="57"/>
  <c r="E61" i="102"/>
  <c r="F61" i="102" s="1"/>
  <c r="G61" i="102" s="1"/>
  <c r="H61" i="102" s="1"/>
  <c r="I61" i="102" s="1"/>
  <c r="J67" i="102"/>
  <c r="L67" i="102"/>
  <c r="R16" i="57"/>
  <c r="K60" i="102"/>
  <c r="L59" i="102"/>
  <c r="J53" i="102" s="1"/>
  <c r="J59" i="102"/>
  <c r="X36" i="113"/>
  <c r="D9" i="113"/>
  <c r="U39" i="113"/>
  <c r="X37" i="113"/>
  <c r="X34" i="113"/>
  <c r="X35" i="113"/>
  <c r="X33" i="113"/>
  <c r="X38" i="113"/>
  <c r="U39" i="112"/>
  <c r="X36" i="112"/>
  <c r="D9" i="112"/>
  <c r="X37" i="112"/>
  <c r="X34" i="112"/>
  <c r="X35" i="112"/>
  <c r="X33" i="112"/>
  <c r="X38" i="112"/>
  <c r="U39" i="111"/>
  <c r="D9" i="111"/>
  <c r="X36" i="111"/>
  <c r="X37" i="111"/>
  <c r="X34" i="111"/>
  <c r="X35" i="111"/>
  <c r="X33" i="111"/>
  <c r="D15" i="108"/>
  <c r="D16" i="108"/>
  <c r="R15" i="57"/>
  <c r="F45" i="102"/>
  <c r="G45" i="102" s="1"/>
  <c r="H45" i="102" s="1"/>
  <c r="I45" i="102" s="1"/>
  <c r="K52" i="102"/>
  <c r="L51" i="102"/>
  <c r="J51" i="102"/>
  <c r="F20" i="57" a="1"/>
  <c r="F12" i="57" a="1"/>
  <c r="F26" i="57" a="1"/>
  <c r="F14" i="57" a="1"/>
  <c r="F8" i="57" a="1"/>
  <c r="F32" i="57" a="1"/>
  <c r="F36" i="57" a="1"/>
  <c r="F36" i="57" l="1"/>
  <c r="F32" i="57"/>
  <c r="D16" i="114"/>
  <c r="J77" i="102"/>
  <c r="F26" i="57"/>
  <c r="J69" i="102"/>
  <c r="J61" i="102"/>
  <c r="F20" i="57"/>
  <c r="F14" i="57"/>
  <c r="D16" i="113"/>
  <c r="D15" i="113"/>
  <c r="D15" i="112"/>
  <c r="D16" i="112"/>
  <c r="D15" i="111"/>
  <c r="D16" i="111"/>
  <c r="F8" i="57"/>
  <c r="J45" i="102"/>
  <c r="F12" i="57"/>
  <c r="G18" i="57" a="1"/>
  <c r="F24" i="57" a="1"/>
  <c r="S17" i="57" a="1"/>
  <c r="F18" i="57" a="1"/>
  <c r="S19" i="57" a="1"/>
  <c r="S18" i="57" a="1"/>
  <c r="G24" i="57" a="1"/>
  <c r="S15" i="57" a="1"/>
  <c r="G36" i="57" a="1"/>
  <c r="G12" i="57" a="1"/>
  <c r="G30" i="57" a="1"/>
  <c r="S16" i="57" a="1"/>
  <c r="F30" i="57" a="1"/>
  <c r="G36" i="57" l="1"/>
  <c r="S19" i="57"/>
  <c r="F30" i="57"/>
  <c r="G30" i="57"/>
  <c r="S18" i="57"/>
  <c r="F24" i="57"/>
  <c r="S17" i="57"/>
  <c r="G24" i="57"/>
  <c r="F18" i="57"/>
  <c r="G18" i="57"/>
  <c r="S16" i="57"/>
  <c r="G12" i="57"/>
  <c r="S15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A2D34DDC-4A9B-4265-8E40-3E9B6D6DD4C9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The DMO 4 small business usage assumption was changed to 10,000 kWh from the previous 20,000 kWh used in DMO 1, 2 and 3.
A direct comparison between small business DMO 3 and 4 prices and cost components is not included within the model.</t>
        </r>
      </text>
    </comment>
    <comment ref="P6" authorId="0" shapeId="0" xr:uid="{760A60BC-2096-4AB7-B04F-752D425235B1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charset val="1"/>
          </rPr>
          <t xml:space="preserve">
The residual component was entierly removed from DMO 4 and therefore is reduced by 100 percent within the model.</t>
        </r>
      </text>
    </comment>
    <comment ref="Q6" authorId="0" shapeId="0" xr:uid="{4DB93D13-851E-47EB-A8FA-FB7D4DA6997D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charset val="1"/>
          </rPr>
          <t xml:space="preserve">
The retail cost component for DMO 4 is new and therefore does not have a component from DMO 3 to assess change</t>
        </r>
      </text>
    </comment>
    <comment ref="R6" authorId="0" shapeId="0" xr:uid="{F35DB3DE-A3CD-47CA-B707-73AF6E145FBC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charset val="1"/>
          </rPr>
          <t xml:space="preserve">
The DMO allowance is a new cost component for DMO 4 and therefore does not have a component from DMO 3 to assess change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16" authorId="0" shapeId="0" xr:uid="{A63969C0-D95A-4A06-B79D-2620C9AE8556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21-22 network tariffs are the same as those used in the DMO 3 Final Determination.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<sst xmlns="http://schemas.openxmlformats.org/spreadsheetml/2006/main" count="3461" uniqueCount="249">
  <si>
    <t>Energex</t>
  </si>
  <si>
    <t>Distribution zone</t>
  </si>
  <si>
    <t>Ausgrid</t>
  </si>
  <si>
    <t>Essential</t>
  </si>
  <si>
    <t>Endeavour</t>
  </si>
  <si>
    <t>SAPN</t>
  </si>
  <si>
    <t>Residential</t>
  </si>
  <si>
    <t>Contents</t>
  </si>
  <si>
    <t>Network costs</t>
  </si>
  <si>
    <t>Wholesale costs</t>
  </si>
  <si>
    <t>Index</t>
  </si>
  <si>
    <t>S. No.</t>
  </si>
  <si>
    <t>Customer type</t>
  </si>
  <si>
    <t>Tariff type</t>
  </si>
  <si>
    <t>Small business</t>
  </si>
  <si>
    <t>CL1</t>
  </si>
  <si>
    <t>CL2</t>
  </si>
  <si>
    <t>CL</t>
  </si>
  <si>
    <t>Environmental costs</t>
  </si>
  <si>
    <t>Summary</t>
  </si>
  <si>
    <t>&lt;&lt;Back to Index</t>
  </si>
  <si>
    <t>Flat rate</t>
  </si>
  <si>
    <t>Change</t>
  </si>
  <si>
    <t>Cost</t>
  </si>
  <si>
    <t>Tariff</t>
  </si>
  <si>
    <t>Proportion</t>
  </si>
  <si>
    <t>Usage</t>
  </si>
  <si>
    <t>kWh/yr</t>
  </si>
  <si>
    <t>Units</t>
  </si>
  <si>
    <t>%</t>
  </si>
  <si>
    <t>Value</t>
  </si>
  <si>
    <t>Assumption</t>
  </si>
  <si>
    <t>Days in year</t>
  </si>
  <si>
    <t>Description</t>
  </si>
  <si>
    <t>Customer</t>
  </si>
  <si>
    <t>GST</t>
  </si>
  <si>
    <t>TOU</t>
  </si>
  <si>
    <t>Base year</t>
  </si>
  <si>
    <t>Determination year</t>
  </si>
  <si>
    <t>Index assessment</t>
  </si>
  <si>
    <t>$/MWh</t>
  </si>
  <si>
    <t>$</t>
  </si>
  <si>
    <t>Fixed</t>
  </si>
  <si>
    <t>Variable</t>
  </si>
  <si>
    <t>Annual usage (kWh)</t>
  </si>
  <si>
    <t>Contribution 
to change</t>
  </si>
  <si>
    <t>Controlled load usage (kWh)</t>
  </si>
  <si>
    <t>Flat rate usage (kWh)</t>
  </si>
  <si>
    <t>DUOS</t>
  </si>
  <si>
    <t>TUOS</t>
  </si>
  <si>
    <t>CCF</t>
  </si>
  <si>
    <t>kWh</t>
  </si>
  <si>
    <t>% y-o-y check</t>
  </si>
  <si>
    <t>Total</t>
  </si>
  <si>
    <t>CL1 Proportion</t>
  </si>
  <si>
    <t>NUOS</t>
  </si>
  <si>
    <t>NA</t>
  </si>
  <si>
    <t>ACS</t>
  </si>
  <si>
    <t>Network cost</t>
  </si>
  <si>
    <t>Wholesale cost</t>
  </si>
  <si>
    <t>Environmental cost</t>
  </si>
  <si>
    <t>Network Cost</t>
  </si>
  <si>
    <t>Description2</t>
  </si>
  <si>
    <t>DMO price</t>
  </si>
  <si>
    <t>$ pa</t>
  </si>
  <si>
    <t>Overall change in costs (%)</t>
  </si>
  <si>
    <t>WEC</t>
  </si>
  <si>
    <t>Ancillary</t>
  </si>
  <si>
    <t>RERT</t>
  </si>
  <si>
    <t>Losses</t>
  </si>
  <si>
    <t>LRET</t>
  </si>
  <si>
    <t>SRES</t>
  </si>
  <si>
    <t>ESS</t>
  </si>
  <si>
    <t>Small Business</t>
  </si>
  <si>
    <t>JSO</t>
  </si>
  <si>
    <t>NEM fee</t>
  </si>
  <si>
    <t>REES</t>
  </si>
  <si>
    <t>Total inc GST</t>
  </si>
  <si>
    <t>Wholesale Cost</t>
  </si>
  <si>
    <t>Environmental Cost</t>
  </si>
  <si>
    <t>DMO Price</t>
  </si>
  <si>
    <t>Click on each box to go to the sheet</t>
  </si>
  <si>
    <t>Tariff level 1</t>
  </si>
  <si>
    <t>Tariff level 2</t>
  </si>
  <si>
    <t>Tariff level 3</t>
  </si>
  <si>
    <t>All costs excl GST</t>
  </si>
  <si>
    <t>CL2 Proportion</t>
  </si>
  <si>
    <t>Note: DMO prices have been rounded to the nearest integer</t>
  </si>
  <si>
    <t>Cost stacks</t>
  </si>
  <si>
    <t>Detail inputs</t>
  </si>
  <si>
    <t>Key inputs</t>
  </si>
  <si>
    <t>Structure</t>
  </si>
  <si>
    <t>Model Structure and Acronyms</t>
  </si>
  <si>
    <t>Distribution Use of System</t>
  </si>
  <si>
    <t>Transmission Use of System</t>
  </si>
  <si>
    <t>Network Use of System</t>
  </si>
  <si>
    <t>Climate Change Fund</t>
  </si>
  <si>
    <t>Jurisdictional Scheme Obligations</t>
  </si>
  <si>
    <t>Alternative Control Services</t>
  </si>
  <si>
    <t>Wholesale Energy Cost</t>
  </si>
  <si>
    <t>Ancillary Charges</t>
  </si>
  <si>
    <t>ECA</t>
  </si>
  <si>
    <t>FRC</t>
  </si>
  <si>
    <t>NTP</t>
  </si>
  <si>
    <t>Full Retail Contestability</t>
  </si>
  <si>
    <t>National Transmission Planner</t>
  </si>
  <si>
    <t>Prudential fee</t>
  </si>
  <si>
    <t>RPP</t>
  </si>
  <si>
    <t>STP</t>
  </si>
  <si>
    <t>LGC</t>
  </si>
  <si>
    <t>STC</t>
  </si>
  <si>
    <t>DLF</t>
  </si>
  <si>
    <t>MLF</t>
  </si>
  <si>
    <t>Network losses, combined loss factor of DLF and MLF</t>
  </si>
  <si>
    <t>Renewable Power Percentage</t>
  </si>
  <si>
    <t>Small-scale Technology Percentage</t>
  </si>
  <si>
    <t>Large-scale Generation Certificate</t>
  </si>
  <si>
    <t>Small-scale Generation Certificate</t>
  </si>
  <si>
    <t>Large-scale Renewable Energy Target</t>
  </si>
  <si>
    <t>Small-scale Renewable Energy Scheme</t>
  </si>
  <si>
    <t>Retail Energy Efficiency Scheme (South Australia)</t>
  </si>
  <si>
    <t>Energy Savings Scheme (New South Wales)</t>
  </si>
  <si>
    <t>Controlled Load</t>
  </si>
  <si>
    <t>Time Of Use</t>
  </si>
  <si>
    <t>DMO</t>
  </si>
  <si>
    <t>Default Market Offer</t>
  </si>
  <si>
    <t>MWh</t>
  </si>
  <si>
    <t>Mega Watt hour</t>
  </si>
  <si>
    <t>pa</t>
  </si>
  <si>
    <t>per annum</t>
  </si>
  <si>
    <t>All prices inc GST</t>
  </si>
  <si>
    <t>Key Inputs and Assumptions</t>
  </si>
  <si>
    <t>General inputs</t>
  </si>
  <si>
    <t>Cost inputs - wholesale and environmental costs</t>
  </si>
  <si>
    <t>Determination</t>
  </si>
  <si>
    <t>Note: Residual costs include step changes, if any</t>
  </si>
  <si>
    <t>without CL</t>
  </si>
  <si>
    <t>with CL</t>
  </si>
  <si>
    <t>All prices and costs incl GST</t>
  </si>
  <si>
    <t>All cell values that are to be updated in blue</t>
  </si>
  <si>
    <t>List of acronyms</t>
  </si>
  <si>
    <t>APP</t>
  </si>
  <si>
    <t>Annual Pricing Proposal</t>
  </si>
  <si>
    <t>Consultant report</t>
  </si>
  <si>
    <t>Change y-o-y</t>
  </si>
  <si>
    <t>Prudential</t>
  </si>
  <si>
    <t>Reliability and Emergency Reserve Trader</t>
  </si>
  <si>
    <t>Energy Consumers Australia</t>
  </si>
  <si>
    <t>Queensland Solar Bonus Scheme</t>
  </si>
  <si>
    <t>SA Power Networks</t>
  </si>
  <si>
    <t>Residential without CL</t>
  </si>
  <si>
    <t>Residential with CL</t>
  </si>
  <si>
    <t>Small business without CL</t>
  </si>
  <si>
    <t>Residential without Controlled Load</t>
  </si>
  <si>
    <t>Residential with Controlled Load</t>
  </si>
  <si>
    <t>National Electricity Market fees, which includes AEMO, ECA, FRC and NTP fees</t>
  </si>
  <si>
    <t>Distribution Loss Factor</t>
  </si>
  <si>
    <t>Marginal Loss Factor</t>
  </si>
  <si>
    <t>for annual usage of</t>
  </si>
  <si>
    <t>Overview</t>
  </si>
  <si>
    <t>Index Assessment to Determine DMO Prices</t>
  </si>
  <si>
    <t>Cost Calculations for DMO Prices</t>
  </si>
  <si>
    <t>Inputs and Assumptions</t>
  </si>
  <si>
    <t>Section 1: Overview</t>
  </si>
  <si>
    <t>By distribution zone</t>
  </si>
  <si>
    <t>Section 4: Cost Calculations for DMO Prices</t>
  </si>
  <si>
    <t>By cost type</t>
  </si>
  <si>
    <t>Section 5: Inputs and Assumptions</t>
  </si>
  <si>
    <t>By tariff type</t>
  </si>
  <si>
    <t>Base</t>
  </si>
  <si>
    <t>QSBS</t>
  </si>
  <si>
    <t>$/yr</t>
  </si>
  <si>
    <t>2021-22</t>
  </si>
  <si>
    <t>CL1 %</t>
  </si>
  <si>
    <t>CL2 %</t>
  </si>
  <si>
    <t>Contribution to change</t>
  </si>
  <si>
    <t>Note</t>
  </si>
  <si>
    <t>Source for wholesale and environmental costs: Consultant report</t>
  </si>
  <si>
    <t>RRP</t>
  </si>
  <si>
    <t>Revised Regulatory Proposal</t>
  </si>
  <si>
    <t>Source</t>
  </si>
  <si>
    <t>Section 2: Cost Stacks with Changes in Underlying Costs</t>
  </si>
  <si>
    <t>Cost Stacks with Changes in Underlying Costs</t>
  </si>
  <si>
    <t>DMO 2021-22 Determination</t>
  </si>
  <si>
    <t>Default Market Offer 4 (DMO 4)</t>
  </si>
  <si>
    <t>2022-23</t>
  </si>
  <si>
    <t>DMO 2022-23 Determination</t>
  </si>
  <si>
    <t>PDRS</t>
  </si>
  <si>
    <t>REPS</t>
  </si>
  <si>
    <t>Directions</t>
  </si>
  <si>
    <t>ACCC retail operating cost</t>
  </si>
  <si>
    <t>Advanced meter cost</t>
  </si>
  <si>
    <t>Bad and doubtful debt</t>
  </si>
  <si>
    <t>Retail cost</t>
  </si>
  <si>
    <t>Retail Cost</t>
  </si>
  <si>
    <t>DMO allowance</t>
  </si>
  <si>
    <t>Residual</t>
  </si>
  <si>
    <t>Note: Overall change in costs include the removal of the residual and inclusion of retail costs and DMO allowance, retail costs are adjusted by inflation</t>
  </si>
  <si>
    <t>Retail costs</t>
  </si>
  <si>
    <t>CPI adjustment</t>
  </si>
  <si>
    <t>Section 3: Zonal cost assessment to Determine DMO Prices</t>
  </si>
  <si>
    <t>ACCC Electricity Inquiry November 2021 Report, Supplementary Table E8.1B, Appendix E</t>
  </si>
  <si>
    <t>Retailer Metering Counts and Costs Voluntary Information Request – September 2021</t>
  </si>
  <si>
    <t>AGL, Origin and Snowy Hydro 2020-21 Financial Reports</t>
  </si>
  <si>
    <t xml:space="preserve">ACCC Electricity Inquiry November 2021 Report, Supplementary Table E4.10, Appendix E; 
Ausgrid, Endeavour and Essential 2019-20 Economic RINs 3.4 Operational Data, DOPED0502 and DOPCNO102 </t>
  </si>
  <si>
    <t>ACCC Electricity Inquiry November 2021 Report, Supplementary Table E4.10, Appendix E;
Energex 2019-20 Economic RIN 3.4 Operational Data, DOPED0502 and DOPCNO102</t>
  </si>
  <si>
    <t>ACCC Electricity Inquiry November 2021 Report, Supplementary Table E4.10, Appendix E;
SAPN 2019-20 Economic RIN 3.4 Operational Data, DOPED0502 and DOPCNO102</t>
  </si>
  <si>
    <t>Network tariff code</t>
  </si>
  <si>
    <t xml:space="preserve">Residential Non TOU - EA010 </t>
  </si>
  <si>
    <t xml:space="preserve">EA030 – Controlled load 1 </t>
  </si>
  <si>
    <t xml:space="preserve">EA040 – Controlled load 2 </t>
  </si>
  <si>
    <t xml:space="preserve">EA050 Small business non-TOU </t>
  </si>
  <si>
    <t xml:space="preserve">Residential Energy (anytime) N70 </t>
  </si>
  <si>
    <t xml:space="preserve">Controlled load 1 N50 </t>
  </si>
  <si>
    <t xml:space="preserve">Controlled load 2 N54 </t>
  </si>
  <si>
    <t xml:space="preserve">General Supply N90 </t>
  </si>
  <si>
    <t xml:space="preserve">Residential Anytime BLNN2AU </t>
  </si>
  <si>
    <t xml:space="preserve">Energy Saver 1 BLNC1AU </t>
  </si>
  <si>
    <t xml:space="preserve">Energy Saver 2 BLNC2AU </t>
  </si>
  <si>
    <t xml:space="preserve">Small Business Anytime BLNN1AU </t>
  </si>
  <si>
    <t xml:space="preserve">Residential Flat NTC8400 </t>
  </si>
  <si>
    <t xml:space="preserve">Super Economy NTC9000 </t>
  </si>
  <si>
    <t xml:space="preserve">Economy NTC9100 </t>
  </si>
  <si>
    <t xml:space="preserve">Business Flat NTC8500 </t>
  </si>
  <si>
    <t xml:space="preserve">Residential Single Rate RSR (SR) </t>
  </si>
  <si>
    <t xml:space="preserve">Residential Single Rate RSR (controlled load) </t>
  </si>
  <si>
    <t>Business Single Rate BSR</t>
  </si>
  <si>
    <t>DMO 3 Final Determination Model</t>
  </si>
  <si>
    <t>Final</t>
  </si>
  <si>
    <t>RBA May 2022 forecast for the two years ending Jun 2023</t>
  </si>
  <si>
    <t>Ausgrid - Annual pricing 2022–23</t>
  </si>
  <si>
    <t>Ausgrid - Annual pricing 2022–24</t>
  </si>
  <si>
    <t>Ausgrid - Annual pricing 2022–25</t>
  </si>
  <si>
    <t>Ausgrid - Annual pricing 2022–26</t>
  </si>
  <si>
    <t>Endeavour Energy - Annual pricing 2022–23</t>
  </si>
  <si>
    <t>Endeavour Energy - Annual pricing 2022–24</t>
  </si>
  <si>
    <t>Endeavour Energy - Annual pricing 2022–25</t>
  </si>
  <si>
    <t>Endeavour Energy - Annual pricing 2022–26</t>
  </si>
  <si>
    <t>Essential Energy - Annual pricing 2022–23</t>
  </si>
  <si>
    <t>Essential Energy - Annual pricing 2022–24</t>
  </si>
  <si>
    <t>Essential Energy - Annual pricing 2022–25</t>
  </si>
  <si>
    <t>Essential Energy - Annual pricing 2022–26</t>
  </si>
  <si>
    <t>Energex - Annual pricing 2022–23</t>
  </si>
  <si>
    <t>Energex - Annual pricing 2022–24</t>
  </si>
  <si>
    <t>Energex - Annual pricing 2022–25</t>
  </si>
  <si>
    <t>Energex - Annual pricing 2022–26</t>
  </si>
  <si>
    <t>SA Power Networks - Annual pricing 2022–23</t>
  </si>
  <si>
    <t>SA Power Networks - Annual pricing 2022–24</t>
  </si>
  <si>
    <t>SA Power Networks - Annual pricing 2022–25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</si>
</sst>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%"/>
    <numFmt numFmtId="166" formatCode="&quot;$&quot;#,##0"/>
    <numFmt numFmtId="167" formatCode="#,##0.0"/>
    <numFmt numFmtId="168" formatCode="\+0.0;\-0.0;0.0"/>
    <numFmt numFmtId="169" formatCode="#,##0.0000000"/>
    <numFmt numFmtId="170" formatCode="\+&quot;$&quot;0;\-&quot;$&quot;0;&quot;$&quot;0"/>
    <numFmt numFmtId="171" formatCode="\+0.0%;\-0.0%;0.0%"/>
    <numFmt numFmtId="172" formatCode="\+0.00%;\-0.00%;0.00%"/>
    <numFmt numFmtId="173" formatCode="0.0000%"/>
  </numFmts>
  <fonts count="7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76A9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76A9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rgb="FFFFFF66"/>
      <name val="Calibri"/>
      <family val="2"/>
      <scheme val="minor"/>
    </font>
    <font>
      <b/>
      <sz val="11"/>
      <color rgb="FFFFFF66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rgb="FF076A92"/>
      <name val="Calibri"/>
      <family val="2"/>
      <scheme val="minor"/>
    </font>
    <font>
      <b/>
      <sz val="12"/>
      <color rgb="FF076A9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76A9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u/>
      <sz val="10"/>
      <color theme="10"/>
      <name val="Arial"/>
      <family val="2"/>
    </font>
    <font>
      <i/>
      <sz val="8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i/>
      <sz val="10"/>
      <color theme="0" tint="-4.9989318521683403E-2"/>
      <name val="Calibri"/>
      <family val="2"/>
      <scheme val="minor"/>
    </font>
    <font>
      <i/>
      <sz val="8"/>
      <color indexed="5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9"/>
      <color theme="0" tint="-0.1499984740745262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9900"/>
      <name val="Calibri"/>
      <family val="2"/>
      <scheme val="minor"/>
    </font>
    <font>
      <u/>
      <sz val="11"/>
      <color rgb="FF0099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76A9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C14E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rgb="FF076A92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/>
      <bottom style="medium">
        <color rgb="FF076A92"/>
      </bottom>
      <diagonal/>
    </border>
    <border>
      <left/>
      <right/>
      <top/>
      <bottom style="thick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medium">
        <color rgb="FF076A92"/>
      </bottom>
      <diagonal/>
    </border>
    <border>
      <left style="thin">
        <color theme="0" tint="-0.24994659260841701"/>
      </left>
      <right/>
      <top/>
      <bottom style="medium">
        <color rgb="FF076A92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352">
    <xf numFmtId="0" fontId="0" fillId="0" borderId="0" xfId="0"/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2" fillId="2" borderId="0" xfId="0" applyFont="1" applyFill="1" applyAlignment="1"/>
    <xf numFmtId="0" fontId="1" fillId="5" borderId="0" xfId="0" applyFont="1" applyFill="1" applyBorder="1" applyAlignment="1">
      <alignment horizontal="left"/>
    </xf>
    <xf numFmtId="0" fontId="0" fillId="2" borderId="0" xfId="0" applyFill="1" applyAlignment="1">
      <alignment vertical="top"/>
    </xf>
    <xf numFmtId="0" fontId="0" fillId="6" borderId="0" xfId="0" applyFill="1" applyAlignment="1">
      <alignment vertical="top"/>
    </xf>
    <xf numFmtId="0" fontId="1" fillId="5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9" fontId="0" fillId="2" borderId="0" xfId="3" applyFont="1" applyFill="1" applyAlignment="1">
      <alignment horizontal="center" vertical="center"/>
    </xf>
    <xf numFmtId="0" fontId="20" fillId="7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1" fillId="5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" fillId="5" borderId="0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right" vertical="center"/>
    </xf>
    <xf numFmtId="0" fontId="23" fillId="8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3" fontId="22" fillId="2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vertical="center"/>
    </xf>
    <xf numFmtId="3" fontId="22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3" fontId="16" fillId="8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21" fillId="5" borderId="0" xfId="0" applyNumberFormat="1" applyFont="1" applyFill="1" applyBorder="1" applyAlignment="1">
      <alignment horizontal="center"/>
    </xf>
    <xf numFmtId="0" fontId="0" fillId="2" borderId="0" xfId="0" applyFill="1"/>
    <xf numFmtId="0" fontId="31" fillId="2" borderId="0" xfId="0" applyFont="1" applyFill="1" applyAlignment="1">
      <alignment vertical="center"/>
    </xf>
    <xf numFmtId="0" fontId="34" fillId="8" borderId="0" xfId="0" applyFont="1" applyFill="1" applyBorder="1" applyAlignment="1">
      <alignment vertical="center"/>
    </xf>
    <xf numFmtId="0" fontId="24" fillId="2" borderId="0" xfId="0" applyFont="1" applyFill="1"/>
    <xf numFmtId="0" fontId="23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34" fillId="8" borderId="6" xfId="0" applyFont="1" applyFill="1" applyBorder="1" applyAlignment="1">
      <alignment vertical="center"/>
    </xf>
    <xf numFmtId="0" fontId="35" fillId="2" borderId="0" xfId="2" applyFont="1" applyFill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2" fontId="0" fillId="2" borderId="0" xfId="0" applyNumberFormat="1" applyFill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7" fillId="2" borderId="8" xfId="0" applyFont="1" applyFill="1" applyBorder="1" applyAlignment="1">
      <alignment vertical="center"/>
    </xf>
    <xf numFmtId="0" fontId="31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4" fontId="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7" fillId="2" borderId="0" xfId="0" applyFont="1" applyFill="1"/>
    <xf numFmtId="0" fontId="42" fillId="2" borderId="0" xfId="0" applyFont="1" applyFill="1" applyAlignment="1">
      <alignment vertical="center"/>
    </xf>
    <xf numFmtId="4" fontId="42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vertical="center"/>
    </xf>
    <xf numFmtId="165" fontId="16" fillId="8" borderId="2" xfId="0" applyNumberFormat="1" applyFont="1" applyFill="1" applyBorder="1" applyAlignment="1">
      <alignment horizontal="center" vertical="center"/>
    </xf>
    <xf numFmtId="169" fontId="0" fillId="2" borderId="0" xfId="0" applyNumberFormat="1" applyFill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3" fillId="9" borderId="24" xfId="0" applyFont="1" applyFill="1" applyBorder="1" applyAlignment="1">
      <alignment vertical="center"/>
    </xf>
    <xf numFmtId="0" fontId="43" fillId="9" borderId="25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165" fontId="45" fillId="2" borderId="0" xfId="0" applyNumberFormat="1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3" fontId="46" fillId="2" borderId="0" xfId="0" applyNumberFormat="1" applyFont="1" applyFill="1" applyAlignment="1">
      <alignment horizontal="center" vertical="center"/>
    </xf>
    <xf numFmtId="3" fontId="21" fillId="8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3" fontId="28" fillId="8" borderId="0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23" fillId="8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33" fillId="4" borderId="27" xfId="0" applyFont="1" applyFill="1" applyBorder="1" applyAlignment="1">
      <alignment vertical="center" wrapText="1"/>
    </xf>
    <xf numFmtId="3" fontId="21" fillId="8" borderId="32" xfId="0" applyNumberFormat="1" applyFont="1" applyFill="1" applyBorder="1" applyAlignment="1">
      <alignment horizontal="center" vertical="center"/>
    </xf>
    <xf numFmtId="3" fontId="21" fillId="8" borderId="31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center" vertical="center"/>
    </xf>
    <xf numFmtId="3" fontId="21" fillId="2" borderId="31" xfId="0" applyNumberFormat="1" applyFont="1" applyFill="1" applyBorder="1" applyAlignment="1">
      <alignment horizontal="center" vertical="center"/>
    </xf>
    <xf numFmtId="0" fontId="51" fillId="2" borderId="31" xfId="0" applyFont="1" applyFill="1" applyBorder="1" applyAlignment="1">
      <alignment vertical="center"/>
    </xf>
    <xf numFmtId="170" fontId="52" fillId="2" borderId="32" xfId="3" applyNumberFormat="1" applyFont="1" applyFill="1" applyBorder="1" applyAlignment="1">
      <alignment horizontal="right" vertical="center"/>
    </xf>
    <xf numFmtId="165" fontId="52" fillId="2" borderId="31" xfId="3" applyNumberFormat="1" applyFont="1" applyFill="1" applyBorder="1" applyAlignment="1">
      <alignment horizontal="left" vertical="center"/>
    </xf>
    <xf numFmtId="165" fontId="52" fillId="2" borderId="0" xfId="3" applyNumberFormat="1" applyFont="1" applyFill="1" applyBorder="1" applyAlignment="1">
      <alignment horizontal="left" vertical="center"/>
    </xf>
    <xf numFmtId="0" fontId="51" fillId="8" borderId="31" xfId="0" applyFont="1" applyFill="1" applyBorder="1" applyAlignment="1">
      <alignment vertical="center"/>
    </xf>
    <xf numFmtId="170" fontId="52" fillId="8" borderId="32" xfId="3" applyNumberFormat="1" applyFont="1" applyFill="1" applyBorder="1" applyAlignment="1">
      <alignment horizontal="right" vertical="center"/>
    </xf>
    <xf numFmtId="165" fontId="52" fillId="8" borderId="31" xfId="3" applyNumberFormat="1" applyFont="1" applyFill="1" applyBorder="1" applyAlignment="1">
      <alignment horizontal="left" vertical="center"/>
    </xf>
    <xf numFmtId="165" fontId="52" fillId="8" borderId="0" xfId="3" applyNumberFormat="1" applyFont="1" applyFill="1" applyBorder="1" applyAlignment="1">
      <alignment horizontal="left" vertical="center"/>
    </xf>
    <xf numFmtId="165" fontId="52" fillId="8" borderId="6" xfId="3" applyNumberFormat="1" applyFont="1" applyFill="1" applyBorder="1" applyAlignment="1">
      <alignment horizontal="left" vertical="center"/>
    </xf>
    <xf numFmtId="171" fontId="0" fillId="2" borderId="0" xfId="3" applyNumberFormat="1" applyFont="1" applyFill="1" applyAlignment="1">
      <alignment horizontal="center" vertical="center"/>
    </xf>
    <xf numFmtId="171" fontId="2" fillId="2" borderId="0" xfId="3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" fillId="2" borderId="0" xfId="0" applyNumberFormat="1" applyFont="1" applyFill="1" applyAlignment="1">
      <alignment horizontal="center" vertical="center"/>
    </xf>
    <xf numFmtId="171" fontId="2" fillId="2" borderId="16" xfId="3" applyNumberFormat="1" applyFont="1" applyFill="1" applyBorder="1" applyAlignment="1">
      <alignment horizontal="center" vertical="center"/>
    </xf>
    <xf numFmtId="3" fontId="21" fillId="8" borderId="32" xfId="0" applyNumberFormat="1" applyFont="1" applyFill="1" applyBorder="1" applyAlignment="1">
      <alignment horizontal="center" vertical="center" wrapText="1"/>
    </xf>
    <xf numFmtId="3" fontId="21" fillId="8" borderId="31" xfId="0" applyNumberFormat="1" applyFont="1" applyFill="1" applyBorder="1" applyAlignment="1">
      <alignment horizontal="center" vertical="center" wrapText="1"/>
    </xf>
    <xf numFmtId="0" fontId="29" fillId="8" borderId="31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3" fontId="21" fillId="2" borderId="32" xfId="0" applyNumberFormat="1" applyFont="1" applyFill="1" applyBorder="1" applyAlignment="1">
      <alignment horizontal="center" vertical="center"/>
    </xf>
    <xf numFmtId="3" fontId="21" fillId="2" borderId="31" xfId="0" applyNumberFormat="1" applyFont="1" applyFill="1" applyBorder="1" applyAlignment="1">
      <alignment horizontal="center" vertical="center"/>
    </xf>
    <xf numFmtId="3" fontId="21" fillId="8" borderId="32" xfId="0" applyNumberFormat="1" applyFont="1" applyFill="1" applyBorder="1" applyAlignment="1">
      <alignment horizontal="center" vertical="center"/>
    </xf>
    <xf numFmtId="3" fontId="21" fillId="8" borderId="0" xfId="0" applyNumberFormat="1" applyFont="1" applyFill="1" applyBorder="1" applyAlignment="1">
      <alignment horizontal="center" vertical="center"/>
    </xf>
    <xf numFmtId="3" fontId="21" fillId="8" borderId="31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center" vertical="center" wrapText="1"/>
    </xf>
    <xf numFmtId="3" fontId="21" fillId="2" borderId="31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Border="1" applyAlignment="1">
      <alignment horizontal="center" vertical="center"/>
    </xf>
    <xf numFmtId="0" fontId="0" fillId="8" borderId="31" xfId="0" applyFill="1" applyBorder="1" applyAlignment="1">
      <alignment horizontal="left" vertical="center" wrapText="1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vertical="top"/>
    </xf>
    <xf numFmtId="3" fontId="21" fillId="8" borderId="3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/>
    </xf>
    <xf numFmtId="10" fontId="52" fillId="8" borderId="31" xfId="3" applyNumberFormat="1" applyFont="1" applyFill="1" applyBorder="1" applyAlignment="1">
      <alignment horizontal="left" vertical="center"/>
    </xf>
    <xf numFmtId="0" fontId="51" fillId="8" borderId="33" xfId="0" applyFont="1" applyFill="1" applyBorder="1" applyAlignment="1">
      <alignment vertical="center"/>
    </xf>
    <xf numFmtId="170" fontId="52" fillId="8" borderId="34" xfId="3" applyNumberFormat="1" applyFont="1" applyFill="1" applyBorder="1" applyAlignment="1">
      <alignment horizontal="right" vertical="center"/>
    </xf>
    <xf numFmtId="165" fontId="52" fillId="8" borderId="33" xfId="3" applyNumberFormat="1" applyFont="1" applyFill="1" applyBorder="1" applyAlignment="1">
      <alignment horizontal="left" vertical="center"/>
    </xf>
    <xf numFmtId="10" fontId="52" fillId="8" borderId="33" xfId="3" applyNumberFormat="1" applyFont="1" applyFill="1" applyBorder="1" applyAlignment="1">
      <alignment horizontal="left" vertical="center"/>
    </xf>
    <xf numFmtId="0" fontId="58" fillId="2" borderId="0" xfId="0" applyFont="1" applyFill="1" applyAlignment="1">
      <alignment vertical="center"/>
    </xf>
    <xf numFmtId="0" fontId="59" fillId="2" borderId="0" xfId="0" applyFont="1" applyFill="1"/>
    <xf numFmtId="1" fontId="5" fillId="2" borderId="0" xfId="0" applyNumberFormat="1" applyFont="1" applyFill="1" applyAlignment="1">
      <alignment horizontal="center" vertical="center"/>
    </xf>
    <xf numFmtId="3" fontId="23" fillId="8" borderId="0" xfId="0" applyNumberFormat="1" applyFont="1" applyFill="1" applyBorder="1" applyAlignment="1">
      <alignment horizontal="center" vertical="center"/>
    </xf>
    <xf numFmtId="172" fontId="56" fillId="2" borderId="0" xfId="0" applyNumberFormat="1" applyFont="1" applyFill="1" applyAlignment="1">
      <alignment horizontal="center" vertical="center"/>
    </xf>
    <xf numFmtId="10" fontId="0" fillId="2" borderId="0" xfId="3" applyNumberFormat="1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9" fontId="0" fillId="2" borderId="0" xfId="3" applyNumberFormat="1" applyFont="1" applyFill="1" applyAlignment="1">
      <alignment horizontal="center" vertical="center"/>
    </xf>
    <xf numFmtId="9" fontId="0" fillId="2" borderId="16" xfId="3" applyNumberFormat="1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3" fontId="30" fillId="2" borderId="0" xfId="0" applyNumberFormat="1" applyFont="1" applyFill="1" applyBorder="1" applyAlignment="1">
      <alignment horizontal="center" vertical="center"/>
    </xf>
    <xf numFmtId="3" fontId="30" fillId="2" borderId="0" xfId="0" applyNumberFormat="1" applyFont="1" applyFill="1" applyBorder="1" applyAlignment="1">
      <alignment horizontal="left" vertical="center"/>
    </xf>
    <xf numFmtId="3" fontId="60" fillId="2" borderId="0" xfId="2" applyNumberFormat="1" applyFont="1" applyFill="1" applyBorder="1" applyAlignment="1">
      <alignment horizontal="left" vertical="center"/>
    </xf>
    <xf numFmtId="0" fontId="61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3" fontId="63" fillId="2" borderId="0" xfId="2" applyNumberFormat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0" fontId="6" fillId="2" borderId="0" xfId="2" applyFill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0" fillId="0" borderId="0" xfId="0" applyFill="1"/>
    <xf numFmtId="3" fontId="30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6" fillId="2" borderId="0" xfId="2" applyFill="1" applyAlignment="1">
      <alignment vertical="center"/>
    </xf>
    <xf numFmtId="170" fontId="52" fillId="2" borderId="32" xfId="3" applyNumberFormat="1" applyFont="1" applyFill="1" applyBorder="1" applyAlignment="1">
      <alignment horizontal="right" vertical="center"/>
    </xf>
    <xf numFmtId="165" fontId="52" fillId="2" borderId="31" xfId="3" applyNumberFormat="1" applyFont="1" applyFill="1" applyBorder="1" applyAlignment="1">
      <alignment horizontal="left" vertical="center"/>
    </xf>
    <xf numFmtId="170" fontId="52" fillId="8" borderId="32" xfId="3" applyNumberFormat="1" applyFont="1" applyFill="1" applyBorder="1" applyAlignment="1">
      <alignment horizontal="right" vertical="center"/>
    </xf>
    <xf numFmtId="165" fontId="52" fillId="8" borderId="31" xfId="3" applyNumberFormat="1" applyFont="1" applyFill="1" applyBorder="1" applyAlignment="1">
      <alignment horizontal="left" vertical="center"/>
    </xf>
    <xf numFmtId="171" fontId="0" fillId="2" borderId="0" xfId="3" applyNumberFormat="1" applyFont="1" applyFill="1" applyAlignment="1">
      <alignment horizontal="center" vertical="center"/>
    </xf>
    <xf numFmtId="171" fontId="0" fillId="2" borderId="16" xfId="3" applyNumberFormat="1" applyFont="1" applyFill="1" applyBorder="1" applyAlignment="1">
      <alignment horizontal="center" vertical="center"/>
    </xf>
    <xf numFmtId="10" fontId="52" fillId="8" borderId="31" xfId="3" applyNumberFormat="1" applyFont="1" applyFill="1" applyBorder="1" applyAlignment="1">
      <alignment horizontal="left" vertical="center"/>
    </xf>
    <xf numFmtId="172" fontId="56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2" fillId="0" borderId="0" xfId="0" applyFont="1"/>
    <xf numFmtId="0" fontId="38" fillId="2" borderId="0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10" fontId="45" fillId="2" borderId="0" xfId="0" applyNumberFormat="1" applyFont="1" applyFill="1" applyAlignment="1">
      <alignment horizontal="right" vertical="center"/>
    </xf>
    <xf numFmtId="0" fontId="45" fillId="2" borderId="0" xfId="0" applyFont="1" applyFill="1" applyAlignment="1">
      <alignment horizontal="right" vertical="center"/>
    </xf>
    <xf numFmtId="165" fontId="45" fillId="2" borderId="0" xfId="0" applyNumberFormat="1" applyFont="1" applyFill="1" applyAlignment="1">
      <alignment horizontal="right" vertical="center"/>
    </xf>
    <xf numFmtId="0" fontId="1" fillId="5" borderId="0" xfId="0" applyFont="1" applyFill="1" applyBorder="1" applyAlignment="1">
      <alignment horizontal="right" vertical="center"/>
    </xf>
    <xf numFmtId="4" fontId="0" fillId="2" borderId="0" xfId="0" applyNumberFormat="1" applyFill="1" applyAlignment="1">
      <alignment horizontal="right" vertical="center" indent="1"/>
    </xf>
    <xf numFmtId="4" fontId="0" fillId="2" borderId="0" xfId="3" applyNumberFormat="1" applyFont="1" applyFill="1" applyAlignment="1">
      <alignment horizontal="right" vertical="center" indent="1"/>
    </xf>
    <xf numFmtId="4" fontId="0" fillId="2" borderId="0" xfId="0" applyNumberFormat="1" applyFont="1" applyFill="1" applyAlignment="1">
      <alignment horizontal="right" vertical="center" indent="1"/>
    </xf>
    <xf numFmtId="4" fontId="2" fillId="2" borderId="0" xfId="0" applyNumberFormat="1" applyFont="1" applyFill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2" fontId="30" fillId="2" borderId="0" xfId="0" applyNumberFormat="1" applyFont="1" applyFill="1" applyAlignment="1">
      <alignment horizontal="right" vertical="center" indent="1"/>
    </xf>
    <xf numFmtId="0" fontId="1" fillId="5" borderId="29" xfId="0" applyFont="1" applyFill="1" applyBorder="1" applyAlignment="1">
      <alignment horizontal="right" vertical="center" indent="1"/>
    </xf>
    <xf numFmtId="0" fontId="1" fillId="5" borderId="0" xfId="0" applyFont="1" applyFill="1" applyBorder="1" applyAlignment="1">
      <alignment horizontal="right" vertical="center" indent="1"/>
    </xf>
    <xf numFmtId="0" fontId="1" fillId="5" borderId="27" xfId="0" applyFont="1" applyFill="1" applyBorder="1" applyAlignment="1">
      <alignment horizontal="right" vertical="center" indent="1"/>
    </xf>
    <xf numFmtId="0" fontId="15" fillId="4" borderId="4" xfId="0" applyFont="1" applyFill="1" applyBorder="1" applyAlignment="1">
      <alignment horizontal="right" vertical="center" wrapText="1" indent="1"/>
    </xf>
    <xf numFmtId="0" fontId="15" fillId="4" borderId="0" xfId="0" applyFont="1" applyFill="1" applyBorder="1" applyAlignment="1">
      <alignment horizontal="right" vertical="center" wrapText="1" indent="1"/>
    </xf>
    <xf numFmtId="0" fontId="49" fillId="4" borderId="0" xfId="0" applyFont="1" applyFill="1" applyBorder="1" applyAlignment="1">
      <alignment horizontal="right" vertical="center" wrapText="1" indent="1"/>
    </xf>
    <xf numFmtId="3" fontId="30" fillId="2" borderId="0" xfId="0" applyNumberFormat="1" applyFont="1" applyFill="1" applyAlignment="1">
      <alignment horizontal="right" vertical="center" indent="1"/>
    </xf>
    <xf numFmtId="0" fontId="30" fillId="2" borderId="0" xfId="0" applyFont="1" applyFill="1" applyAlignment="1">
      <alignment horizontal="right" vertical="center" indent="1"/>
    </xf>
    <xf numFmtId="9" fontId="30" fillId="2" borderId="0" xfId="3" applyFont="1" applyFill="1" applyAlignment="1">
      <alignment horizontal="right" vertical="center" indent="1"/>
    </xf>
    <xf numFmtId="3" fontId="30" fillId="2" borderId="0" xfId="0" applyNumberFormat="1" applyFont="1" applyFill="1" applyBorder="1" applyAlignment="1">
      <alignment horizontal="right" vertical="center" indent="1"/>
    </xf>
    <xf numFmtId="9" fontId="30" fillId="2" borderId="0" xfId="3" applyFont="1" applyFill="1" applyBorder="1" applyAlignment="1">
      <alignment horizontal="right" vertical="center" indent="1"/>
    </xf>
    <xf numFmtId="0" fontId="30" fillId="2" borderId="0" xfId="0" applyNumberFormat="1" applyFont="1" applyFill="1" applyBorder="1" applyAlignment="1">
      <alignment horizontal="right" vertical="center" indent="1"/>
    </xf>
    <xf numFmtId="10" fontId="30" fillId="2" borderId="0" xfId="3" applyNumberFormat="1" applyFont="1" applyFill="1" applyBorder="1" applyAlignment="1">
      <alignment horizontal="right" vertical="center" indent="1"/>
    </xf>
    <xf numFmtId="9" fontId="0" fillId="2" borderId="0" xfId="3" applyFont="1" applyFill="1" applyAlignment="1">
      <alignment horizontal="right" vertical="center" indent="1"/>
    </xf>
    <xf numFmtId="9" fontId="13" fillId="2" borderId="0" xfId="3" applyFont="1" applyFill="1" applyAlignment="1">
      <alignment horizontal="right" vertical="center" indent="1"/>
    </xf>
    <xf numFmtId="10" fontId="0" fillId="2" borderId="0" xfId="3" applyNumberFormat="1" applyFont="1" applyFill="1" applyAlignment="1">
      <alignment horizontal="center" vertical="center"/>
    </xf>
    <xf numFmtId="10" fontId="0" fillId="2" borderId="0" xfId="3" applyNumberFormat="1" applyFont="1" applyFill="1" applyAlignment="1">
      <alignment horizontal="right" vertical="center" indent="1"/>
    </xf>
    <xf numFmtId="10" fontId="13" fillId="2" borderId="0" xfId="3" applyNumberFormat="1" applyFont="1" applyFill="1" applyAlignment="1">
      <alignment horizontal="right" vertical="center" indent="1"/>
    </xf>
    <xf numFmtId="10" fontId="2" fillId="2" borderId="0" xfId="3" applyNumberFormat="1" applyFont="1" applyFill="1" applyAlignment="1">
      <alignment horizontal="right" vertical="center" indent="1"/>
    </xf>
    <xf numFmtId="4" fontId="1" fillId="5" borderId="0" xfId="0" applyNumberFormat="1" applyFont="1" applyFill="1" applyBorder="1" applyAlignment="1">
      <alignment horizontal="right" vertical="center" indent="1"/>
    </xf>
    <xf numFmtId="4" fontId="1" fillId="5" borderId="0" xfId="0" applyNumberFormat="1" applyFont="1" applyFill="1" applyBorder="1" applyAlignment="1">
      <alignment horizontal="right" vertical="top" indent="1"/>
    </xf>
    <xf numFmtId="0" fontId="1" fillId="5" borderId="0" xfId="0" applyFont="1" applyFill="1" applyBorder="1" applyAlignment="1">
      <alignment horizontal="right" vertical="top" indent="1"/>
    </xf>
    <xf numFmtId="0" fontId="0" fillId="2" borderId="0" xfId="0" applyFill="1" applyAlignment="1">
      <alignment horizontal="right" vertical="center" indent="1"/>
    </xf>
    <xf numFmtId="0" fontId="0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73" fontId="0" fillId="2" borderId="0" xfId="3" applyNumberFormat="1" applyFont="1" applyFill="1" applyAlignment="1">
      <alignment horizontal="center" vertical="center"/>
    </xf>
    <xf numFmtId="173" fontId="0" fillId="2" borderId="0" xfId="3" applyNumberFormat="1" applyFont="1" applyFill="1" applyAlignment="1">
      <alignment horizontal="right" vertical="center" indent="1"/>
    </xf>
    <xf numFmtId="173" fontId="13" fillId="2" borderId="0" xfId="3" applyNumberFormat="1" applyFont="1" applyFill="1" applyAlignment="1">
      <alignment horizontal="right" vertical="center" indent="1"/>
    </xf>
    <xf numFmtId="173" fontId="2" fillId="2" borderId="0" xfId="3" applyNumberFormat="1" applyFont="1" applyFill="1" applyAlignment="1">
      <alignment horizontal="right" vertical="center" indent="1"/>
    </xf>
    <xf numFmtId="10" fontId="0" fillId="2" borderId="0" xfId="0" applyNumberFormat="1" applyFont="1" applyFill="1" applyAlignment="1">
      <alignment horizontal="right" vertical="center" indent="1"/>
    </xf>
    <xf numFmtId="10" fontId="2" fillId="2" borderId="0" xfId="0" applyNumberFormat="1" applyFont="1" applyFill="1" applyAlignment="1">
      <alignment horizontal="right" vertical="center" indent="1"/>
    </xf>
    <xf numFmtId="10" fontId="0" fillId="2" borderId="0" xfId="0" applyNumberFormat="1" applyFill="1" applyAlignment="1">
      <alignment horizontal="right" vertical="center" indent="1"/>
    </xf>
    <xf numFmtId="3" fontId="0" fillId="2" borderId="0" xfId="0" applyNumberFormat="1" applyFont="1" applyFill="1" applyAlignment="1">
      <alignment horizontal="right" vertical="center" indent="1"/>
    </xf>
    <xf numFmtId="3" fontId="2" fillId="2" borderId="0" xfId="0" applyNumberFormat="1" applyFont="1" applyFill="1" applyAlignment="1">
      <alignment horizontal="right" vertical="center" indent="1"/>
    </xf>
    <xf numFmtId="0" fontId="29" fillId="5" borderId="0" xfId="0" applyFont="1" applyFill="1" applyBorder="1" applyAlignment="1">
      <alignment horizontal="right" vertical="center" indent="1"/>
    </xf>
    <xf numFmtId="0" fontId="15" fillId="5" borderId="0" xfId="0" applyFont="1" applyFill="1" applyAlignment="1">
      <alignment horizontal="right" vertical="center" indent="1"/>
    </xf>
    <xf numFmtId="0" fontId="15" fillId="5" borderId="0" xfId="0" applyFont="1" applyFill="1" applyBorder="1" applyAlignment="1">
      <alignment horizontal="right" vertical="center" indent="1"/>
    </xf>
    <xf numFmtId="0" fontId="15" fillId="5" borderId="0" xfId="0" applyFont="1" applyFill="1" applyAlignment="1">
      <alignment horizontal="right" vertical="center" wrapText="1" indent="1"/>
    </xf>
    <xf numFmtId="4" fontId="27" fillId="2" borderId="0" xfId="0" applyNumberFormat="1" applyFont="1" applyFill="1" applyAlignment="1">
      <alignment horizontal="right" vertical="center" indent="1"/>
    </xf>
    <xf numFmtId="165" fontId="27" fillId="2" borderId="0" xfId="0" applyNumberFormat="1" applyFont="1" applyFill="1" applyAlignment="1">
      <alignment horizontal="right" vertical="center" indent="1"/>
    </xf>
    <xf numFmtId="0" fontId="27" fillId="2" borderId="0" xfId="0" applyFont="1" applyFill="1" applyAlignment="1">
      <alignment horizontal="right" vertical="center" indent="1"/>
    </xf>
    <xf numFmtId="165" fontId="27" fillId="2" borderId="0" xfId="3" applyNumberFormat="1" applyFont="1" applyFill="1" applyAlignment="1">
      <alignment horizontal="right" vertical="center" indent="1"/>
    </xf>
    <xf numFmtId="4" fontId="26" fillId="2" borderId="7" xfId="0" applyNumberFormat="1" applyFont="1" applyFill="1" applyBorder="1" applyAlignment="1">
      <alignment horizontal="right" vertical="center" indent="1"/>
    </xf>
    <xf numFmtId="165" fontId="26" fillId="2" borderId="7" xfId="0" applyNumberFormat="1" applyFont="1" applyFill="1" applyBorder="1" applyAlignment="1">
      <alignment horizontal="right" vertical="center" indent="1"/>
    </xf>
    <xf numFmtId="0" fontId="26" fillId="2" borderId="7" xfId="0" applyFont="1" applyFill="1" applyBorder="1" applyAlignment="1">
      <alignment horizontal="right" vertical="center" indent="1"/>
    </xf>
    <xf numFmtId="10" fontId="27" fillId="2" borderId="0" xfId="0" applyNumberFormat="1" applyFont="1" applyFill="1" applyAlignment="1">
      <alignment horizontal="left" vertical="center"/>
    </xf>
    <xf numFmtId="10" fontId="27" fillId="2" borderId="0" xfId="0" applyNumberFormat="1" applyFont="1" applyFill="1" applyAlignment="1">
      <alignment horizontal="left" vertical="center" indent="1"/>
    </xf>
    <xf numFmtId="0" fontId="15" fillId="5" borderId="0" xfId="0" applyFont="1" applyFill="1" applyAlignment="1">
      <alignment horizontal="center" vertical="center"/>
    </xf>
    <xf numFmtId="0" fontId="1" fillId="9" borderId="25" xfId="0" applyFont="1" applyFill="1" applyBorder="1" applyAlignment="1">
      <alignment horizontal="right" vertical="center" indent="1"/>
    </xf>
    <xf numFmtId="0" fontId="1" fillId="9" borderId="26" xfId="0" applyFont="1" applyFill="1" applyBorder="1" applyAlignment="1">
      <alignment horizontal="right" vertical="center" indent="1"/>
    </xf>
    <xf numFmtId="3" fontId="0" fillId="2" borderId="18" xfId="0" applyNumberFormat="1" applyFill="1" applyBorder="1" applyAlignment="1">
      <alignment horizontal="right" vertical="center" indent="1"/>
    </xf>
    <xf numFmtId="0" fontId="0" fillId="2" borderId="19" xfId="0" applyFill="1" applyBorder="1" applyAlignment="1">
      <alignment horizontal="right" vertical="center" indent="1"/>
    </xf>
    <xf numFmtId="3" fontId="0" fillId="2" borderId="0" xfId="0" applyNumberFormat="1" applyFill="1" applyBorder="1" applyAlignment="1">
      <alignment horizontal="right" vertical="center" indent="1"/>
    </xf>
    <xf numFmtId="167" fontId="0" fillId="2" borderId="0" xfId="0" applyNumberFormat="1" applyFill="1" applyBorder="1" applyAlignment="1">
      <alignment horizontal="right" vertical="center" indent="1"/>
    </xf>
    <xf numFmtId="168" fontId="0" fillId="2" borderId="21" xfId="0" applyNumberFormat="1" applyFill="1" applyBorder="1" applyAlignment="1">
      <alignment horizontal="right" vertical="center" indent="1"/>
    </xf>
    <xf numFmtId="3" fontId="0" fillId="2" borderId="16" xfId="0" applyNumberFormat="1" applyFill="1" applyBorder="1" applyAlignment="1">
      <alignment horizontal="right" vertical="center" indent="1"/>
    </xf>
    <xf numFmtId="0" fontId="0" fillId="2" borderId="23" xfId="0" applyFill="1" applyBorder="1" applyAlignment="1">
      <alignment horizontal="right" vertical="center" indent="1"/>
    </xf>
    <xf numFmtId="2" fontId="30" fillId="2" borderId="0" xfId="0" applyNumberFormat="1" applyFont="1" applyFill="1" applyBorder="1" applyAlignment="1">
      <alignment horizontal="right" vertical="center" indent="1"/>
    </xf>
    <xf numFmtId="0" fontId="6" fillId="2" borderId="0" xfId="2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69" fillId="3" borderId="0" xfId="0" applyFont="1" applyFill="1" applyAlignment="1">
      <alignment vertical="center"/>
    </xf>
    <xf numFmtId="0" fontId="30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left" vertical="center"/>
    </xf>
    <xf numFmtId="0" fontId="30" fillId="3" borderId="0" xfId="0" applyFont="1" applyFill="1" applyAlignment="1">
      <alignment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10" fontId="30" fillId="2" borderId="0" xfId="0" applyNumberFormat="1" applyFont="1" applyFill="1" applyAlignment="1">
      <alignment horizontal="right" vertical="center" indent="1"/>
    </xf>
    <xf numFmtId="0" fontId="30" fillId="0" borderId="0" xfId="0" applyFont="1"/>
    <xf numFmtId="165" fontId="30" fillId="0" borderId="0" xfId="3" applyNumberFormat="1" applyFont="1" applyAlignment="1">
      <alignment horizontal="right" vertical="center" indent="1"/>
    </xf>
    <xf numFmtId="0" fontId="30" fillId="2" borderId="0" xfId="0" applyNumberFormat="1" applyFont="1" applyFill="1" applyBorder="1" applyAlignment="1">
      <alignment horizontal="center" vertical="center"/>
    </xf>
    <xf numFmtId="165" fontId="30" fillId="2" borderId="0" xfId="3" applyNumberFormat="1" applyFont="1" applyFill="1" applyBorder="1" applyAlignment="1">
      <alignment horizontal="center" vertical="center"/>
    </xf>
    <xf numFmtId="9" fontId="30" fillId="2" borderId="0" xfId="3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Border="1" applyAlignment="1">
      <alignment wrapText="1"/>
    </xf>
    <xf numFmtId="3" fontId="21" fillId="2" borderId="32" xfId="0" applyNumberFormat="1" applyFont="1" applyFill="1" applyBorder="1" applyAlignment="1">
      <alignment horizontal="center" vertical="center" wrapText="1"/>
    </xf>
    <xf numFmtId="3" fontId="21" fillId="2" borderId="3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21" fillId="2" borderId="32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166" fontId="23" fillId="2" borderId="32" xfId="0" applyNumberFormat="1" applyFont="1" applyFill="1" applyBorder="1" applyAlignment="1">
      <alignment horizontal="center" vertical="center"/>
    </xf>
    <xf numFmtId="166" fontId="23" fillId="2" borderId="31" xfId="0" applyNumberFormat="1" applyFont="1" applyFill="1" applyBorder="1" applyAlignment="1">
      <alignment horizontal="center" vertical="center"/>
    </xf>
    <xf numFmtId="166" fontId="23" fillId="2" borderId="0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3" fontId="21" fillId="8" borderId="30" xfId="0" applyNumberFormat="1" applyFont="1" applyFill="1" applyBorder="1" applyAlignment="1">
      <alignment horizontal="center" vertical="center"/>
    </xf>
    <xf numFmtId="166" fontId="23" fillId="8" borderId="30" xfId="0" applyNumberFormat="1" applyFont="1" applyFill="1" applyBorder="1" applyAlignment="1">
      <alignment horizontal="center" vertical="center"/>
    </xf>
    <xf numFmtId="3" fontId="21" fillId="8" borderId="32" xfId="0" applyNumberFormat="1" applyFont="1" applyFill="1" applyBorder="1" applyAlignment="1">
      <alignment horizontal="center" vertical="center" wrapText="1"/>
    </xf>
    <xf numFmtId="3" fontId="21" fillId="8" borderId="31" xfId="0" applyNumberFormat="1" applyFont="1" applyFill="1" applyBorder="1" applyAlignment="1">
      <alignment horizontal="center" vertical="center" wrapText="1"/>
    </xf>
    <xf numFmtId="0" fontId="29" fillId="8" borderId="31" xfId="0" applyFont="1" applyFill="1" applyBorder="1" applyAlignment="1">
      <alignment horizontal="left" vertical="center" wrapText="1"/>
    </xf>
    <xf numFmtId="0" fontId="29" fillId="2" borderId="31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3" fontId="21" fillId="2" borderId="31" xfId="0" applyNumberFormat="1" applyFont="1" applyFill="1" applyBorder="1" applyAlignment="1">
      <alignment horizontal="center" vertical="center"/>
    </xf>
    <xf numFmtId="3" fontId="21" fillId="8" borderId="32" xfId="0" applyNumberFormat="1" applyFont="1" applyFill="1" applyBorder="1" applyAlignment="1">
      <alignment horizontal="center" vertical="center"/>
    </xf>
    <xf numFmtId="3" fontId="21" fillId="8" borderId="0" xfId="0" applyNumberFormat="1" applyFont="1" applyFill="1" applyBorder="1" applyAlignment="1">
      <alignment horizontal="center" vertical="center"/>
    </xf>
    <xf numFmtId="3" fontId="21" fillId="8" borderId="31" xfId="0" applyNumberFormat="1" applyFont="1" applyFill="1" applyBorder="1" applyAlignment="1">
      <alignment horizontal="center" vertical="center"/>
    </xf>
    <xf numFmtId="166" fontId="23" fillId="8" borderId="32" xfId="0" applyNumberFormat="1" applyFont="1" applyFill="1" applyBorder="1" applyAlignment="1">
      <alignment horizontal="center" vertical="center"/>
    </xf>
    <xf numFmtId="166" fontId="23" fillId="8" borderId="0" xfId="0" applyNumberFormat="1" applyFont="1" applyFill="1" applyBorder="1" applyAlignment="1">
      <alignment horizontal="center" vertical="center"/>
    </xf>
    <xf numFmtId="166" fontId="23" fillId="8" borderId="31" xfId="0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right" vertical="center" wrapText="1" indent="1"/>
    </xf>
    <xf numFmtId="0" fontId="15" fillId="4" borderId="0" xfId="0" applyFont="1" applyFill="1" applyBorder="1" applyAlignment="1">
      <alignment horizontal="right" vertical="center" wrapText="1" indent="1"/>
    </xf>
    <xf numFmtId="0" fontId="15" fillId="4" borderId="0" xfId="0" applyFont="1" applyFill="1" applyBorder="1" applyAlignment="1">
      <alignment horizontal="center"/>
    </xf>
    <xf numFmtId="0" fontId="68" fillId="2" borderId="0" xfId="2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169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FF"/>
      <color rgb="FF009900"/>
      <color rgb="FF076A92"/>
      <color rgb="FFC06C7C"/>
      <color rgb="FFFFFF66"/>
      <color rgb="FFBCEAFC"/>
      <color rgb="FFA0E0FA"/>
      <color rgb="FFFFFF99"/>
      <color rgb="FF595959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CL'!$A$53</c:f>
          <c:strCache>
            <c:ptCount val="1"/>
            <c:pt idx="0">
              <c:v>Endeavour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CL'!$C$53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CL'!$D$53:$K$53</c:f>
              <c:numCache>
                <c:formatCode>#,##0</c:formatCode>
                <c:ptCount val="8"/>
                <c:pt idx="0">
                  <c:v>0</c:v>
                </c:pt>
                <c:pt idx="1">
                  <c:v>1609</c:v>
                </c:pt>
                <c:pt idx="2">
                  <c:v>1639.9042799999997</c:v>
                </c:pt>
                <c:pt idx="3">
                  <c:v>1833.8364799999999</c:v>
                </c:pt>
                <c:pt idx="4">
                  <c:v>1435.6094499999999</c:v>
                </c:pt>
                <c:pt idx="5">
                  <c:v>1435.6094499999999</c:v>
                </c:pt>
                <c:pt idx="6">
                  <c:v>1652.306443165209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CL'!$C$54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CL'!$L$54</c:f>
                  <c:strCache>
                    <c:ptCount val="1"/>
                    <c:pt idx="0">
                      <c:v>+30.9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{52FD943B-3656-4DD6-B627-43A3DA4DBBE8}</c15:txfldGUID>
                      <c15:f>'Res wo CL'!$L$54</c15:f>
                      <c15:dlblFieldTableCache>
                        <c:ptCount val="1"/>
                        <c:pt idx="0">
                          <c:v>+30.9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CL'!$D$54:$K$54</c:f>
              <c:numCache>
                <c:formatCode>#,##0.0</c:formatCode>
                <c:ptCount val="8"/>
                <c:pt idx="0" formatCode="#,##0">
                  <c:v>622.77787000000001</c:v>
                </c:pt>
                <c:pt idx="1">
                  <c:v>30.904279999999858</c:v>
                </c:pt>
                <c:pt idx="7" formatCode="#,##0">
                  <c:v>653.68214999999987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CL'!$C$55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CL'!$L$55</c:f>
                  <c:strCache>
                    <c:ptCount val="1"/>
                    <c:pt idx="0">
                      <c:v>+193.9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{5F826955-E247-4E9A-B0C9-3EA024321EFF}</c15:txfldGUID>
                      <c15:f>'Res wo CL'!$L$55</c15:f>
                      <c15:dlblFieldTableCache>
                        <c:ptCount val="1"/>
                        <c:pt idx="0">
                          <c:v>+193.9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CL'!$D$55:$K$55</c:f>
              <c:numCache>
                <c:formatCode>#,##0.0</c:formatCode>
                <c:ptCount val="8"/>
                <c:pt idx="0" formatCode="#,##0">
                  <c:v>475.77530000000002</c:v>
                </c:pt>
                <c:pt idx="2">
                  <c:v>193.93220000000008</c:v>
                </c:pt>
                <c:pt idx="7" formatCode="#,##0">
                  <c:v>669.7075000000001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CL'!$C$56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CL'!$L$56</c:f>
                  <c:strCache>
                    <c:ptCount val="1"/>
                    <c:pt idx="0">
                      <c:v>+8.1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{FE1FB486-3170-48EF-BC57-6F1D8E7D4FA9}</c15:txfldGUID>
                      <c15:f>'Res wo CL'!$L$56</c15:f>
                      <c15:dlblFieldTableCache>
                        <c:ptCount val="1"/>
                        <c:pt idx="0">
                          <c:v>+8.1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CL'!$D$56:$K$56</c:f>
              <c:numCache>
                <c:formatCode>#,##0.0</c:formatCode>
                <c:ptCount val="8"/>
                <c:pt idx="0" formatCode="#,##0">
                  <c:v>104.0809</c:v>
                </c:pt>
                <c:pt idx="3">
                  <c:v>8.1389000000000067</c:v>
                </c:pt>
                <c:pt idx="7" formatCode="#,##0">
                  <c:v>112.21980000000001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CL'!$C$58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2-45E7-829C-440C2C7D1AEF}"/>
                </c:ext>
              </c:extLst>
            </c:dLbl>
            <c:dLbl>
              <c:idx val="4"/>
              <c:tx>
                <c:strRef>
                  <c:f>'Res wo CL'!$L$58</c:f>
                  <c:strCache>
                    <c:ptCount val="1"/>
                    <c:pt idx="0">
                      <c:v>+216.7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{F6CB8F4E-5ACC-4F0B-A8F3-2303FE51F2F0}</c15:txfldGUID>
                      <c15:f>'Res wo CL'!$L$58</c15:f>
                      <c15:dlblFieldTableCache>
                        <c:ptCount val="1"/>
                        <c:pt idx="0">
                          <c:v>+216.7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0F9-4E69-A6C0-4875FB7503E8}"/>
                </c:ext>
              </c:extLst>
            </c:dLbl>
            <c:dLbl>
              <c:idx val="5"/>
              <c:layout>
                <c:manualLayout>
                  <c:x val="-7.4275788706771152E-17"/>
                  <c:y val="5.0342426071949116E-2"/>
                </c:manualLayout>
              </c:layout>
              <c:tx>
                <c:strRef>
                  <c:f>'Res wo CL'!$L$58</c:f>
                  <c:strCache>
                    <c:ptCount val="1"/>
                    <c:pt idx="0">
                      <c:v>+216.7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{046C1ED5-99E5-415F-95A6-6E33140A11FA}</c15:txfldGUID>
                      <c15:f>'Res wo CL'!$L$58</c15:f>
                      <c15:dlblFieldTableCache>
                        <c:ptCount val="1"/>
                        <c:pt idx="0">
                          <c:v>+216.7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9B2-45E7-829C-440C2C7D1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CL'!$D$58:$K$58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216.69699316520897</c:v>
                </c:pt>
                <c:pt idx="7" formatCode="#,##0">
                  <c:v>216.69699316520897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CL'!$C$59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B2-45E7-829C-440C2C7D1AEF}"/>
                </c:ext>
              </c:extLst>
            </c:dLbl>
            <c:dLbl>
              <c:idx val="6"/>
              <c:layout>
                <c:manualLayout>
                  <c:x val="0"/>
                  <c:y val="4.6469931758722258E-2"/>
                </c:manualLayout>
              </c:layout>
              <c:tx>
                <c:strRef>
                  <c:f>'Res wo CL'!$L$59</c:f>
                  <c:strCache>
                    <c:ptCount val="1"/>
                    <c:pt idx="0">
                      <c:v>+183.6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{F2D2EAE5-EA20-4954-90D1-B23768438DDF}</c15:txfldGUID>
                      <c15:f>'Res wo CL'!$L$59</c15:f>
                      <c15:dlblFieldTableCache>
                        <c:ptCount val="1"/>
                        <c:pt idx="0">
                          <c:v>+183.6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9B2-45E7-829C-440C2C7D1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CL'!$D$59:$K$59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183.58960479613438</c:v>
                </c:pt>
                <c:pt idx="7" formatCode="#,##0">
                  <c:v>183.58960479613438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2-45E7-829C-440C2C7D1AEF}"/>
            </c:ext>
          </c:extLst>
        </c:ser>
        <c:ser>
          <c:idx val="7"/>
          <c:order val="6"/>
          <c:tx>
            <c:strRef>
              <c:f>'Res wo CL'!$C$57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4275788706771152E-17"/>
                  <c:y val="8.9067369204217664E-2"/>
                </c:manualLayout>
              </c:layout>
              <c:tx>
                <c:strRef>
                  <c:f>'Res wo CL'!$L$57</c:f>
                  <c:strCache>
                    <c:ptCount val="1"/>
                    <c:pt idx="0">
                      <c:v>-406.4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{0F7159C3-B15C-4371-8D2B-6DA5DA31A578}</c15:txfldGUID>
                      <c15:f>'Res wo CL'!$L$57</c15:f>
                      <c15:dlblFieldTableCache>
                        <c:ptCount val="1"/>
                        <c:pt idx="0">
                          <c:v>-406.4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9B2-45E7-829C-440C2C7D1A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2-45E7-829C-440C2C7D1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CL'!$D$57:$K$57</c:f>
              <c:numCache>
                <c:formatCode>#,##0.0</c:formatCode>
                <c:ptCount val="8"/>
                <c:pt idx="0" formatCode="#,##0">
                  <c:v>406.36592999999993</c:v>
                </c:pt>
                <c:pt idx="4">
                  <c:v>406.36592999999993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2-45E7-829C-440C2C7D1AEF}"/>
            </c:ext>
          </c:extLst>
        </c:ser>
        <c:ser>
          <c:idx val="6"/>
          <c:order val="7"/>
          <c:tx>
            <c:strRef>
              <c:f>'Res wo CL'!$C$60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CL'!$D$60:$K$60</c:f>
              <c:numCache>
                <c:formatCode>#,##0</c:formatCode>
                <c:ptCount val="8"/>
                <c:pt idx="0">
                  <c:v>1609</c:v>
                </c:pt>
                <c:pt idx="7">
                  <c:v>1835.8960479613436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19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CL'!$A$61</c:f>
          <c:strCache>
            <c:ptCount val="1"/>
            <c:pt idx="0">
              <c:v>Essential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CL'!$C$61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CL'!$D$61:$K$61</c:f>
              <c:numCache>
                <c:formatCode>#,##0</c:formatCode>
                <c:ptCount val="8"/>
                <c:pt idx="0">
                  <c:v>0</c:v>
                </c:pt>
                <c:pt idx="1">
                  <c:v>1907</c:v>
                </c:pt>
                <c:pt idx="2">
                  <c:v>1935.02646</c:v>
                </c:pt>
                <c:pt idx="3">
                  <c:v>2115.3142600000001</c:v>
                </c:pt>
                <c:pt idx="4">
                  <c:v>1670.3651799999998</c:v>
                </c:pt>
                <c:pt idx="5">
                  <c:v>1670.3651799999998</c:v>
                </c:pt>
                <c:pt idx="6">
                  <c:v>1882.9850755527086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CL'!$C$62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CL'!$L$62</c:f>
                  <c:strCache>
                    <c:ptCount val="1"/>
                    <c:pt idx="0">
                      <c:v>+28.0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{8F4F14EC-E9AC-498C-8D0E-FAA0897573FE}</c15:txfldGUID>
                      <c15:f>'Res wo CL'!$L$62</c15:f>
                      <c15:dlblFieldTableCache>
                        <c:ptCount val="1"/>
                        <c:pt idx="0">
                          <c:v>+28.0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CL'!$D$62:$K$62</c:f>
              <c:numCache>
                <c:formatCode>#,##0.0</c:formatCode>
                <c:ptCount val="8"/>
                <c:pt idx="0" formatCode="#,##0">
                  <c:v>952.05351999999993</c:v>
                </c:pt>
                <c:pt idx="1">
                  <c:v>28.026460000000043</c:v>
                </c:pt>
                <c:pt idx="7" formatCode="#,##0">
                  <c:v>980.07997999999998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CL'!$C$63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CL'!$L$63</c:f>
                  <c:strCache>
                    <c:ptCount val="1"/>
                    <c:pt idx="0">
                      <c:v>+180.3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{C76FFABE-6051-4914-872A-6CED7874B928}</c15:txfldGUID>
                      <c15:f>'Res wo CL'!$L$63</c15:f>
                      <c15:dlblFieldTableCache>
                        <c:ptCount val="1"/>
                        <c:pt idx="0">
                          <c:v>+180.3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CL'!$D$63:$K$63</c:f>
              <c:numCache>
                <c:formatCode>#,##0.0</c:formatCode>
                <c:ptCount val="8"/>
                <c:pt idx="0" formatCode="#,##0">
                  <c:v>406.5204</c:v>
                </c:pt>
                <c:pt idx="2">
                  <c:v>180.28779999999995</c:v>
                </c:pt>
                <c:pt idx="7" formatCode="#,##0">
                  <c:v>586.80819999999994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CL'!$C$64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CL'!$L$64</c:f>
                  <c:strCache>
                    <c:ptCount val="1"/>
                    <c:pt idx="0">
                      <c:v>+7.1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{1457A3D8-C779-4E45-B2F2-795CF63DB4E9}</c15:txfldGUID>
                      <c15:f>'Res wo CL'!$L$64</c15:f>
                      <c15:dlblFieldTableCache>
                        <c:ptCount val="1"/>
                        <c:pt idx="0">
                          <c:v>+7.1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CL'!$D$64:$K$64</c:f>
              <c:numCache>
                <c:formatCode>#,##0.0</c:formatCode>
                <c:ptCount val="8"/>
                <c:pt idx="0" formatCode="#,##0">
                  <c:v>96.342399999999998</c:v>
                </c:pt>
                <c:pt idx="3">
                  <c:v>7.1345999999999918</c:v>
                </c:pt>
                <c:pt idx="7" formatCode="#,##0">
                  <c:v>103.47699999999999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CL'!$C$66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8-4A15-A2B8-8D4BEE4FD5C1}"/>
                </c:ext>
              </c:extLst>
            </c:dLbl>
            <c:dLbl>
              <c:idx val="4"/>
              <c:tx>
                <c:strRef>
                  <c:f>'Res wo CL'!$L$66</c:f>
                  <c:strCache>
                    <c:ptCount val="1"/>
                    <c:pt idx="0">
                      <c:v>+212.6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{5D86B869-9337-462E-A550-FABFCE4AC684}</c15:txfldGUID>
                      <c15:f>'Res wo CL'!$L$66</c15:f>
                      <c15:dlblFieldTableCache>
                        <c:ptCount val="1"/>
                        <c:pt idx="0">
                          <c:v>+212.6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0F9-4E69-A6C0-4875FB7503E8}"/>
                </c:ext>
              </c:extLst>
            </c:dLbl>
            <c:dLbl>
              <c:idx val="5"/>
              <c:layout>
                <c:manualLayout>
                  <c:x val="0"/>
                  <c:y val="4.6469931758722258E-2"/>
                </c:manualLayout>
              </c:layout>
              <c:tx>
                <c:strRef>
                  <c:f>'Res wo CL'!$L$66</c:f>
                  <c:strCache>
                    <c:ptCount val="1"/>
                    <c:pt idx="0">
                      <c:v>+212.6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{013DBE9B-9D56-421E-BE99-49AA9CDBB6EA}</c15:txfldGUID>
                      <c15:f>'Res wo CL'!$L$66</c15:f>
                      <c15:dlblFieldTableCache>
                        <c:ptCount val="1"/>
                        <c:pt idx="0">
                          <c:v>+212.6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28-4A15-A2B8-8D4BEE4FD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CL'!$D$66:$K$66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212.61989555270895</c:v>
                </c:pt>
                <c:pt idx="7" formatCode="#,##0">
                  <c:v>212.61989555270895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CL'!$C$67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8-4A15-A2B8-8D4BEE4FD5C1}"/>
                </c:ext>
              </c:extLst>
            </c:dLbl>
            <c:dLbl>
              <c:idx val="6"/>
              <c:layout>
                <c:manualLayout>
                  <c:x val="-8.4640450358027651E-17"/>
                  <c:y val="5.0342426071949116E-2"/>
                </c:manualLayout>
              </c:layout>
              <c:tx>
                <c:strRef>
                  <c:f>'Res wo CL'!$L$67</c:f>
                  <c:strCache>
                    <c:ptCount val="1"/>
                    <c:pt idx="0">
                      <c:v>+209.2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{7243EF04-090B-47D7-8935-99B5A4BB70C9}</c15:txfldGUID>
                      <c15:f>'Res wo CL'!$L$67</c15:f>
                      <c15:dlblFieldTableCache>
                        <c:ptCount val="1"/>
                        <c:pt idx="0">
                          <c:v>+209.2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328-4A15-A2B8-8D4BEE4FD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CL'!$D$67:$K$67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209.22056395030086</c:v>
                </c:pt>
                <c:pt idx="7" formatCode="#,##0">
                  <c:v>209.22056395030086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28-4A15-A2B8-8D4BEE4FD5C1}"/>
            </c:ext>
          </c:extLst>
        </c:ser>
        <c:ser>
          <c:idx val="7"/>
          <c:order val="6"/>
          <c:tx>
            <c:strRef>
              <c:f>'Res wo CL'!$C$65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8.1322380577763961E-2"/>
                </c:manualLayout>
              </c:layout>
              <c:tx>
                <c:strRef>
                  <c:f>'Res wo CL'!$L$65</c:f>
                  <c:strCache>
                    <c:ptCount val="1"/>
                    <c:pt idx="0">
                      <c:v>-452.1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{CD479F2C-2EB8-449F-8564-51E90383A44A}</c15:txfldGUID>
                      <c15:f>'Res wo CL'!$L$65</c15:f>
                      <c15:dlblFieldTableCache>
                        <c:ptCount val="1"/>
                        <c:pt idx="0">
                          <c:v>-452.1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328-4A15-A2B8-8D4BEE4FD5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8-4A15-A2B8-8D4BEE4FD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CL'!$D$65:$K$65</c:f>
              <c:numCache>
                <c:formatCode>#,##0.0</c:formatCode>
                <c:ptCount val="8"/>
                <c:pt idx="0" formatCode="#,##0">
                  <c:v>452.08368000000019</c:v>
                </c:pt>
                <c:pt idx="4">
                  <c:v>452.08368000000019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8-4A15-A2B8-8D4BEE4FD5C1}"/>
            </c:ext>
          </c:extLst>
        </c:ser>
        <c:ser>
          <c:idx val="6"/>
          <c:order val="7"/>
          <c:tx>
            <c:strRef>
              <c:f>'Res wo CL'!$C$68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CL'!$D$68:$K$68</c:f>
              <c:numCache>
                <c:formatCode>#,##0</c:formatCode>
                <c:ptCount val="8"/>
                <c:pt idx="0">
                  <c:v>1907</c:v>
                </c:pt>
                <c:pt idx="7">
                  <c:v>2092.2056395030099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1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CL'!$A$69</c:f>
          <c:strCache>
            <c:ptCount val="1"/>
            <c:pt idx="0">
              <c:v>Energex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CL'!$C$69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CL'!$D$69:$K$69</c:f>
              <c:numCache>
                <c:formatCode>#,##0</c:formatCode>
                <c:ptCount val="8"/>
                <c:pt idx="0">
                  <c:v>0</c:v>
                </c:pt>
                <c:pt idx="1">
                  <c:v>1405.1673599999997</c:v>
                </c:pt>
                <c:pt idx="2">
                  <c:v>1405.1673599999997</c:v>
                </c:pt>
                <c:pt idx="3">
                  <c:v>1589.8573599999995</c:v>
                </c:pt>
                <c:pt idx="4">
                  <c:v>1272.7274999999997</c:v>
                </c:pt>
                <c:pt idx="5">
                  <c:v>1272.7274999999997</c:v>
                </c:pt>
                <c:pt idx="6">
                  <c:v>1484.1133778777087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CL'!$C$70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CL'!$L$70</c:f>
                  <c:strCache>
                    <c:ptCount val="1"/>
                    <c:pt idx="0">
                      <c:v>-49.8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{018218D5-72FF-4F13-9BD5-10023DC17BDA}</c15:txfldGUID>
                      <c15:f>'Res wo CL'!$L$70</c15:f>
                      <c15:dlblFieldTableCache>
                        <c:ptCount val="1"/>
                        <c:pt idx="0">
                          <c:v>-49.8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CL'!$D$70:$K$70</c:f>
              <c:numCache>
                <c:formatCode>#,##0.0</c:formatCode>
                <c:ptCount val="8"/>
                <c:pt idx="0" formatCode="#,##0">
                  <c:v>676.75234000000023</c:v>
                </c:pt>
                <c:pt idx="1">
                  <c:v>49.83264000000031</c:v>
                </c:pt>
                <c:pt idx="7" formatCode="#,##0">
                  <c:v>626.91969999999992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CL'!$C$71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1362794538617383E-17"/>
                  <c:y val="3.9597016654774754E-2"/>
                </c:manualLayout>
              </c:layout>
              <c:tx>
                <c:strRef>
                  <c:f>'Res wo CL'!$L$71</c:f>
                  <c:strCache>
                    <c:ptCount val="1"/>
                    <c:pt idx="0">
                      <c:v>+184.7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{502E355D-920F-4971-99A8-C7FFBF9E25D2}</c15:txfldGUID>
                      <c15:f>'Res wo CL'!$L$71</c15:f>
                      <c15:dlblFieldTableCache>
                        <c:ptCount val="1"/>
                        <c:pt idx="0">
                          <c:v>+184.7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CL'!$D$71:$K$71</c:f>
              <c:numCache>
                <c:formatCode>#,##0.0</c:formatCode>
                <c:ptCount val="8"/>
                <c:pt idx="0" formatCode="#,##0">
                  <c:v>374.59180000000003</c:v>
                </c:pt>
                <c:pt idx="2">
                  <c:v>184.68999999999994</c:v>
                </c:pt>
                <c:pt idx="7" formatCode="#,##0">
                  <c:v>559.28179999999998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CL'!$C$72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CL'!$L$72</c:f>
                  <c:strCache>
                    <c:ptCount val="1"/>
                    <c:pt idx="0">
                      <c:v>+1.8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{02B96E34-B561-4CE8-A0FC-33630CB938EE}</c15:txfldGUID>
                      <c15:f>'Res wo CL'!$L$72</c15:f>
                      <c15:dlblFieldTableCache>
                        <c:ptCount val="1"/>
                        <c:pt idx="0">
                          <c:v>+1.8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CL'!$D$72:$K$72</c:f>
              <c:numCache>
                <c:formatCode>#,##0.0</c:formatCode>
                <c:ptCount val="8"/>
                <c:pt idx="0" formatCode="#,##0">
                  <c:v>84.754999999999995</c:v>
                </c:pt>
                <c:pt idx="3">
                  <c:v>1.7710000000000008</c:v>
                </c:pt>
                <c:pt idx="7" formatCode="#,##0">
                  <c:v>86.525999999999996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CL'!$C$74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9-4CA8-8EE7-B592EE55D9D2}"/>
                </c:ext>
              </c:extLst>
            </c:dLbl>
            <c:dLbl>
              <c:idx val="4"/>
              <c:tx>
                <c:strRef>
                  <c:f>'Res wo CL'!$L$74</c:f>
                  <c:strCache>
                    <c:ptCount val="1"/>
                    <c:pt idx="0">
                      <c:v>+211.4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{D834D542-B6AB-4DAB-8C30-8DD8FF185277}</c15:txfldGUID>
                      <c15:f>'Res wo CL'!$L$74</c15:f>
                      <c15:dlblFieldTableCache>
                        <c:ptCount val="1"/>
                        <c:pt idx="0">
                          <c:v>+211.4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0F9-4E69-A6C0-4875FB7503E8}"/>
                </c:ext>
              </c:extLst>
            </c:dLbl>
            <c:dLbl>
              <c:idx val="5"/>
              <c:layout>
                <c:manualLayout>
                  <c:x val="0"/>
                  <c:y val="5.8087414698402826E-2"/>
                </c:manualLayout>
              </c:layout>
              <c:tx>
                <c:strRef>
                  <c:f>'Res wo CL'!$L$74</c:f>
                  <c:strCache>
                    <c:ptCount val="1"/>
                    <c:pt idx="0">
                      <c:v>+211.4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{E4BE4CE8-5BED-4DF3-9B8C-FE7952ECDEC4}</c15:txfldGUID>
                      <c15:f>'Res wo CL'!$L$74</c15:f>
                      <c15:dlblFieldTableCache>
                        <c:ptCount val="1"/>
                        <c:pt idx="0">
                          <c:v>+211.4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079-4CA8-8EE7-B592EE55D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CL'!$D$74:$K$74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211.38587787770896</c:v>
                </c:pt>
                <c:pt idx="7" formatCode="#,##0">
                  <c:v>211.38587787770896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CL'!$C$75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9-4CA8-8EE7-B592EE55D9D2}"/>
                </c:ext>
              </c:extLst>
            </c:dLbl>
            <c:dLbl>
              <c:idx val="6"/>
              <c:layout>
                <c:manualLayout>
                  <c:x val="-1.7107176460526444E-3"/>
                  <c:y val="5.8087414698402756E-2"/>
                </c:manualLayout>
              </c:layout>
              <c:tx>
                <c:strRef>
                  <c:f>'Res wo CL'!$L$75</c:f>
                  <c:strCache>
                    <c:ptCount val="1"/>
                    <c:pt idx="0">
                      <c:v>+136.1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{42503C2E-4B76-4CFA-874E-656C8A8561A6}</c15:txfldGUID>
                      <c15:f>'Res wo CL'!$L$75</c15:f>
                      <c15:dlblFieldTableCache>
                        <c:ptCount val="1"/>
                        <c:pt idx="0">
                          <c:v>+136.1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079-4CA8-8EE7-B592EE55D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wo CL'!$D$75:$K$75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136.09773334249735</c:v>
                </c:pt>
                <c:pt idx="7" formatCode="#,##0">
                  <c:v>136.09773334249735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9-4CA8-8EE7-B592EE55D9D2}"/>
            </c:ext>
          </c:extLst>
        </c:ser>
        <c:ser>
          <c:idx val="7"/>
          <c:order val="6"/>
          <c:tx>
            <c:strRef>
              <c:f>'Res wo CL'!$C$73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0.10068485214389823"/>
                </c:manualLayout>
              </c:layout>
              <c:tx>
                <c:strRef>
                  <c:f>'Res wo CL'!$L$73</c:f>
                  <c:strCache>
                    <c:ptCount val="1"/>
                    <c:pt idx="0">
                      <c:v>-318.9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{C8AF85F5-6EDD-40BF-BB82-A47F7FF4C8B5}</c15:txfldGUID>
                      <c15:f>'Res wo CL'!$L$73</c15:f>
                      <c15:dlblFieldTableCache>
                        <c:ptCount val="1"/>
                        <c:pt idx="0">
                          <c:v>-318.9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079-4CA8-8EE7-B592EE55D9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9-4CA8-8EE7-B592EE55D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wo CL'!$D$73:$K$73</c:f>
              <c:numCache>
                <c:formatCode>#,##0.0</c:formatCode>
                <c:ptCount val="8"/>
                <c:pt idx="0" formatCode="#,##0">
                  <c:v>318.90085999999974</c:v>
                </c:pt>
                <c:pt idx="4">
                  <c:v>318.90085999999974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9-4CA8-8EE7-B592EE55D9D2}"/>
            </c:ext>
          </c:extLst>
        </c:ser>
        <c:ser>
          <c:idx val="6"/>
          <c:order val="7"/>
          <c:tx>
            <c:strRef>
              <c:f>'Res wo CL'!$C$76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CL'!$D$76:$K$76</c:f>
              <c:numCache>
                <c:formatCode>#,##0</c:formatCode>
                <c:ptCount val="8"/>
                <c:pt idx="0">
                  <c:v>1455</c:v>
                </c:pt>
                <c:pt idx="7">
                  <c:v>1620.2111112202062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17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CL'!$A$77</c:f>
          <c:strCache>
            <c:ptCount val="1"/>
            <c:pt idx="0">
              <c:v>SAPN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CL'!$C$77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CL'!$D$77:$K$77</c:f>
              <c:numCache>
                <c:formatCode>#,##0</c:formatCode>
                <c:ptCount val="8"/>
                <c:pt idx="0">
                  <c:v>0</c:v>
                </c:pt>
                <c:pt idx="1">
                  <c:v>1716</c:v>
                </c:pt>
                <c:pt idx="2">
                  <c:v>1723.9431</c:v>
                </c:pt>
                <c:pt idx="3">
                  <c:v>1790.1631</c:v>
                </c:pt>
                <c:pt idx="4">
                  <c:v>1508.3628999999999</c:v>
                </c:pt>
                <c:pt idx="5">
                  <c:v>1508.3628999999999</c:v>
                </c:pt>
                <c:pt idx="6">
                  <c:v>1729.7539996152088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CL'!$C$78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CL'!$L$78</c:f>
                  <c:strCache>
                    <c:ptCount val="1"/>
                    <c:pt idx="0">
                      <c:v>+7.9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{FAE408CC-FF95-4D27-8BFB-7EAE17714EDB}</c15:txfldGUID>
                      <c15:f>'Res wo CL'!$L$78</c15:f>
                      <c15:dlblFieldTableCache>
                        <c:ptCount val="1"/>
                        <c:pt idx="0">
                          <c:v>+7.9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CL'!$D$78:$K$78</c:f>
              <c:numCache>
                <c:formatCode>#,##0.0</c:formatCode>
                <c:ptCount val="8"/>
                <c:pt idx="0" formatCode="#,##0">
                  <c:v>818.81580000000008</c:v>
                </c:pt>
                <c:pt idx="1">
                  <c:v>7.9430999999999585</c:v>
                </c:pt>
                <c:pt idx="7" formatCode="#,##0">
                  <c:v>826.75890000000004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CL'!$C$79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CL'!$L$79</c:f>
                  <c:strCache>
                    <c:ptCount val="1"/>
                    <c:pt idx="0">
                      <c:v>+66.3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{B1D3D76E-D552-48AB-94AA-12D1047D90C7}</c15:txfldGUID>
                      <c15:f>'Res wo CL'!$L$79</c15:f>
                      <c15:dlblFieldTableCache>
                        <c:ptCount val="1"/>
                        <c:pt idx="0">
                          <c:v>+66.3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CL'!$D$79:$K$79</c:f>
              <c:numCache>
                <c:formatCode>#,##0.0</c:formatCode>
                <c:ptCount val="8"/>
                <c:pt idx="0" formatCode="#,##0">
                  <c:v>525.66800000000001</c:v>
                </c:pt>
                <c:pt idx="2">
                  <c:v>66.26400000000001</c:v>
                </c:pt>
                <c:pt idx="7" formatCode="#,##0">
                  <c:v>591.93200000000002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CL'!$C$80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CL'!$L$80</c:f>
                  <c:strCache>
                    <c:ptCount val="1"/>
                    <c:pt idx="0">
                      <c:v>-0.0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{4BA00C00-6074-4DB4-946B-591FC3B58E51}</c15:txfldGUID>
                      <c15:f>'Res wo CL'!$L$80</c15:f>
                      <c15:dlblFieldTableCache>
                        <c:ptCount val="1"/>
                        <c:pt idx="0">
                          <c:v>-0.0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CL'!$D$80:$K$80</c:f>
              <c:numCache>
                <c:formatCode>#,##0.0</c:formatCode>
                <c:ptCount val="8"/>
                <c:pt idx="0" formatCode="#,##0">
                  <c:v>89.716000000000008</c:v>
                </c:pt>
                <c:pt idx="3">
                  <c:v>4.4000000000011141E-2</c:v>
                </c:pt>
                <c:pt idx="7" formatCode="#,##0">
                  <c:v>89.671999999999997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CL'!$C$82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F-4F48-A35F-598C764C1734}"/>
                </c:ext>
              </c:extLst>
            </c:dLbl>
            <c:dLbl>
              <c:idx val="4"/>
              <c:tx>
                <c:strRef>
                  <c:f>'Res wo CL'!$L$82</c:f>
                  <c:strCache>
                    <c:ptCount val="1"/>
                    <c:pt idx="0">
                      <c:v>+221.4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{B27D8768-97C9-4913-937C-F24281C6FC27}</c15:txfldGUID>
                      <c15:f>'Res wo CL'!$L$82</c15:f>
                      <c15:dlblFieldTableCache>
                        <c:ptCount val="1"/>
                        <c:pt idx="0">
                          <c:v>+221.4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0F9-4E69-A6C0-4875FB7503E8}"/>
                </c:ext>
              </c:extLst>
            </c:dLbl>
            <c:dLbl>
              <c:idx val="5"/>
              <c:layout>
                <c:manualLayout>
                  <c:x val="-8.4640450358027651E-17"/>
                  <c:y val="4.6469931758722258E-2"/>
                </c:manualLayout>
              </c:layout>
              <c:tx>
                <c:strRef>
                  <c:f>'Res wo CL'!$L$82</c:f>
                  <c:strCache>
                    <c:ptCount val="1"/>
                    <c:pt idx="0">
                      <c:v>+221.4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{F31F5002-9841-44CB-80FA-FAC9B0B7F6D4}</c15:txfldGUID>
                      <c15:f>'Res wo CL'!$L$82</c15:f>
                      <c15:dlblFieldTableCache>
                        <c:ptCount val="1"/>
                        <c:pt idx="0">
                          <c:v>+221.4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52F-4F48-A35F-598C764C1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CL'!$D$82:$K$82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221.39109961520896</c:v>
                </c:pt>
                <c:pt idx="7" formatCode="#,##0">
                  <c:v>221.39109961520896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CL'!$C$83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2F-4F48-A35F-598C764C1734}"/>
                </c:ext>
              </c:extLst>
            </c:dLbl>
            <c:dLbl>
              <c:idx val="6"/>
              <c:layout>
                <c:manualLayout>
                  <c:x val="0"/>
                  <c:y val="5.0342426071949081E-2"/>
                </c:manualLayout>
              </c:layout>
              <c:tx>
                <c:strRef>
                  <c:f>'Res wo CL'!$L$83</c:f>
                  <c:strCache>
                    <c:ptCount val="1"/>
                    <c:pt idx="0">
                      <c:v>+110.4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{D123E70F-E14D-418C-BAFD-44828732FE71}</c15:txfldGUID>
                      <c15:f>'Res wo CL'!$L$83</c15:f>
                      <c15:dlblFieldTableCache>
                        <c:ptCount val="1"/>
                        <c:pt idx="0">
                          <c:v>+110.4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52F-4F48-A35F-598C764C1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CL'!$D$83:$K$83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110.4098297626731</c:v>
                </c:pt>
                <c:pt idx="7" formatCode="#,##0">
                  <c:v>110.4098297626731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A4-47B6-AA3E-F8EE1DA41199}"/>
            </c:ext>
          </c:extLst>
        </c:ser>
        <c:ser>
          <c:idx val="7"/>
          <c:order val="6"/>
          <c:tx>
            <c:strRef>
              <c:f>'Res wo CL'!$C$81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6.9704897638083324E-2"/>
                </c:manualLayout>
              </c:layout>
              <c:tx>
                <c:strRef>
                  <c:f>'Res wo CL'!$L$81</c:f>
                  <c:strCache>
                    <c:ptCount val="1"/>
                    <c:pt idx="0">
                      <c:v>-281.8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{99758B3D-5F02-4DD2-993F-434F8DB9368B}</c15:txfldGUID>
                      <c15:f>'Res wo CL'!$L$81</c15:f>
                      <c15:dlblFieldTableCache>
                        <c:ptCount val="1"/>
                        <c:pt idx="0">
                          <c:v>-281.8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52F-4F48-A35F-598C764C17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F-4F48-A35F-598C764C1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wo CL'!$D$81:$K$81</c:f>
              <c:numCache>
                <c:formatCode>#,##0.0</c:formatCode>
                <c:ptCount val="8"/>
                <c:pt idx="0" formatCode="#,##0">
                  <c:v>281.80020000000013</c:v>
                </c:pt>
                <c:pt idx="4">
                  <c:v>281.80020000000013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2F-4F48-A35F-598C764C1734}"/>
            </c:ext>
          </c:extLst>
        </c:ser>
        <c:ser>
          <c:idx val="6"/>
          <c:order val="7"/>
          <c:tx>
            <c:strRef>
              <c:f>'Res wo CL'!$C$84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CL'!$D$84:$K$84</c:f>
              <c:numCache>
                <c:formatCode>#,##0</c:formatCode>
                <c:ptCount val="8"/>
                <c:pt idx="0">
                  <c:v>1716</c:v>
                </c:pt>
                <c:pt idx="7">
                  <c:v>1840.1638293778822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1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Ausgrid Residential without CL 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CL'!$C$45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CL'!$D$45:$K$45</c:f>
              <c:numCache>
                <c:formatCode>#,##0</c:formatCode>
                <c:ptCount val="8"/>
                <c:pt idx="0">
                  <c:v>0</c:v>
                </c:pt>
                <c:pt idx="1">
                  <c:v>1374.7806889999999</c:v>
                </c:pt>
                <c:pt idx="2">
                  <c:v>1374.7806889999999</c:v>
                </c:pt>
                <c:pt idx="3">
                  <c:v>1521.884789</c:v>
                </c:pt>
                <c:pt idx="4">
                  <c:v>1151.505443</c:v>
                </c:pt>
                <c:pt idx="5">
                  <c:v>1151.505443</c:v>
                </c:pt>
                <c:pt idx="6">
                  <c:v>1360.6047587152091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D-4496-88F5-CD2DC0185002}"/>
            </c:ext>
          </c:extLst>
        </c:ser>
        <c:ser>
          <c:idx val="1"/>
          <c:order val="1"/>
          <c:tx>
            <c:strRef>
              <c:f>'Res wo CL'!$C$46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CL'!$L$46</c:f>
                  <c:strCache>
                    <c:ptCount val="1"/>
                    <c:pt idx="0">
                      <c:v>-18.2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{FC769EBE-C049-4EC3-BD80-B9574D9643C3}</c15:txfldGUID>
                      <c15:f>'Res wo CL'!$L$46</c15:f>
                      <c15:dlblFieldTableCache>
                        <c:ptCount val="1"/>
                        <c:pt idx="0">
                          <c:v>-18.2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28D-4496-88F5-CD2DC018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CL'!$D$46:$K$46</c:f>
              <c:numCache>
                <c:formatCode>#,##0.0</c:formatCode>
                <c:ptCount val="8"/>
                <c:pt idx="0" formatCode="#,##0">
                  <c:v>556.64085399999999</c:v>
                </c:pt>
                <c:pt idx="1">
                  <c:v>18.219311000000062</c:v>
                </c:pt>
                <c:pt idx="7" formatCode="#,##0">
                  <c:v>538.42154299999993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D-4496-88F5-CD2DC0185002}"/>
            </c:ext>
          </c:extLst>
        </c:ser>
        <c:ser>
          <c:idx val="2"/>
          <c:order val="2"/>
          <c:tx>
            <c:strRef>
              <c:f>'Res wo CL'!$C$47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CL'!$L$47</c:f>
                  <c:strCache>
                    <c:ptCount val="1"/>
                    <c:pt idx="0">
                      <c:v>+147.1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{E6C99154-322B-4CEC-BACA-DD1956AF9CAE}</c15:txfldGUID>
                      <c15:f>'Res wo CL'!$L$47</c15:f>
                      <c15:dlblFieldTableCache>
                        <c:ptCount val="1"/>
                        <c:pt idx="0">
                          <c:v>+147.1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28D-4496-88F5-CD2DC018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CL'!$D$47:$K$47</c:f>
              <c:numCache>
                <c:formatCode>#,##0.0</c:formatCode>
                <c:ptCount val="8"/>
                <c:pt idx="0" formatCode="#,##0">
                  <c:v>377.26260000000002</c:v>
                </c:pt>
                <c:pt idx="2">
                  <c:v>147.10410000000002</c:v>
                </c:pt>
                <c:pt idx="7" formatCode="#,##0">
                  <c:v>524.36670000000004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D-4496-88F5-CD2DC0185002}"/>
            </c:ext>
          </c:extLst>
        </c:ser>
        <c:ser>
          <c:idx val="3"/>
          <c:order val="3"/>
          <c:tx>
            <c:strRef>
              <c:f>'Res wo CL'!$C$48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CL'!$L$48</c:f>
                  <c:strCache>
                    <c:ptCount val="1"/>
                    <c:pt idx="0">
                      <c:v>+6.5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{3DA78161-E088-48C0-85C6-8B6C091E7804}</c15:txfldGUID>
                      <c15:f>'Res wo CL'!$L$48</c15:f>
                      <c15:dlblFieldTableCache>
                        <c:ptCount val="1"/>
                        <c:pt idx="0">
                          <c:v>+6.5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28D-4496-88F5-CD2DC018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CL'!$D$48:$K$48</c:f>
              <c:numCache>
                <c:formatCode>#,##0.0</c:formatCode>
                <c:ptCount val="8"/>
                <c:pt idx="0" formatCode="#,##0">
                  <c:v>82.2393</c:v>
                </c:pt>
                <c:pt idx="3">
                  <c:v>6.4779000000000053</c:v>
                </c:pt>
                <c:pt idx="7" formatCode="#,##0">
                  <c:v>88.717200000000005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D-4496-88F5-CD2DC0185002}"/>
            </c:ext>
          </c:extLst>
        </c:ser>
        <c:ser>
          <c:idx val="4"/>
          <c:order val="4"/>
          <c:tx>
            <c:strRef>
              <c:f>'Res wo CL'!$C$50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E-437C-B209-E19DE64A2471}"/>
                </c:ext>
              </c:extLst>
            </c:dLbl>
            <c:dLbl>
              <c:idx val="4"/>
              <c:tx>
                <c:strRef>
                  <c:f>'Res wo CL'!$L$58</c:f>
                  <c:strCache>
                    <c:ptCount val="1"/>
                    <c:pt idx="0">
                      <c:v>+216.7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{046C64C5-D2B7-4025-8E39-1D85E2FFDEB5}</c15:txfldGUID>
                      <c15:f>'Res wo CL'!$L$58</c15:f>
                      <c15:dlblFieldTableCache>
                        <c:ptCount val="1"/>
                        <c:pt idx="0">
                          <c:v>+216.7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28D-4496-88F5-CD2DC0185002}"/>
                </c:ext>
              </c:extLst>
            </c:dLbl>
            <c:dLbl>
              <c:idx val="5"/>
              <c:layout>
                <c:manualLayout>
                  <c:x val="0"/>
                  <c:y val="5.8087414698402826E-2"/>
                </c:manualLayout>
              </c:layout>
              <c:tx>
                <c:strRef>
                  <c:f>'Res wo CL'!$L$50</c:f>
                  <c:strCache>
                    <c:ptCount val="1"/>
                    <c:pt idx="0">
                      <c:v>+209.1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{054B5859-64D9-4ACD-A719-C23110643DAC}</c15:txfldGUID>
                      <c15:f>'Res wo CL'!$L$50</c15:f>
                      <c15:dlblFieldTableCache>
                        <c:ptCount val="1"/>
                        <c:pt idx="0">
                          <c:v>+209.1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53E-437C-B209-E19DE64A2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CL'!$D$50:$K$50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209.099315715209</c:v>
                </c:pt>
                <c:pt idx="7" formatCode="#,##0">
                  <c:v>209.099315715209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D-4496-88F5-CD2DC0185002}"/>
            </c:ext>
          </c:extLst>
        </c:ser>
        <c:ser>
          <c:idx val="5"/>
          <c:order val="5"/>
          <c:tx>
            <c:strRef>
              <c:f>'Res wo CL'!$C$51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E-437C-B209-E19DE64A2471}"/>
                </c:ext>
              </c:extLst>
            </c:dLbl>
            <c:dLbl>
              <c:idx val="6"/>
              <c:layout>
                <c:manualLayout>
                  <c:x val="7.0423975982133065E-17"/>
                  <c:y val="4.6469931758722258E-2"/>
                </c:manualLayout>
              </c:layout>
              <c:tx>
                <c:strRef>
                  <c:f>'Res wo CL'!$L$51</c:f>
                  <c:strCache>
                    <c:ptCount val="1"/>
                    <c:pt idx="0">
                      <c:v>+151.2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{FE62EA72-E49E-4D55-9C59-AB62F46236DF}</c15:txfldGUID>
                      <c15:f>'Res wo CL'!$L$51</c15:f>
                      <c15:dlblFieldTableCache>
                        <c:ptCount val="1"/>
                        <c:pt idx="0">
                          <c:v>+151.2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53E-437C-B209-E19DE64A2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CL'!$D$51:$K$51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151.17830652391217</c:v>
                </c:pt>
                <c:pt idx="7" formatCode="#,##0">
                  <c:v>151.17830652391217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E-437C-B209-E19DE64A2471}"/>
            </c:ext>
          </c:extLst>
        </c:ser>
        <c:ser>
          <c:idx val="7"/>
          <c:order val="6"/>
          <c:tx>
            <c:strRef>
              <c:f>'Res wo CL'!$C$49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0423975982133065E-17"/>
                  <c:y val="8.9067369204217664E-2"/>
                </c:manualLayout>
              </c:layout>
              <c:tx>
                <c:strRef>
                  <c:f>'Res wo CL'!$L$49</c:f>
                  <c:strCache>
                    <c:ptCount val="1"/>
                    <c:pt idx="0">
                      <c:v>-376.9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{9B5A7B33-D74A-464D-8E68-094EBF90B6DD}</c15:txfldGUID>
                      <c15:f>'Res wo CL'!$L$49</c15:f>
                      <c15:dlblFieldTableCache>
                        <c:ptCount val="1"/>
                        <c:pt idx="0">
                          <c:v>-376.9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53E-437C-B209-E19DE64A24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E-437C-B209-E19DE64A2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wo CL'!$D$49:$K$49</c:f>
              <c:numCache>
                <c:formatCode>#,##0.0</c:formatCode>
                <c:ptCount val="8"/>
                <c:pt idx="0" formatCode="#,##0">
                  <c:v>376.85724600000003</c:v>
                </c:pt>
                <c:pt idx="4">
                  <c:v>376.85724600000003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37C-B209-E19DE64A2471}"/>
            </c:ext>
          </c:extLst>
        </c:ser>
        <c:ser>
          <c:idx val="6"/>
          <c:order val="7"/>
          <c:tx>
            <c:strRef>
              <c:f>'Res wo CL'!$C$52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CL'!$D$52:$K$52</c:f>
              <c:numCache>
                <c:formatCode>#,##0</c:formatCode>
                <c:ptCount val="8"/>
                <c:pt idx="0">
                  <c:v>1393</c:v>
                </c:pt>
                <c:pt idx="7">
                  <c:v>1511.7830652391212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8D-4496-88F5-CD2DC0185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19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CL'!$A$53</c:f>
          <c:strCache>
            <c:ptCount val="1"/>
            <c:pt idx="0">
              <c:v>Endeavour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CL'!$C$53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CL'!$D$53:$K$53</c:f>
              <c:numCache>
                <c:formatCode>#,##0</c:formatCode>
                <c:ptCount val="8"/>
                <c:pt idx="0">
                  <c:v>0</c:v>
                </c:pt>
                <c:pt idx="1">
                  <c:v>2014</c:v>
                </c:pt>
                <c:pt idx="2">
                  <c:v>2056.4577098</c:v>
                </c:pt>
                <c:pt idx="3">
                  <c:v>2337.7915097999999</c:v>
                </c:pt>
                <c:pt idx="4">
                  <c:v>1927.5798982000001</c:v>
                </c:pt>
                <c:pt idx="5">
                  <c:v>1927.5798982000001</c:v>
                </c:pt>
                <c:pt idx="6">
                  <c:v>2144.2768913652089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3-4047-95E6-DAB451A67A16}"/>
            </c:ext>
          </c:extLst>
        </c:ser>
        <c:ser>
          <c:idx val="1"/>
          <c:order val="1"/>
          <c:tx>
            <c:strRef>
              <c:f>'Res w CL'!$C$54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CL'!$L$54</c:f>
                  <c:strCache>
                    <c:ptCount val="1"/>
                    <c:pt idx="0">
                      <c:v>+42.5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{88689B79-FBB1-4540-A78E-AAF9C3550A65}</c15:txfldGUID>
                      <c15:f>'Res w CL'!$L$54</c15:f>
                      <c15:dlblFieldTableCache>
                        <c:ptCount val="1"/>
                        <c:pt idx="0">
                          <c:v>+42.5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CL'!$D$54:$K$54</c:f>
              <c:numCache>
                <c:formatCode>#,##0.0</c:formatCode>
                <c:ptCount val="8"/>
                <c:pt idx="0" formatCode="#,##0">
                  <c:v>727.84738840000011</c:v>
                </c:pt>
                <c:pt idx="1">
                  <c:v>42.457709799999861</c:v>
                </c:pt>
                <c:pt idx="7" formatCode="#,##0">
                  <c:v>770.30509819999997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3-4047-95E6-DAB451A67A16}"/>
            </c:ext>
          </c:extLst>
        </c:ser>
        <c:ser>
          <c:idx val="2"/>
          <c:order val="2"/>
          <c:tx>
            <c:strRef>
              <c:f>'Res w CL'!$C$55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CL'!$L$55</c:f>
                  <c:strCache>
                    <c:ptCount val="1"/>
                    <c:pt idx="0">
                      <c:v>+281.3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{9CFDA842-ADCE-4A85-ADB8-8B36F2A03C65}</c15:txfldGUID>
                      <c15:f>'Res w CL'!$L$55</c15:f>
                      <c15:dlblFieldTableCache>
                        <c:ptCount val="1"/>
                        <c:pt idx="0">
                          <c:v>+281.3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CL'!$D$55:$K$55</c:f>
              <c:numCache>
                <c:formatCode>#,##0.0</c:formatCode>
                <c:ptCount val="8"/>
                <c:pt idx="0" formatCode="#,##0">
                  <c:v>706.46619999999996</c:v>
                </c:pt>
                <c:pt idx="2">
                  <c:v>281.3338</c:v>
                </c:pt>
                <c:pt idx="7" formatCode="#,##0">
                  <c:v>987.8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3-4047-95E6-DAB451A67A16}"/>
            </c:ext>
          </c:extLst>
        </c:ser>
        <c:ser>
          <c:idx val="3"/>
          <c:order val="3"/>
          <c:tx>
            <c:strRef>
              <c:f>'Res w CL'!$C$56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CL'!$L$56</c:f>
                  <c:strCache>
                    <c:ptCount val="1"/>
                    <c:pt idx="0">
                      <c:v>+12.3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{059CB5A1-E8AF-4707-9837-F8DF9015A775}</c15:txfldGUID>
                      <c15:f>'Res w CL'!$L$56</c15:f>
                      <c15:dlblFieldTableCache>
                        <c:ptCount val="1"/>
                        <c:pt idx="0">
                          <c:v>+12.3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CL'!$D$56:$K$56</c:f>
              <c:numCache>
                <c:formatCode>#,##0.0</c:formatCode>
                <c:ptCount val="8"/>
                <c:pt idx="0" formatCode="#,##0">
                  <c:v>157.18340000000001</c:v>
                </c:pt>
                <c:pt idx="3">
                  <c:v>12.291399999999982</c:v>
                </c:pt>
                <c:pt idx="7" formatCode="#,##0">
                  <c:v>169.47479999999999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E3-4047-95E6-DAB451A67A16}"/>
            </c:ext>
          </c:extLst>
        </c:ser>
        <c:ser>
          <c:idx val="4"/>
          <c:order val="4"/>
          <c:tx>
            <c:strRef>
              <c:f>'Res w CL'!$C$58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3-4047-95E6-DAB451A67A16}"/>
                </c:ext>
              </c:extLst>
            </c:dLbl>
            <c:dLbl>
              <c:idx val="4"/>
              <c:tx>
                <c:strRef>
                  <c:f>'Res w CL'!$L$58</c:f>
                  <c:strCache>
                    <c:ptCount val="1"/>
                    <c:pt idx="0">
                      <c:v>+216.7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{590C6BDC-83F3-4E1D-945A-429D7233D44D}</c15:txfldGUID>
                      <c15:f>'Res w CL'!$L$58</c15:f>
                      <c15:dlblFieldTableCache>
                        <c:ptCount val="1"/>
                        <c:pt idx="0">
                          <c:v>+216.7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3E3-4047-95E6-DAB451A67A16}"/>
                </c:ext>
              </c:extLst>
            </c:dLbl>
            <c:dLbl>
              <c:idx val="5"/>
              <c:layout>
                <c:manualLayout>
                  <c:x val="-7.4275788706771152E-17"/>
                  <c:y val="5.0342426071949116E-2"/>
                </c:manualLayout>
              </c:layout>
              <c:tx>
                <c:strRef>
                  <c:f>'Res w CL'!$L$58</c:f>
                  <c:strCache>
                    <c:ptCount val="1"/>
                    <c:pt idx="0">
                      <c:v>+216.7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{C2AF25EE-6FAB-4140-8EBB-901DF96E949E}</c15:txfldGUID>
                      <c15:f>'Res w CL'!$L$58</c15:f>
                      <c15:dlblFieldTableCache>
                        <c:ptCount val="1"/>
                        <c:pt idx="0">
                          <c:v>+216.7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CL'!$D$58:$K$58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216.69699316520897</c:v>
                </c:pt>
                <c:pt idx="7" formatCode="#,##0">
                  <c:v>216.69699316520897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E3-4047-95E6-DAB451A67A16}"/>
            </c:ext>
          </c:extLst>
        </c:ser>
        <c:ser>
          <c:idx val="5"/>
          <c:order val="5"/>
          <c:tx>
            <c:strRef>
              <c:f>'Res w CL'!$C$59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E3-4047-95E6-DAB451A67A16}"/>
                </c:ext>
              </c:extLst>
            </c:dLbl>
            <c:dLbl>
              <c:idx val="6"/>
              <c:layout>
                <c:manualLayout>
                  <c:x val="0"/>
                  <c:y val="4.6469931758722258E-2"/>
                </c:manualLayout>
              </c:layout>
              <c:tx>
                <c:strRef>
                  <c:f>'Res w CL'!$L$59</c:f>
                  <c:strCache>
                    <c:ptCount val="1"/>
                    <c:pt idx="0">
                      <c:v>+238.3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{ED2A5861-B924-42E3-AD90-A24D5FBEAA58}</c15:txfldGUID>
                      <c15:f>'Res w CL'!$L$59</c15:f>
                      <c15:dlblFieldTableCache>
                        <c:ptCount val="1"/>
                        <c:pt idx="0">
                          <c:v>+238.3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CL'!$D$59:$K$59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238.25298792946751</c:v>
                </c:pt>
                <c:pt idx="7" formatCode="#,##0">
                  <c:v>238.25298792946751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E3-4047-95E6-DAB451A67A16}"/>
            </c:ext>
          </c:extLst>
        </c:ser>
        <c:ser>
          <c:idx val="7"/>
          <c:order val="6"/>
          <c:tx>
            <c:strRef>
              <c:f>'Res w CL'!$C$57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4275788706771152E-17"/>
                  <c:y val="8.9067369204217664E-2"/>
                </c:manualLayout>
              </c:layout>
              <c:tx>
                <c:strRef>
                  <c:f>'Res w CL'!$L$57</c:f>
                  <c:strCache>
                    <c:ptCount val="1"/>
                    <c:pt idx="0">
                      <c:v>-422.5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{983FE7B5-2662-45F4-97C4-409585E6EC01}</c15:txfldGUID>
                      <c15:f>'Res w CL'!$L$57</c15:f>
                      <c15:dlblFieldTableCache>
                        <c:ptCount val="1"/>
                        <c:pt idx="0">
                          <c:v>-422.5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3E3-4047-95E6-DAB451A67A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CL'!$D$57:$K$57</c:f>
              <c:numCache>
                <c:formatCode>#,##0.0</c:formatCode>
                <c:ptCount val="8"/>
                <c:pt idx="0" formatCode="#,##0">
                  <c:v>422.50301159999981</c:v>
                </c:pt>
                <c:pt idx="4">
                  <c:v>422.50301159999981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3E3-4047-95E6-DAB451A67A16}"/>
            </c:ext>
          </c:extLst>
        </c:ser>
        <c:ser>
          <c:idx val="6"/>
          <c:order val="7"/>
          <c:tx>
            <c:strRef>
              <c:f>'Res w CL'!$C$60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CL'!$D$60:$K$60</c:f>
              <c:numCache>
                <c:formatCode>#,##0</c:formatCode>
                <c:ptCount val="8"/>
                <c:pt idx="0">
                  <c:v>2014</c:v>
                </c:pt>
                <c:pt idx="7">
                  <c:v>2382.5298792946764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E3-4047-95E6-DAB451A67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CL'!$A$61</c:f>
          <c:strCache>
            <c:ptCount val="1"/>
            <c:pt idx="0">
              <c:v>Essential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CL'!$C$61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CL'!$D$61:$K$61</c:f>
              <c:numCache>
                <c:formatCode>#,##0</c:formatCode>
                <c:ptCount val="8"/>
                <c:pt idx="0">
                  <c:v>0</c:v>
                </c:pt>
                <c:pt idx="1">
                  <c:v>2271</c:v>
                </c:pt>
                <c:pt idx="2">
                  <c:v>2302.0384140000001</c:v>
                </c:pt>
                <c:pt idx="3">
                  <c:v>2526.7222140000003</c:v>
                </c:pt>
                <c:pt idx="4">
                  <c:v>2028.1750500000003</c:v>
                </c:pt>
                <c:pt idx="5">
                  <c:v>2028.1750500000003</c:v>
                </c:pt>
                <c:pt idx="6">
                  <c:v>2240.7949455527091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0-4B9C-8F5B-90076FDA5258}"/>
            </c:ext>
          </c:extLst>
        </c:ser>
        <c:ser>
          <c:idx val="1"/>
          <c:order val="1"/>
          <c:tx>
            <c:strRef>
              <c:f>'Res w CL'!$C$62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CL'!$L$62</c:f>
                  <c:strCache>
                    <c:ptCount val="1"/>
                    <c:pt idx="0">
                      <c:v>+31.0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{879C1092-9B6C-4446-8DCB-165BF9900897}</c15:txfldGUID>
                      <c15:f>'Res w CL'!$L$62</c15:f>
                      <c15:dlblFieldTableCache>
                        <c:ptCount val="1"/>
                        <c:pt idx="0">
                          <c:v>+31.0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CL'!$D$62:$K$62</c:f>
              <c:numCache>
                <c:formatCode>#,##0.0</c:formatCode>
                <c:ptCount val="8"/>
                <c:pt idx="0" formatCode="#,##0">
                  <c:v>1069.405436</c:v>
                </c:pt>
                <c:pt idx="1">
                  <c:v>31.038414000000103</c:v>
                </c:pt>
                <c:pt idx="7" formatCode="#,##0">
                  <c:v>1100.4438500000001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80-4B9C-8F5B-90076FDA5258}"/>
            </c:ext>
          </c:extLst>
        </c:ser>
        <c:ser>
          <c:idx val="2"/>
          <c:order val="2"/>
          <c:tx>
            <c:strRef>
              <c:f>'Res w CL'!$C$63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CL'!$L$63</c:f>
                  <c:strCache>
                    <c:ptCount val="1"/>
                    <c:pt idx="0">
                      <c:v>+224.7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{A73E4867-7013-46BD-B3B3-9781F67E1D70}</c15:txfldGUID>
                      <c15:f>'Res w CL'!$L$63</c15:f>
                      <c15:dlblFieldTableCache>
                        <c:ptCount val="1"/>
                        <c:pt idx="0">
                          <c:v>+224.7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CL'!$D$63:$K$63</c:f>
              <c:numCache>
                <c:formatCode>#,##0.0</c:formatCode>
                <c:ptCount val="8"/>
                <c:pt idx="0" formatCode="#,##0">
                  <c:v>554.58039999999994</c:v>
                </c:pt>
                <c:pt idx="2">
                  <c:v>224.68380000000013</c:v>
                </c:pt>
                <c:pt idx="7" formatCode="#,##0">
                  <c:v>779.26420000000007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80-4B9C-8F5B-90076FDA5258}"/>
            </c:ext>
          </c:extLst>
        </c:ser>
        <c:ser>
          <c:idx val="3"/>
          <c:order val="3"/>
          <c:tx>
            <c:strRef>
              <c:f>'Res w CL'!$C$64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CL'!$L$64</c:f>
                  <c:strCache>
                    <c:ptCount val="1"/>
                    <c:pt idx="0">
                      <c:v>+10.2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{4913B436-CA58-44EC-B4CD-6FA71551B6DE}</c15:txfldGUID>
                      <c15:f>'Res w CL'!$L$64</c15:f>
                      <c15:dlblFieldTableCache>
                        <c:ptCount val="1"/>
                        <c:pt idx="0">
                          <c:v>+10.2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CL'!$D$64:$K$64</c:f>
              <c:numCache>
                <c:formatCode>#,##0.0</c:formatCode>
                <c:ptCount val="8"/>
                <c:pt idx="0" formatCode="#,##0">
                  <c:v>138.2304</c:v>
                </c:pt>
                <c:pt idx="3">
                  <c:v>10.236599999999981</c:v>
                </c:pt>
                <c:pt idx="7" formatCode="#,##0">
                  <c:v>148.46699999999998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80-4B9C-8F5B-90076FDA5258}"/>
            </c:ext>
          </c:extLst>
        </c:ser>
        <c:ser>
          <c:idx val="4"/>
          <c:order val="4"/>
          <c:tx>
            <c:strRef>
              <c:f>'Res w CL'!$C$66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0-4B9C-8F5B-90076FDA5258}"/>
                </c:ext>
              </c:extLst>
            </c:dLbl>
            <c:dLbl>
              <c:idx val="4"/>
              <c:tx>
                <c:strRef>
                  <c:f>'Res w CL'!$L$66</c:f>
                  <c:strCache>
                    <c:ptCount val="1"/>
                    <c:pt idx="0">
                      <c:v>+212.6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{107EA53C-53BE-47CD-B7FA-3EB892BA936E}</c15:txfldGUID>
                      <c15:f>'Res w CL'!$L$66</c15:f>
                      <c15:dlblFieldTableCache>
                        <c:ptCount val="1"/>
                        <c:pt idx="0">
                          <c:v>+212.6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880-4B9C-8F5B-90076FDA5258}"/>
                </c:ext>
              </c:extLst>
            </c:dLbl>
            <c:dLbl>
              <c:idx val="5"/>
              <c:layout>
                <c:manualLayout>
                  <c:x val="0"/>
                  <c:y val="5.0342426071949116E-2"/>
                </c:manualLayout>
              </c:layout>
              <c:tx>
                <c:strRef>
                  <c:f>'Res w CL'!$L$66</c:f>
                  <c:strCache>
                    <c:ptCount val="1"/>
                    <c:pt idx="0">
                      <c:v>+212.6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{63206817-8EB9-401A-A09A-B67B95BDA7C5}</c15:txfldGUID>
                      <c15:f>'Res w CL'!$L$66</c15:f>
                      <c15:dlblFieldTableCache>
                        <c:ptCount val="1"/>
                        <c:pt idx="0">
                          <c:v>+212.6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CL'!$D$66:$K$66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212.61989555270895</c:v>
                </c:pt>
                <c:pt idx="7" formatCode="#,##0">
                  <c:v>212.61989555270895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80-4B9C-8F5B-90076FDA5258}"/>
            </c:ext>
          </c:extLst>
        </c:ser>
        <c:ser>
          <c:idx val="5"/>
          <c:order val="5"/>
          <c:tx>
            <c:strRef>
              <c:f>'Res w CL'!$C$67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80-4B9C-8F5B-90076FDA5258}"/>
                </c:ext>
              </c:extLst>
            </c:dLbl>
            <c:dLbl>
              <c:idx val="6"/>
              <c:layout>
                <c:manualLayout>
                  <c:x val="-8.4640450358027651E-17"/>
                  <c:y val="4.2597437445495372E-2"/>
                </c:manualLayout>
              </c:layout>
              <c:tx>
                <c:strRef>
                  <c:f>'Res w CL'!$L$67</c:f>
                  <c:strCache>
                    <c:ptCount val="1"/>
                    <c:pt idx="0">
                      <c:v>+249.0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{3E0D4A8E-3130-457B-97E2-F17ACCFE5DBD}</c15:txfldGUID>
                      <c15:f>'Res w CL'!$L$67</c15:f>
                      <c15:dlblFieldTableCache>
                        <c:ptCount val="1"/>
                        <c:pt idx="0">
                          <c:v>+249.0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CL'!$D$67:$K$67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248.97721617252319</c:v>
                </c:pt>
                <c:pt idx="7" formatCode="#,##0">
                  <c:v>248.97721617252319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80-4B9C-8F5B-90076FDA5258}"/>
            </c:ext>
          </c:extLst>
        </c:ser>
        <c:ser>
          <c:idx val="7"/>
          <c:order val="6"/>
          <c:tx>
            <c:strRef>
              <c:f>'Res w CL'!$C$65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8.1322380577763961E-2"/>
                </c:manualLayout>
              </c:layout>
              <c:tx>
                <c:strRef>
                  <c:f>'Res w CL'!$L$65</c:f>
                  <c:strCache>
                    <c:ptCount val="1"/>
                    <c:pt idx="0">
                      <c:v>-508.8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{4C69EF76-6B84-4077-BA00-B1B78853F6F6}</c15:txfldGUID>
                      <c15:f>'Res w CL'!$L$65</c15:f>
                      <c15:dlblFieldTableCache>
                        <c:ptCount val="1"/>
                        <c:pt idx="0">
                          <c:v>-508.8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880-4B9C-8F5B-90076FDA52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CL'!$D$65:$K$65</c:f>
              <c:numCache>
                <c:formatCode>#,##0.0</c:formatCode>
                <c:ptCount val="8"/>
                <c:pt idx="0" formatCode="#,##0">
                  <c:v>508.78376400000025</c:v>
                </c:pt>
                <c:pt idx="4">
                  <c:v>508.78376400000025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880-4B9C-8F5B-90076FDA5258}"/>
            </c:ext>
          </c:extLst>
        </c:ser>
        <c:ser>
          <c:idx val="6"/>
          <c:order val="7"/>
          <c:tx>
            <c:strRef>
              <c:f>'Res w CL'!$C$68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CL'!$D$68:$K$68</c:f>
              <c:numCache>
                <c:formatCode>#,##0</c:formatCode>
                <c:ptCount val="8"/>
                <c:pt idx="0">
                  <c:v>2271</c:v>
                </c:pt>
                <c:pt idx="7">
                  <c:v>2489.7721617252323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880-4B9C-8F5B-90076FDA5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4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CL'!$A$69</c:f>
          <c:strCache>
            <c:ptCount val="1"/>
            <c:pt idx="0">
              <c:v>Energex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CL'!$C$69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CL'!$D$69:$K$69</c:f>
              <c:numCache>
                <c:formatCode>#,##0</c:formatCode>
                <c:ptCount val="8"/>
                <c:pt idx="0">
                  <c:v>0</c:v>
                </c:pt>
                <c:pt idx="1">
                  <c:v>1682.3633449999998</c:v>
                </c:pt>
                <c:pt idx="2">
                  <c:v>1682.3633449999998</c:v>
                </c:pt>
                <c:pt idx="3">
                  <c:v>1923.7941169999997</c:v>
                </c:pt>
                <c:pt idx="4">
                  <c:v>1553.149598</c:v>
                </c:pt>
                <c:pt idx="5">
                  <c:v>1553.149598</c:v>
                </c:pt>
                <c:pt idx="6">
                  <c:v>1764.5354758777089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8-4923-A38E-B3F1827394F8}"/>
            </c:ext>
          </c:extLst>
        </c:ser>
        <c:ser>
          <c:idx val="1"/>
          <c:order val="1"/>
          <c:tx>
            <c:strRef>
              <c:f>'Res w CL'!$C$70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CL'!$L$70</c:f>
                  <c:strCache>
                    <c:ptCount val="1"/>
                    <c:pt idx="0">
                      <c:v>-58.6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{60DEC3AE-F551-4732-A040-A34A16479221}</c15:txfldGUID>
                      <c15:f>'Res w CL'!$L$70</c15:f>
                      <c15:dlblFieldTableCache>
                        <c:ptCount val="1"/>
                        <c:pt idx="0">
                          <c:v>-58.6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CL'!$D$70:$K$70</c:f>
              <c:numCache>
                <c:formatCode>#,##0.0</c:formatCode>
                <c:ptCount val="8"/>
                <c:pt idx="0" formatCode="#,##0">
                  <c:v>767.09935500000006</c:v>
                </c:pt>
                <c:pt idx="1">
                  <c:v>58.636655000000133</c:v>
                </c:pt>
                <c:pt idx="7" formatCode="#,##0">
                  <c:v>708.46269999999993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8-4923-A38E-B3F1827394F8}"/>
            </c:ext>
          </c:extLst>
        </c:ser>
        <c:ser>
          <c:idx val="2"/>
          <c:order val="2"/>
          <c:tx>
            <c:strRef>
              <c:f>'Res w CL'!$C$71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1362794538617383E-17"/>
                  <c:y val="4.04346341255176E-2"/>
                </c:manualLayout>
              </c:layout>
              <c:tx>
                <c:strRef>
                  <c:f>'Res w CL'!$L$71</c:f>
                  <c:strCache>
                    <c:ptCount val="1"/>
                    <c:pt idx="0">
                      <c:v>+241.4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{14F9779A-BF8D-4BE2-ADB8-046DAA23513B}</c15:txfldGUID>
                      <c15:f>'Res w CL'!$L$71</c15:f>
                      <c15:dlblFieldTableCache>
                        <c:ptCount val="1"/>
                        <c:pt idx="0">
                          <c:v>+241.4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CL'!$D$71:$K$71</c:f>
              <c:numCache>
                <c:formatCode>#,##0.0</c:formatCode>
                <c:ptCount val="8"/>
                <c:pt idx="0" formatCode="#,##0">
                  <c:v>484.75312600000001</c:v>
                </c:pt>
                <c:pt idx="2">
                  <c:v>241.43077199999999</c:v>
                </c:pt>
                <c:pt idx="7" formatCode="#,##0">
                  <c:v>726.183898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48-4923-A38E-B3F1827394F8}"/>
            </c:ext>
          </c:extLst>
        </c:ser>
        <c:ser>
          <c:idx val="3"/>
          <c:order val="3"/>
          <c:tx>
            <c:strRef>
              <c:f>'Res w CL'!$C$72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CL'!$L$72</c:f>
                  <c:strCache>
                    <c:ptCount val="1"/>
                    <c:pt idx="0">
                      <c:v>+2.4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{2F1F12B2-AA6A-4DAA-ABCD-518C5A7E4143}</c15:txfldGUID>
                      <c15:f>'Res w CL'!$L$72</c15:f>
                      <c15:dlblFieldTableCache>
                        <c:ptCount val="1"/>
                        <c:pt idx="0">
                          <c:v>+2.4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CL'!$D$72:$K$72</c:f>
              <c:numCache>
                <c:formatCode>#,##0.0</c:formatCode>
                <c:ptCount val="8"/>
                <c:pt idx="0" formatCode="#,##0">
                  <c:v>116.07749999999999</c:v>
                </c:pt>
                <c:pt idx="3">
                  <c:v>2.4254999999999995</c:v>
                </c:pt>
                <c:pt idx="7" formatCode="#,##0">
                  <c:v>118.50299999999999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8-4923-A38E-B3F1827394F8}"/>
            </c:ext>
          </c:extLst>
        </c:ser>
        <c:ser>
          <c:idx val="4"/>
          <c:order val="4"/>
          <c:tx>
            <c:strRef>
              <c:f>'Res w CL'!$C$74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8-4923-A38E-B3F1827394F8}"/>
                </c:ext>
              </c:extLst>
            </c:dLbl>
            <c:dLbl>
              <c:idx val="4"/>
              <c:tx>
                <c:strRef>
                  <c:f>'Res w CL'!$L$74</c:f>
                  <c:strCache>
                    <c:ptCount val="1"/>
                    <c:pt idx="0">
                      <c:v>+211.4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{2F74087C-C5C7-414B-996C-E43510437653}</c15:txfldGUID>
                      <c15:f>'Res w CL'!$L$74</c15:f>
                      <c15:dlblFieldTableCache>
                        <c:ptCount val="1"/>
                        <c:pt idx="0">
                          <c:v>+211.4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348-4923-A38E-B3F1827394F8}"/>
                </c:ext>
              </c:extLst>
            </c:dLbl>
            <c:dLbl>
              <c:idx val="5"/>
              <c:layout>
                <c:manualLayout>
                  <c:x val="0"/>
                  <c:y val="5.8087414698402826E-2"/>
                </c:manualLayout>
              </c:layout>
              <c:tx>
                <c:strRef>
                  <c:f>'Res w CL'!$L$74</c:f>
                  <c:strCache>
                    <c:ptCount val="1"/>
                    <c:pt idx="0">
                      <c:v>+211.4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{2582EACA-25BF-428F-846F-DC6DA07B70C2}</c15:txfldGUID>
                      <c15:f>'Res w CL'!$L$74</c15:f>
                      <c15:dlblFieldTableCache>
                        <c:ptCount val="1"/>
                        <c:pt idx="0">
                          <c:v>+211.4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CL'!$D$74:$K$74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211.38587787770896</c:v>
                </c:pt>
                <c:pt idx="7" formatCode="#,##0">
                  <c:v>211.38587787770896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8-4923-A38E-B3F1827394F8}"/>
            </c:ext>
          </c:extLst>
        </c:ser>
        <c:ser>
          <c:idx val="5"/>
          <c:order val="5"/>
          <c:tx>
            <c:strRef>
              <c:f>'Res w CL'!$C$75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48-4923-A38E-B3F1827394F8}"/>
                </c:ext>
              </c:extLst>
            </c:dLbl>
            <c:dLbl>
              <c:idx val="6"/>
              <c:layout>
                <c:manualLayout>
                  <c:x val="-1.7107176460526444E-3"/>
                  <c:y val="5.8087414698402756E-2"/>
                </c:manualLayout>
              </c:layout>
              <c:tx>
                <c:strRef>
                  <c:f>'Res w CL'!$L$75</c:f>
                  <c:strCache>
                    <c:ptCount val="1"/>
                    <c:pt idx="0">
                      <c:v>+196.1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{4D391581-FF00-4298-9444-170D6209B502}</c15:txfldGUID>
                      <c15:f>'Res w CL'!$L$75</c15:f>
                      <c15:dlblFieldTableCache>
                        <c:ptCount val="1"/>
                        <c:pt idx="0">
                          <c:v>+196.1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CL'!$D$75:$K$75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196.05949731974533</c:v>
                </c:pt>
                <c:pt idx="7" formatCode="#,##0">
                  <c:v>196.05949731974533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348-4923-A38E-B3F1827394F8}"/>
            </c:ext>
          </c:extLst>
        </c:ser>
        <c:ser>
          <c:idx val="7"/>
          <c:order val="6"/>
          <c:tx>
            <c:strRef>
              <c:f>'Res w CL'!$C$73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6.2725589077234767E-17"/>
                  <c:y val="8.9067369204217664E-2"/>
                </c:manualLayout>
              </c:layout>
              <c:tx>
                <c:strRef>
                  <c:f>'Res w CL'!$L$73</c:f>
                  <c:strCache>
                    <c:ptCount val="1"/>
                    <c:pt idx="0">
                      <c:v>-373.1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{E7317BC2-55B7-4315-9632-11CE10400AAB}</c15:txfldGUID>
                      <c15:f>'Res w CL'!$L$73</c15:f>
                      <c15:dlblFieldTableCache>
                        <c:ptCount val="1"/>
                        <c:pt idx="0">
                          <c:v>-373.1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348-4923-A38E-B3F1827394F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CL'!$D$73:$K$73</c:f>
              <c:numCache>
                <c:formatCode>#,##0.0</c:formatCode>
                <c:ptCount val="8"/>
                <c:pt idx="0" formatCode="#,##0">
                  <c:v>373.07001899999977</c:v>
                </c:pt>
                <c:pt idx="4">
                  <c:v>373.07001899999977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48-4923-A38E-B3F1827394F8}"/>
            </c:ext>
          </c:extLst>
        </c:ser>
        <c:ser>
          <c:idx val="6"/>
          <c:order val="7"/>
          <c:tx>
            <c:strRef>
              <c:f>'Res w CL'!$C$76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CL'!$D$76:$K$76</c:f>
              <c:numCache>
                <c:formatCode>#,##0</c:formatCode>
                <c:ptCount val="8"/>
                <c:pt idx="0">
                  <c:v>1741</c:v>
                </c:pt>
                <c:pt idx="7">
                  <c:v>1960.594973197454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48-4923-A38E-B3F182739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CL'!$A$77</c:f>
          <c:strCache>
            <c:ptCount val="1"/>
            <c:pt idx="0">
              <c:v>SAPN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CL'!$C$77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CL'!$D$77:$K$77</c:f>
              <c:numCache>
                <c:formatCode>#,##0</c:formatCode>
                <c:ptCount val="8"/>
                <c:pt idx="0">
                  <c:v>0</c:v>
                </c:pt>
                <c:pt idx="1">
                  <c:v>2077</c:v>
                </c:pt>
                <c:pt idx="2">
                  <c:v>2084.6570999999999</c:v>
                </c:pt>
                <c:pt idx="3">
                  <c:v>2155.5542999999998</c:v>
                </c:pt>
                <c:pt idx="4">
                  <c:v>1917.5650999999998</c:v>
                </c:pt>
                <c:pt idx="5">
                  <c:v>1917.5650999999998</c:v>
                </c:pt>
                <c:pt idx="6">
                  <c:v>2138.9561996152088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8-42BA-A861-24F6C2E0C133}"/>
            </c:ext>
          </c:extLst>
        </c:ser>
        <c:ser>
          <c:idx val="1"/>
          <c:order val="1"/>
          <c:tx>
            <c:strRef>
              <c:f>'Res w CL'!$C$78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CL'!$L$78</c:f>
                  <c:strCache>
                    <c:ptCount val="1"/>
                    <c:pt idx="0">
                      <c:v>+7.7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{DF5CD940-D309-4AA6-9D7A-42E2565B745E}</c15:txfldGUID>
                      <c15:f>'Res w CL'!$L$78</c15:f>
                      <c15:dlblFieldTableCache>
                        <c:ptCount val="1"/>
                        <c:pt idx="0">
                          <c:v>+7.7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CL'!$D$78:$K$78</c:f>
              <c:numCache>
                <c:formatCode>#,##0.0</c:formatCode>
                <c:ptCount val="8"/>
                <c:pt idx="0" formatCode="#,##0">
                  <c:v>1008.3018000000001</c:v>
                </c:pt>
                <c:pt idx="1">
                  <c:v>7.657100000000014</c:v>
                </c:pt>
                <c:pt idx="7" formatCode="#,##0">
                  <c:v>1015.9589000000001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8-42BA-A861-24F6C2E0C133}"/>
            </c:ext>
          </c:extLst>
        </c:ser>
        <c:ser>
          <c:idx val="2"/>
          <c:order val="2"/>
          <c:tx>
            <c:strRef>
              <c:f>'Res w CL'!$C$79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CL'!$L$79</c:f>
                  <c:strCache>
                    <c:ptCount val="1"/>
                    <c:pt idx="0">
                      <c:v>+71.0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{72E68204-FC04-41CC-9AB7-F713312EE55E}</c15:txfldGUID>
                      <c15:f>'Res w CL'!$L$79</c15:f>
                      <c15:dlblFieldTableCache>
                        <c:ptCount val="1"/>
                        <c:pt idx="0">
                          <c:v>+71.0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CL'!$D$79:$K$79</c:f>
              <c:numCache>
                <c:formatCode>#,##0.0</c:formatCode>
                <c:ptCount val="8"/>
                <c:pt idx="0" formatCode="#,##0">
                  <c:v>696.13499999999999</c:v>
                </c:pt>
                <c:pt idx="2">
                  <c:v>70.963199999999915</c:v>
                </c:pt>
                <c:pt idx="7" formatCode="#,##0">
                  <c:v>767.09819999999991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8-42BA-A861-24F6C2E0C133}"/>
            </c:ext>
          </c:extLst>
        </c:ser>
        <c:ser>
          <c:idx val="3"/>
          <c:order val="3"/>
          <c:tx>
            <c:strRef>
              <c:f>'Res w CL'!$C$80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CL'!$L$80</c:f>
                  <c:strCache>
                    <c:ptCount val="1"/>
                    <c:pt idx="0">
                      <c:v>-0.1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{94502C01-3AC8-48D5-A89F-FE7D3C25E546}</c15:txfldGUID>
                      <c15:f>'Res w CL'!$L$80</c15:f>
                      <c15:dlblFieldTableCache>
                        <c:ptCount val="1"/>
                        <c:pt idx="0">
                          <c:v>-0.1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CL'!$D$80:$K$80</c:f>
              <c:numCache>
                <c:formatCode>#,##0.0</c:formatCode>
                <c:ptCount val="8"/>
                <c:pt idx="0" formatCode="#,##0">
                  <c:v>134.57400000000001</c:v>
                </c:pt>
                <c:pt idx="3">
                  <c:v>6.6000000000002501E-2</c:v>
                </c:pt>
                <c:pt idx="7" formatCode="#,##0">
                  <c:v>134.50800000000001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E8-42BA-A861-24F6C2E0C133}"/>
            </c:ext>
          </c:extLst>
        </c:ser>
        <c:ser>
          <c:idx val="4"/>
          <c:order val="4"/>
          <c:tx>
            <c:strRef>
              <c:f>'Res w CL'!$C$82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E8-42BA-A861-24F6C2E0C133}"/>
                </c:ext>
              </c:extLst>
            </c:dLbl>
            <c:dLbl>
              <c:idx val="4"/>
              <c:tx>
                <c:strRef>
                  <c:f>'Res w CL'!$L$82</c:f>
                  <c:strCache>
                    <c:ptCount val="1"/>
                    <c:pt idx="0">
                      <c:v>+221.4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{00B2E2A5-4D40-4503-A881-1DA3CD9D1078}</c15:txfldGUID>
                      <c15:f>'Res w CL'!$L$82</c15:f>
                      <c15:dlblFieldTableCache>
                        <c:ptCount val="1"/>
                        <c:pt idx="0">
                          <c:v>+221.4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CE8-42BA-A861-24F6C2E0C133}"/>
                </c:ext>
              </c:extLst>
            </c:dLbl>
            <c:dLbl>
              <c:idx val="5"/>
              <c:layout>
                <c:manualLayout>
                  <c:x val="0"/>
                  <c:y val="5.4214920385176002E-2"/>
                </c:manualLayout>
              </c:layout>
              <c:tx>
                <c:strRef>
                  <c:f>'Res w CL'!$L$82</c:f>
                  <c:strCache>
                    <c:ptCount val="1"/>
                    <c:pt idx="0">
                      <c:v>+221.4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{6ADF1442-DC26-4271-8B3C-EFC9C06469E5}</c15:txfldGUID>
                      <c15:f>'Res w CL'!$L$82</c15:f>
                      <c15:dlblFieldTableCache>
                        <c:ptCount val="1"/>
                        <c:pt idx="0">
                          <c:v>+221.4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CL'!$D$82:$K$82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221.39109961520896</c:v>
                </c:pt>
                <c:pt idx="7" formatCode="#,##0">
                  <c:v>221.39109961520896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E8-42BA-A861-24F6C2E0C133}"/>
            </c:ext>
          </c:extLst>
        </c:ser>
        <c:ser>
          <c:idx val="5"/>
          <c:order val="5"/>
          <c:tx>
            <c:strRef>
              <c:f>'Res w CL'!$C$83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E8-42BA-A861-24F6C2E0C133}"/>
                </c:ext>
              </c:extLst>
            </c:dLbl>
            <c:dLbl>
              <c:idx val="6"/>
              <c:layout>
                <c:manualLayout>
                  <c:x val="0"/>
                  <c:y val="5.0342426071949081E-2"/>
                </c:manualLayout>
              </c:layout>
              <c:tx>
                <c:strRef>
                  <c:f>'Res w CL'!$L$83</c:f>
                  <c:strCache>
                    <c:ptCount val="1"/>
                    <c:pt idx="0">
                      <c:v>+136.5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{D160B832-106A-48BF-BC47-E8E2A7DBD321}</c15:txfldGUID>
                      <c15:f>'Res w CL'!$L$83</c15:f>
                      <c15:dlblFieldTableCache>
                        <c:ptCount val="1"/>
                        <c:pt idx="0">
                          <c:v>+136.5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CL'!$D$83:$K$83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136.52911912437503</c:v>
                </c:pt>
                <c:pt idx="7" formatCode="#,##0">
                  <c:v>136.52911912437503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E8-42BA-A861-24F6C2E0C133}"/>
            </c:ext>
          </c:extLst>
        </c:ser>
        <c:ser>
          <c:idx val="7"/>
          <c:order val="6"/>
          <c:tx>
            <c:strRef>
              <c:f>'Res w CL'!$C$81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5.4214920385175967E-2"/>
                </c:manualLayout>
              </c:layout>
              <c:tx>
                <c:strRef>
                  <c:f>'Res w CL'!$L$81</c:f>
                  <c:strCache>
                    <c:ptCount val="1"/>
                    <c:pt idx="0">
                      <c:v>-238.0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{EE2E0AD5-BD60-4519-8AC9-4191A1FE8B38}</c15:txfldGUID>
                      <c15:f>'Res w CL'!$L$81</c15:f>
                      <c15:dlblFieldTableCache>
                        <c:ptCount val="1"/>
                        <c:pt idx="0">
                          <c:v>-238.0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CE8-42BA-A861-24F6C2E0C1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CL'!$D$81:$K$81</c:f>
              <c:numCache>
                <c:formatCode>#,##0.0</c:formatCode>
                <c:ptCount val="8"/>
                <c:pt idx="0" formatCode="#,##0">
                  <c:v>237.98919999999998</c:v>
                </c:pt>
                <c:pt idx="4">
                  <c:v>237.98919999999998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E8-42BA-A861-24F6C2E0C133}"/>
            </c:ext>
          </c:extLst>
        </c:ser>
        <c:ser>
          <c:idx val="6"/>
          <c:order val="7"/>
          <c:tx>
            <c:strRef>
              <c:f>'Res w CL'!$C$84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CL'!$D$84:$K$84</c:f>
              <c:numCache>
                <c:formatCode>#,##0</c:formatCode>
                <c:ptCount val="8"/>
                <c:pt idx="0">
                  <c:v>2077</c:v>
                </c:pt>
                <c:pt idx="7">
                  <c:v>2275.4853187395838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E8-42BA-A861-24F6C2E0C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CL'!$A$45</c:f>
          <c:strCache>
            <c:ptCount val="1"/>
            <c:pt idx="0">
              <c:v>Ausgrid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CL'!$C$45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CL'!$D$45:$K$45</c:f>
              <c:numCache>
                <c:formatCode>#,##0</c:formatCode>
                <c:ptCount val="8"/>
                <c:pt idx="0">
                  <c:v>0</c:v>
                </c:pt>
                <c:pt idx="1">
                  <c:v>1889.1701694049998</c:v>
                </c:pt>
                <c:pt idx="2">
                  <c:v>1889.1701694049998</c:v>
                </c:pt>
                <c:pt idx="3">
                  <c:v>2133.3862294049995</c:v>
                </c:pt>
                <c:pt idx="4">
                  <c:v>1700.9650382999998</c:v>
                </c:pt>
                <c:pt idx="5">
                  <c:v>1700.9650382999998</c:v>
                </c:pt>
                <c:pt idx="6">
                  <c:v>1910.0643540152089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8-4FB6-8209-BEF403E9FD05}"/>
            </c:ext>
          </c:extLst>
        </c:ser>
        <c:ser>
          <c:idx val="1"/>
          <c:order val="1"/>
          <c:tx>
            <c:strRef>
              <c:f>'Res w CL'!$C$46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CL'!$L$46</c:f>
                  <c:strCache>
                    <c:ptCount val="1"/>
                    <c:pt idx="0">
                      <c:v>-22.8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{8ACCF0BE-6231-4757-B902-D85F57BECF73}</c15:txfldGUID>
                      <c15:f>'Res w CL'!$L$46</c15:f>
                      <c15:dlblFieldTableCache>
                        <c:ptCount val="1"/>
                        <c:pt idx="0">
                          <c:v>-22.8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CL'!$D$46:$K$46</c:f>
              <c:numCache>
                <c:formatCode>#,##0.0</c:formatCode>
                <c:ptCount val="8"/>
                <c:pt idx="0" formatCode="#,##0">
                  <c:v>729.62542889500014</c:v>
                </c:pt>
                <c:pt idx="1">
                  <c:v>22.829830595000203</c:v>
                </c:pt>
                <c:pt idx="7" formatCode="#,##0">
                  <c:v>706.79559829999994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8-4FB6-8209-BEF403E9FD05}"/>
            </c:ext>
          </c:extLst>
        </c:ser>
        <c:ser>
          <c:idx val="2"/>
          <c:order val="2"/>
          <c:tx>
            <c:strRef>
              <c:f>'Res w CL'!$C$47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CL'!$L$47</c:f>
                  <c:strCache>
                    <c:ptCount val="1"/>
                    <c:pt idx="0">
                      <c:v>+244.2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{FABC3A46-6B10-43D1-9978-0AF9288D7156}</c15:txfldGUID>
                      <c15:f>'Res w CL'!$L$47</c15:f>
                      <c15:dlblFieldTableCache>
                        <c:ptCount val="1"/>
                        <c:pt idx="0">
                          <c:v>+244.2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CL'!$D$47:$K$47</c:f>
              <c:numCache>
                <c:formatCode>#,##0.0</c:formatCode>
                <c:ptCount val="8"/>
                <c:pt idx="0" formatCode="#,##0">
                  <c:v>595.13497999999993</c:v>
                </c:pt>
                <c:pt idx="2">
                  <c:v>244.21605999999997</c:v>
                </c:pt>
                <c:pt idx="7" formatCode="#,##0">
                  <c:v>839.3510399999999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38-4FB6-8209-BEF403E9FD05}"/>
            </c:ext>
          </c:extLst>
        </c:ser>
        <c:ser>
          <c:idx val="3"/>
          <c:order val="3"/>
          <c:tx>
            <c:strRef>
              <c:f>'Res w CL'!$C$48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CL'!$L$48</c:f>
                  <c:strCache>
                    <c:ptCount val="1"/>
                    <c:pt idx="0">
                      <c:v>+11.3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{D483D7B9-1E03-4821-8BB9-8037AE370B4F}</c15:txfldGUID>
                      <c15:f>'Res w CL'!$L$48</c15:f>
                      <c15:dlblFieldTableCache>
                        <c:ptCount val="1"/>
                        <c:pt idx="0">
                          <c:v>+11.3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CL'!$D$48:$K$48</c:f>
              <c:numCache>
                <c:formatCode>#,##0.0</c:formatCode>
                <c:ptCount val="8"/>
                <c:pt idx="0" formatCode="#,##0">
                  <c:v>143.50160000000002</c:v>
                </c:pt>
                <c:pt idx="3">
                  <c:v>11.316799999999972</c:v>
                </c:pt>
                <c:pt idx="7" formatCode="#,##0">
                  <c:v>154.8184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38-4FB6-8209-BEF403E9FD05}"/>
            </c:ext>
          </c:extLst>
        </c:ser>
        <c:ser>
          <c:idx val="4"/>
          <c:order val="4"/>
          <c:tx>
            <c:strRef>
              <c:f>'Res w CL'!$C$50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8-4FB6-8209-BEF403E9FD05}"/>
                </c:ext>
              </c:extLst>
            </c:dLbl>
            <c:dLbl>
              <c:idx val="4"/>
              <c:tx>
                <c:strRef>
                  <c:f>'Res w CL'!$L$58</c:f>
                  <c:strCache>
                    <c:ptCount val="1"/>
                    <c:pt idx="0">
                      <c:v>+216.7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{9F9FDA57-CCC7-4C38-9EE7-F74A0B8C97BB}</c15:txfldGUID>
                      <c15:f>'Res w CL'!$L$58</c15:f>
                      <c15:dlblFieldTableCache>
                        <c:ptCount val="1"/>
                        <c:pt idx="0">
                          <c:v>+216.7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B38-4FB6-8209-BEF403E9FD05}"/>
                </c:ext>
              </c:extLst>
            </c:dLbl>
            <c:dLbl>
              <c:idx val="5"/>
              <c:layout>
                <c:manualLayout>
                  <c:x val="-7.0423975982133065E-17"/>
                  <c:y val="4.6469931758722258E-2"/>
                </c:manualLayout>
              </c:layout>
              <c:tx>
                <c:strRef>
                  <c:f>'Res w CL'!$L$50</c:f>
                  <c:strCache>
                    <c:ptCount val="1"/>
                    <c:pt idx="0">
                      <c:v>+209.1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{9A5C8C1D-3C5E-4018-9FFB-DAA2114B11C2}</c15:txfldGUID>
                      <c15:f>'Res w CL'!$L$50</c15:f>
                      <c15:dlblFieldTableCache>
                        <c:ptCount val="1"/>
                        <c:pt idx="0">
                          <c:v>+209.1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CL'!$D$50:$K$50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209.099315715209</c:v>
                </c:pt>
                <c:pt idx="7" formatCode="#,##0">
                  <c:v>209.099315715209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38-4FB6-8209-BEF403E9FD05}"/>
            </c:ext>
          </c:extLst>
        </c:ser>
        <c:ser>
          <c:idx val="5"/>
          <c:order val="5"/>
          <c:tx>
            <c:strRef>
              <c:f>'Res w CL'!$C$51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8-4FB6-8209-BEF403E9FD05}"/>
                </c:ext>
              </c:extLst>
            </c:dLbl>
            <c:dLbl>
              <c:idx val="6"/>
              <c:layout>
                <c:manualLayout>
                  <c:x val="7.0423975982133065E-17"/>
                  <c:y val="4.6469931758722258E-2"/>
                </c:manualLayout>
              </c:layout>
              <c:tx>
                <c:strRef>
                  <c:f>'Res w CL'!$L$51</c:f>
                  <c:strCache>
                    <c:ptCount val="1"/>
                    <c:pt idx="0">
                      <c:v>+212.2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{15F9709C-7C1F-4F5E-AB7C-E083E3BDFCBB}</c15:txfldGUID>
                      <c15:f>'Res w CL'!$L$51</c15:f>
                      <c15:dlblFieldTableCache>
                        <c:ptCount val="1"/>
                        <c:pt idx="0">
                          <c:v>+212.2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CL'!$D$51:$K$51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212.22937266835629</c:v>
                </c:pt>
                <c:pt idx="7" formatCode="#,##0">
                  <c:v>212.22937266835629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B38-4FB6-8209-BEF403E9FD05}"/>
            </c:ext>
          </c:extLst>
        </c:ser>
        <c:ser>
          <c:idx val="7"/>
          <c:order val="6"/>
          <c:tx>
            <c:strRef>
              <c:f>'Res w CL'!$C$49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0423975982133065E-17"/>
                  <c:y val="8.9067369204217664E-2"/>
                </c:manualLayout>
              </c:layout>
              <c:tx>
                <c:strRef>
                  <c:f>'Res w CL'!$L$49</c:f>
                  <c:strCache>
                    <c:ptCount val="1"/>
                    <c:pt idx="0">
                      <c:v>-443.7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{1EECA3D4-BDF7-4E87-A6C1-B66BD2EE40C4}</c15:txfldGUID>
                      <c15:f>'Res w CL'!$L$49</c15:f>
                      <c15:dlblFieldTableCache>
                        <c:ptCount val="1"/>
                        <c:pt idx="0">
                          <c:v>-443.7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B38-4FB6-8209-BEF403E9FD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CL'!$D$49:$K$49</c:f>
              <c:numCache>
                <c:formatCode>#,##0.0</c:formatCode>
                <c:ptCount val="8"/>
                <c:pt idx="0" formatCode="#,##0">
                  <c:v>443.73799110499976</c:v>
                </c:pt>
                <c:pt idx="4">
                  <c:v>443.73799110499976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B38-4FB6-8209-BEF403E9FD05}"/>
            </c:ext>
          </c:extLst>
        </c:ser>
        <c:ser>
          <c:idx val="6"/>
          <c:order val="7"/>
          <c:tx>
            <c:strRef>
              <c:f>'Res w CL'!$C$52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CL'!$D$52:$K$52</c:f>
              <c:numCache>
                <c:formatCode>#,##0</c:formatCode>
                <c:ptCount val="8"/>
                <c:pt idx="0">
                  <c:v>1912</c:v>
                </c:pt>
                <c:pt idx="7">
                  <c:v>2122.2937266835652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B38-4FB6-8209-BEF403E9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Ausgrid!$D$3</c:f>
          <c:strCache>
            <c:ptCount val="1"/>
            <c:pt idx="0">
              <c:v>Ausgrid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Ausgrid!$F$33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Ausgrid!$S$33</c:f>
                  <c:strCache>
                    <c:ptCount val="1"/>
                    <c:pt idx="0">
                      <c:v>38.2%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{4BBD8B53-F69E-44F9-A76A-08B59B5D8AEE}</c15:txfldGUID>
                      <c15:f>Ausgrid!$S$33</c15:f>
                      <c15:dlblFieldTableCache>
                        <c:ptCount val="1"/>
                        <c:pt idx="0">
                          <c:v>38.2%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6CA-42EA-9312-8B86CB7F901B}"/>
                </c:ext>
              </c:extLst>
            </c:dLbl>
            <c:dLbl>
              <c:idx val="1"/>
              <c:tx>
                <c:strRef>
                  <c:f>Ausgrid!$X$33</c:f>
                  <c:strCache>
                    <c:ptCount val="1"/>
                    <c:pt idx="0">
                      <c:v>33.3%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{F39F4B09-3C8E-45FE-91D6-48A5F46CA30E}</c15:txfldGUID>
                      <c15:f>Ausgrid!$X$33</c15:f>
                      <c15:dlblFieldTableCache>
                        <c:ptCount val="1"/>
                        <c:pt idx="0">
                          <c:v>33.3%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(Ausgrid!$R$33,Ausgrid!$W$33)</c:f>
              <c:numCache>
                <c:formatCode>#,##0.00</c:formatCode>
                <c:ptCount val="2"/>
                <c:pt idx="0">
                  <c:v>729.62542889500014</c:v>
                </c:pt>
                <c:pt idx="1">
                  <c:v>706.79559829999994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A-42EA-9312-8B86CB7F901B}"/>
            </c:ext>
          </c:extLst>
        </c:ser>
        <c:ser>
          <c:idx val="1"/>
          <c:order val="1"/>
          <c:tx>
            <c:strRef>
              <c:f>Ausgrid!$F$34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Ausgrid!$S$34</c:f>
                  <c:strCache>
                    <c:ptCount val="1"/>
                    <c:pt idx="0">
                      <c:v>31.1%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{3CCB567D-4595-4F50-916F-6B3B5948904F}</c15:txfldGUID>
                      <c15:f>Ausgrid!$S$34</c15:f>
                      <c15:dlblFieldTableCache>
                        <c:ptCount val="1"/>
                        <c:pt idx="0">
                          <c:v>31.1%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6CA-42EA-9312-8B86CB7F901B}"/>
                </c:ext>
              </c:extLst>
            </c:dLbl>
            <c:dLbl>
              <c:idx val="1"/>
              <c:tx>
                <c:strRef>
                  <c:f>Ausgrid!$X$34</c:f>
                  <c:strCache>
                    <c:ptCount val="1"/>
                    <c:pt idx="0">
                      <c:v>39.5%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{387863FC-B73F-4489-A1EA-F70A75F0C821}</c15:txfldGUID>
                      <c15:f>Ausgrid!$X$34</c15:f>
                      <c15:dlblFieldTableCache>
                        <c:ptCount val="1"/>
                        <c:pt idx="0">
                          <c:v>39.5%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(Ausgrid!$R$34,Ausgrid!$W$34)</c:f>
              <c:numCache>
                <c:formatCode>#,##0.00</c:formatCode>
                <c:ptCount val="2"/>
                <c:pt idx="0">
                  <c:v>595.13497999999993</c:v>
                </c:pt>
                <c:pt idx="1">
                  <c:v>839.3510399999999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CA-42EA-9312-8B86CB7F901B}"/>
            </c:ext>
          </c:extLst>
        </c:ser>
        <c:ser>
          <c:idx val="2"/>
          <c:order val="2"/>
          <c:tx>
            <c:strRef>
              <c:f>Ausgrid!$F$35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Ausgrid!$S$35</c:f>
                  <c:strCache>
                    <c:ptCount val="1"/>
                    <c:pt idx="0">
                      <c:v>7.5%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{B8C5C9A2-FB63-43C9-8CEF-E14C1C808E6E}</c15:txfldGUID>
                      <c15:f>Ausgrid!$S$35</c15:f>
                      <c15:dlblFieldTableCache>
                        <c:ptCount val="1"/>
                        <c:pt idx="0">
                          <c:v>7.5%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6CA-42EA-9312-8B86CB7F901B}"/>
                </c:ext>
              </c:extLst>
            </c:dLbl>
            <c:dLbl>
              <c:idx val="1"/>
              <c:tx>
                <c:strRef>
                  <c:f>Ausgrid!$X$35</c:f>
                  <c:strCache>
                    <c:ptCount val="1"/>
                    <c:pt idx="0">
                      <c:v>7.3%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{0FAD836F-F0E1-4F09-858D-18D9C2C30D21}</c15:txfldGUID>
                      <c15:f>Ausgrid!$X$35</c15:f>
                      <c15:dlblFieldTableCache>
                        <c:ptCount val="1"/>
                        <c:pt idx="0">
                          <c:v>7.3%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(Ausgrid!$R$35,Ausgrid!$W$35)</c:f>
              <c:numCache>
                <c:formatCode>#,##0.00</c:formatCode>
                <c:ptCount val="2"/>
                <c:pt idx="0">
                  <c:v>143.50160000000002</c:v>
                </c:pt>
                <c:pt idx="1">
                  <c:v>154.8184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CA-42EA-9312-8B86CB7F901B}"/>
            </c:ext>
          </c:extLst>
        </c:ser>
        <c:ser>
          <c:idx val="3"/>
          <c:order val="3"/>
          <c:tx>
            <c:strRef>
              <c:f>Ausgrid!$F$37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CA-42EA-9312-8B86CB7F901B}"/>
                </c:ext>
              </c:extLst>
            </c:dLbl>
            <c:dLbl>
              <c:idx val="1"/>
              <c:tx>
                <c:strRef>
                  <c:f>Ausgrid!$X$37</c:f>
                  <c:strCache>
                    <c:ptCount val="1"/>
                    <c:pt idx="0">
                      <c:v>9.9%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{C155C49A-999D-4061-B18F-A0DF00FD20EB}</c15:txfldGUID>
                      <c15:f>Ausgrid!$X$37</c15:f>
                      <c15:dlblFieldTableCache>
                        <c:ptCount val="1"/>
                        <c:pt idx="0">
                          <c:v>9.9%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(Ausgrid!$R$37,Ausgrid!$W$37)</c:f>
              <c:numCache>
                <c:formatCode>#,##0.00</c:formatCode>
                <c:ptCount val="2"/>
                <c:pt idx="0">
                  <c:v>0</c:v>
                </c:pt>
                <c:pt idx="1">
                  <c:v>209.099315715209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CA-42EA-9312-8B86CB7F901B}"/>
            </c:ext>
          </c:extLst>
        </c:ser>
        <c:ser>
          <c:idx val="5"/>
          <c:order val="4"/>
          <c:tx>
            <c:strRef>
              <c:f>Ausgrid!$F$38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CA-42EA-9312-8B86CB7F901B}"/>
                </c:ext>
              </c:extLst>
            </c:dLbl>
            <c:dLbl>
              <c:idx val="1"/>
              <c:tx>
                <c:strRef>
                  <c:f>Ausgrid!$X$38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{A49E6FB3-4050-4B62-9D10-196F1DA51259}</c15:txfldGUID>
                      <c15:f>Ausgrid!$X$38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(Ausgrid!$R$38,Ausgrid!$W$38)</c:f>
              <c:numCache>
                <c:formatCode>#,##0.00</c:formatCode>
                <c:ptCount val="2"/>
                <c:pt idx="0">
                  <c:v>0</c:v>
                </c:pt>
                <c:pt idx="1">
                  <c:v>212.22937266835629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CA-42EA-9312-8B86CB7F901B}"/>
            </c:ext>
          </c:extLst>
        </c:ser>
        <c:ser>
          <c:idx val="6"/>
          <c:order val="5"/>
          <c:tx>
            <c:strRef>
              <c:f>Ausgrid!$F$36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Ausgrid!$S$36</c:f>
                  <c:strCache>
                    <c:ptCount val="1"/>
                    <c:pt idx="0">
                      <c:v>23.2%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{7679B2A0-5F44-4E03-8C9D-0A04B8E2533C}</c15:txfldGUID>
                      <c15:f>Ausgrid!$S$36</c15:f>
                      <c15:dlblFieldTableCache>
                        <c:ptCount val="1"/>
                        <c:pt idx="0">
                          <c:v>23.2%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6CA-42EA-9312-8B86CB7F90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(Ausgrid!$R$36,Ausgrid!$W$36)</c:f>
              <c:numCache>
                <c:formatCode>#,##0.00</c:formatCode>
                <c:ptCount val="2"/>
                <c:pt idx="0">
                  <c:v>443.73799110499976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6CA-42EA-9312-8B86CB7F901B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(Ausgrid!$Q$32,Ausgrid!$Q$39)</c:f>
              <c:numCache>
                <c:formatCode>#,##0.00</c:formatCode>
                <c:ptCount val="2"/>
                <c:pt idx="0">
                  <c:v>1912</c:v>
                </c:pt>
                <c:pt idx="1">
                  <c:v>2122.2937266835652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CA-42EA-9312-8B86CB7F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Ausgrid!$C$3</c:f>
          <c:strCache>
            <c:ptCount val="1"/>
            <c:pt idx="0">
              <c:v>Ausgrid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Ausgrid!$F$33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Ausgrid!$J$33</c:f>
                  <c:strCache>
                    <c:ptCount val="1"/>
                    <c:pt idx="0">
                      <c:v>40.0%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{539FDEF0-43BA-4B1A-8318-09A286509AB5}</c15:txfldGUID>
                      <c15:f>Ausgrid!$J$33</c15:f>
                      <c15:dlblFieldTableCache>
                        <c:ptCount val="1"/>
                        <c:pt idx="0">
                          <c:v>40.0%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92A-413D-8D88-618D8700F382}"/>
                </c:ext>
              </c:extLst>
            </c:dLbl>
            <c:dLbl>
              <c:idx val="1"/>
              <c:tx>
                <c:strRef>
                  <c:f>Ausgrid!$O$33</c:f>
                  <c:strCache>
                    <c:ptCount val="1"/>
                    <c:pt idx="0">
                      <c:v>35.6%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{D4AF8BF2-6999-4ADD-BFF5-8A88C0903C16}</c15:txfldGUID>
                      <c15:f>Ausgrid!$O$33</c15:f>
                      <c15:dlblFieldTableCache>
                        <c:ptCount val="1"/>
                        <c:pt idx="0">
                          <c:v>35.6%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(Ausgrid!$I$33,Ausgrid!$N$33)</c:f>
              <c:numCache>
                <c:formatCode>#,##0.00</c:formatCode>
                <c:ptCount val="2"/>
                <c:pt idx="0">
                  <c:v>556.64085399999999</c:v>
                </c:pt>
                <c:pt idx="1">
                  <c:v>538.42154299999993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2A-413D-8D88-618D8700F382}"/>
            </c:ext>
          </c:extLst>
        </c:ser>
        <c:ser>
          <c:idx val="1"/>
          <c:order val="1"/>
          <c:tx>
            <c:strRef>
              <c:f>Ausgrid!$F$34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Ausgrid!$J$34</c:f>
                  <c:strCache>
                    <c:ptCount val="1"/>
                    <c:pt idx="0">
                      <c:v>27.1%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{8210A334-4F94-4A90-8479-A120431BD99F}</c15:txfldGUID>
                      <c15:f>Ausgrid!$J$34</c15:f>
                      <c15:dlblFieldTableCache>
                        <c:ptCount val="1"/>
                        <c:pt idx="0">
                          <c:v>27.1%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92A-413D-8D88-618D8700F382}"/>
                </c:ext>
              </c:extLst>
            </c:dLbl>
            <c:dLbl>
              <c:idx val="1"/>
              <c:tx>
                <c:strRef>
                  <c:f>Ausgrid!$O$34</c:f>
                  <c:strCache>
                    <c:ptCount val="1"/>
                    <c:pt idx="0">
                      <c:v>34.7%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{A93BDDFA-D561-4350-A109-A831AF7D1A81}</c15:txfldGUID>
                      <c15:f>Ausgrid!$O$34</c15:f>
                      <c15:dlblFieldTableCache>
                        <c:ptCount val="1"/>
                        <c:pt idx="0">
                          <c:v>34.7%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(Ausgrid!$I$34,Ausgrid!$N$34)</c:f>
              <c:numCache>
                <c:formatCode>#,##0.00</c:formatCode>
                <c:ptCount val="2"/>
                <c:pt idx="0">
                  <c:v>377.26260000000002</c:v>
                </c:pt>
                <c:pt idx="1">
                  <c:v>524.36670000000004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2A-413D-8D88-618D8700F382}"/>
            </c:ext>
          </c:extLst>
        </c:ser>
        <c:ser>
          <c:idx val="2"/>
          <c:order val="2"/>
          <c:tx>
            <c:strRef>
              <c:f>Ausgrid!$F$35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Ausgrid!$J$35</c:f>
                  <c:strCache>
                    <c:ptCount val="1"/>
                    <c:pt idx="0">
                      <c:v>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{DFAA2B11-E1D9-40F2-90A7-9F5316CE7140}</c15:txfldGUID>
                      <c15:f>Ausgrid!$J$35</c15:f>
                      <c15:dlblFieldTableCache>
                        <c:ptCount val="1"/>
                        <c:pt idx="0">
                          <c:v>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92A-413D-8D88-618D8700F382}"/>
                </c:ext>
              </c:extLst>
            </c:dLbl>
            <c:dLbl>
              <c:idx val="1"/>
              <c:tx>
                <c:strRef>
                  <c:f>Ausgrid!$O$35</c:f>
                  <c:strCache>
                    <c:ptCount val="1"/>
                    <c:pt idx="0">
                      <c:v>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{1B088AA7-EC65-456D-AE42-F40069AFE6A3}</c15:txfldGUID>
                      <c15:f>Ausgrid!$O$35</c15:f>
                      <c15:dlblFieldTableCache>
                        <c:ptCount val="1"/>
                        <c:pt idx="0">
                          <c:v>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(Ausgrid!$I$35,Ausgrid!$N$35)</c:f>
              <c:numCache>
                <c:formatCode>#,##0.00</c:formatCode>
                <c:ptCount val="2"/>
                <c:pt idx="0">
                  <c:v>82.2393</c:v>
                </c:pt>
                <c:pt idx="1">
                  <c:v>88.717200000000005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2A-413D-8D88-618D8700F382}"/>
            </c:ext>
          </c:extLst>
        </c:ser>
        <c:ser>
          <c:idx val="3"/>
          <c:order val="3"/>
          <c:tx>
            <c:strRef>
              <c:f>Ausgrid!$F$37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2A-413D-8D88-618D8700F382}"/>
                </c:ext>
              </c:extLst>
            </c:dLbl>
            <c:dLbl>
              <c:idx val="1"/>
              <c:tx>
                <c:strRef>
                  <c:f>Ausgrid!$O$37</c:f>
                  <c:strCache>
                    <c:ptCount val="1"/>
                    <c:pt idx="0">
                      <c:v>13.8%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{E88199DB-7A16-4894-9FC1-D3D28924BE72}</c15:txfldGUID>
                      <c15:f>Ausgrid!$O$37</c15:f>
                      <c15:dlblFieldTableCache>
                        <c:ptCount val="1"/>
                        <c:pt idx="0">
                          <c:v>13.8%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(Ausgrid!$I$37,Ausgrid!$N$37)</c:f>
              <c:numCache>
                <c:formatCode>#,##0.00</c:formatCode>
                <c:ptCount val="2"/>
                <c:pt idx="0">
                  <c:v>0</c:v>
                </c:pt>
                <c:pt idx="1">
                  <c:v>209.099315715209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2A-413D-8D88-618D8700F382}"/>
            </c:ext>
          </c:extLst>
        </c:ser>
        <c:ser>
          <c:idx val="5"/>
          <c:order val="4"/>
          <c:tx>
            <c:strRef>
              <c:f>Ausgrid!$F$38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2A-413D-8D88-618D8700F382}"/>
                </c:ext>
              </c:extLst>
            </c:dLbl>
            <c:dLbl>
              <c:idx val="1"/>
              <c:tx>
                <c:strRef>
                  <c:f>Ausgrid!$O$38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{C783D1AC-F563-4DC5-906F-EBAA91D9E2DD}</c15:txfldGUID>
                      <c15:f>Ausgrid!$O$38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(Ausgrid!$I$38,Ausgrid!$N$38)</c:f>
              <c:numCache>
                <c:formatCode>#,##0.00</c:formatCode>
                <c:ptCount val="2"/>
                <c:pt idx="0">
                  <c:v>0</c:v>
                </c:pt>
                <c:pt idx="1">
                  <c:v>151.17830652391217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2A-413D-8D88-618D8700F382}"/>
            </c:ext>
          </c:extLst>
        </c:ser>
        <c:ser>
          <c:idx val="6"/>
          <c:order val="5"/>
          <c:tx>
            <c:strRef>
              <c:f>Ausgrid!$F$36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Ausgrid!$J$36</c:f>
                  <c:strCache>
                    <c:ptCount val="1"/>
                    <c:pt idx="0">
                      <c:v>27.1%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{F5AB3110-7FB6-4220-8D9A-D03DDA279EA9}</c15:txfldGUID>
                      <c15:f>Ausgrid!$J$36</c15:f>
                      <c15:dlblFieldTableCache>
                        <c:ptCount val="1"/>
                        <c:pt idx="0">
                          <c:v>27.1%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C92A-413D-8D88-618D8700F3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(Ausgrid!$I$36,Ausgrid!$N$36)</c:f>
              <c:numCache>
                <c:formatCode>#,##0.00</c:formatCode>
                <c:ptCount val="2"/>
                <c:pt idx="0">
                  <c:v>376.85724600000003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2A-413D-8D88-618D8700F382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(Ausgrid!$H$32,Ausgrid!$H$39)</c:f>
              <c:numCache>
                <c:formatCode>#,##0.00</c:formatCode>
                <c:ptCount val="2"/>
                <c:pt idx="0">
                  <c:v>1393</c:v>
                </c:pt>
                <c:pt idx="1">
                  <c:v>1511.7830652391212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92A-413D-8D88-618D8700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Ausgrid!$E$3</c:f>
          <c:strCache>
            <c:ptCount val="1"/>
            <c:pt idx="0">
              <c:v>Ausgrid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Ausgrid!$F$33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Ausgrid!$AG$33</c:f>
                  <c:strCache>
                    <c:ptCount val="1"/>
                    <c:pt idx="0">
                      <c:v>32.3%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{E6C47535-8EB6-4C65-A138-CC3D845C45BE}</c15:txfldGUID>
                      <c15:f>Ausgrid!$AG$33</c15:f>
                      <c15:dlblFieldTableCache>
                        <c:ptCount val="1"/>
                        <c:pt idx="0">
                          <c:v>32.3%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(Ausgrid!$AA$33,Ausgrid!$AF$33)</c15:sqref>
                  </c15:fullRef>
                </c:ext>
              </c:extLst>
              <c:f>Ausgrid!$AF$33</c:f>
              <c:numCache>
                <c:formatCode>#,##0.00</c:formatCode>
                <c:ptCount val="1"/>
                <c:pt idx="0">
                  <c:v>1408.5695250000003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Ausgrid!$AA$33</c15:sqref>
                  <c15:dLbl>
                    <c:idx val="-1"/>
                    <c:tx>
                      <c:strRef>
                        <c:f>Ausgrid!$AB$33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{749B9225-597E-4CC6-9156-33BD08D90FDD}</c15:txfldGUID>
                            <c15:f>Ausgrid!$AB$33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97A4-4E59-96CB-7BE8DCD1705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A49C-4EFD-A9CE-F6D82CBDA0E6}"/>
            </c:ext>
          </c:extLst>
        </c:ser>
        <c:ser>
          <c:idx val="1"/>
          <c:order val="1"/>
          <c:tx>
            <c:strRef>
              <c:f>Ausgrid!$F$34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Ausgrid!$AG$34</c:f>
                  <c:strCache>
                    <c:ptCount val="1"/>
                    <c:pt idx="0">
                      <c:v>30.8%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{3F85B0B3-5D54-41B1-9394-E7DBDDA44EBF}</c15:txfldGUID>
                      <c15:f>Ausgrid!$AG$34</c15:f>
                      <c15:dlblFieldTableCache>
                        <c:ptCount val="1"/>
                        <c:pt idx="0">
                          <c:v>30.8%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(Ausgrid!$AA$34,Ausgrid!$AF$34)</c15:sqref>
                  </c15:fullRef>
                </c:ext>
              </c:extLst>
              <c:f>Ausgrid!$AF$34</c:f>
              <c:numCache>
                <c:formatCode>#,##0.00</c:formatCode>
                <c:ptCount val="1"/>
                <c:pt idx="0">
                  <c:v>1344.53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Ausgrid!$AA$34</c15:sqref>
                  <c15:dLbl>
                    <c:idx val="-1"/>
                    <c:tx>
                      <c:strRef>
                        <c:f>Ausgrid!$AB$34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{657024BC-3848-4CAC-96B0-7AD097C3CF38}</c15:txfldGUID>
                            <c15:f>Ausgrid!$AB$34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97A4-4E59-96CB-7BE8DCD1705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A49C-4EFD-A9CE-F6D82CBDA0E6}"/>
            </c:ext>
          </c:extLst>
        </c:ser>
        <c:ser>
          <c:idx val="2"/>
          <c:order val="2"/>
          <c:tx>
            <c:strRef>
              <c:f>Ausgrid!$F$35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Ausgrid!$AG$35</c:f>
                  <c:strCache>
                    <c:ptCount val="1"/>
                    <c:pt idx="0">
                      <c:v>5.2%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{B1F87AAC-7BA4-4D25-ABDE-1DBA31F5A0C1}</c15:txfldGUID>
                      <c15:f>Ausgrid!$AG$35</c15:f>
                      <c15:dlblFieldTableCache>
                        <c:ptCount val="1"/>
                        <c:pt idx="0">
                          <c:v>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(Ausgrid!$AA$35,Ausgrid!$AF$35)</c15:sqref>
                  </c15:fullRef>
                </c:ext>
              </c:extLst>
              <c:f>Ausgrid!$AF$35</c:f>
              <c:numCache>
                <c:formatCode>#,##0.00</c:formatCode>
                <c:ptCount val="1"/>
                <c:pt idx="0">
                  <c:v>227.48000000000002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Ausgrid!$AA$35</c15:sqref>
                  <c15:dLbl>
                    <c:idx val="-1"/>
                    <c:tx>
                      <c:strRef>
                        <c:f>Ausgrid!$AB$35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{BFDF8208-E0A3-4AA3-8047-BEEE7EA12F9E}</c15:txfldGUID>
                            <c15:f>Ausgrid!$AB$35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97A4-4E59-96CB-7BE8DCD1705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A49C-4EFD-A9CE-F6D82CBDA0E6}"/>
            </c:ext>
          </c:extLst>
        </c:ser>
        <c:ser>
          <c:idx val="3"/>
          <c:order val="3"/>
          <c:tx>
            <c:strRef>
              <c:f>Ausgrid!$F$37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Ausgrid!$AG$37</c:f>
                  <c:strCache>
                    <c:ptCount val="1"/>
                    <c:pt idx="0">
                      <c:v>6.6%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{F068B5B8-A96D-45A6-9465-88BEEA7E5AD9}</c15:txfldGUID>
                      <c15:f>Ausgrid!$AG$37</c15:f>
                      <c15:dlblFieldTableCache>
                        <c:ptCount val="1"/>
                        <c:pt idx="0">
                          <c:v>6.6%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(Ausgrid!$AA$37,Ausgrid!$AF$37)</c15:sqref>
                  </c15:fullRef>
                </c:ext>
              </c:extLst>
              <c:f>Ausgrid!$AF$37</c:f>
              <c:numCache>
                <c:formatCode>#,##0.00</c:formatCode>
                <c:ptCount val="1"/>
                <c:pt idx="0">
                  <c:v>289.06850034020903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7A4-4E59-96CB-7BE8DCD1705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A49C-4EFD-A9CE-F6D82CBDA0E6}"/>
            </c:ext>
          </c:extLst>
        </c:ser>
        <c:ser>
          <c:idx val="5"/>
          <c:order val="4"/>
          <c:tx>
            <c:strRef>
              <c:f>Ausgrid!$F$38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Ausgrid!$AG$38</c:f>
                  <c:strCache>
                    <c:ptCount val="1"/>
                    <c:pt idx="0">
                      <c:v>25.0%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{B7A18104-92C4-474D-85A1-40AC4D29F7B9}</c15:txfldGUID>
                      <c15:f>Ausgrid!$AG$38</c15:f>
                      <c15:dlblFieldTableCache>
                        <c:ptCount val="1"/>
                        <c:pt idx="0">
                          <c:v>25.0%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(Ausgrid!$AA$38,Ausgrid!$AF$38)</c15:sqref>
                  </c15:fullRef>
                </c:ext>
              </c:extLst>
              <c:f>Ausgrid!$AF$38</c:f>
              <c:numCache>
                <c:formatCode>#,##0.00</c:formatCode>
                <c:ptCount val="1"/>
                <c:pt idx="0">
                  <c:v>1089.8826751134029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7A4-4E59-96CB-7BE8DCD1705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A49C-4EFD-A9CE-F6D82CBDA0E6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(Ausgrid!$Z$32,Ausgrid!$Z$39)</c15:sqref>
                  </c15:fullRef>
                </c:ext>
              </c:extLst>
              <c:f>Ausgrid!$Z$39</c:f>
              <c:numCache>
                <c:formatCode>#,##0.00</c:formatCode>
                <c:ptCount val="1"/>
                <c:pt idx="0">
                  <c:v>4359.5307004536126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9C-4EFD-A9CE-F6D82CBD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Ausgrid!$F$36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49C-4EFD-A9CE-F6D82CBDA0E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(Ausgrid!$AA$36,Ausgrid!$AF$36)</c15:sqref>
                        </c15:fullRef>
                        <c15:formulaRef>
                          <c15:sqref>Ausgrid!$AF$36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Ausgrid!$AA$36</c15:sqref>
                        <c15:dLbl>
                          <c:idx val="-1"/>
                          <c:tx>
                            <c:strRef>
                              <c:f>Ausgrid!$AB$36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{30EE92EC-9E8A-42FC-9DFC-880C8DEE6C64}</c15:txfldGUID>
                                  <c15:f>Ausgrid!$AB$36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05-97A4-4E59-96CB-7BE8DCD17051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1-A49C-4EFD-A9CE-F6D82CBDA0E6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Endeavour!$D$3</c:f>
          <c:strCache>
            <c:ptCount val="1"/>
            <c:pt idx="0">
              <c:v>Endeavour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Endeavour!$F$33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Endeavour!$S$33</c:f>
                  <c:strCache>
                    <c:ptCount val="1"/>
                    <c:pt idx="0">
                      <c:v>36.1%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{51214E44-B3AC-45CE-9198-49F9931C2E1B}</c15:txfldGUID>
                      <c15:f>Endeavour!$S$33</c15:f>
                      <c15:dlblFieldTableCache>
                        <c:ptCount val="1"/>
                        <c:pt idx="0">
                          <c:v>36.1%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9A8-4F94-98F4-E7CD05BED90A}"/>
                </c:ext>
              </c:extLst>
            </c:dLbl>
            <c:dLbl>
              <c:idx val="1"/>
              <c:tx>
                <c:strRef>
                  <c:f>Endeavour!$X$33</c:f>
                  <c:strCache>
                    <c:ptCount val="1"/>
                    <c:pt idx="0">
                      <c:v>32.3%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{0FD53B4A-EBB9-40B8-90BA-63F53C7F3977}</c15:txfldGUID>
                      <c15:f>Endeavour!$X$33</c15:f>
                      <c15:dlblFieldTableCache>
                        <c:ptCount val="1"/>
                        <c:pt idx="0">
                          <c:v>32.3%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(Endeavour!$R$33,Endeavour!$W$33)</c:f>
              <c:numCache>
                <c:formatCode>#,##0.00</c:formatCode>
                <c:ptCount val="2"/>
                <c:pt idx="0">
                  <c:v>727.84738840000011</c:v>
                </c:pt>
                <c:pt idx="1">
                  <c:v>770.30509819999997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8-4F94-98F4-E7CD05BED90A}"/>
            </c:ext>
          </c:extLst>
        </c:ser>
        <c:ser>
          <c:idx val="1"/>
          <c:order val="1"/>
          <c:tx>
            <c:strRef>
              <c:f>Endeavour!$F$34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Endeavour!$S$34</c:f>
                  <c:strCache>
                    <c:ptCount val="1"/>
                    <c:pt idx="0">
                      <c:v>35.1%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{A72C5406-0A89-4AD4-A424-9D73AE6CCD26}</c15:txfldGUID>
                      <c15:f>Endeavour!$S$34</c15:f>
                      <c15:dlblFieldTableCache>
                        <c:ptCount val="1"/>
                        <c:pt idx="0">
                          <c:v>35.1%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9A8-4F94-98F4-E7CD05BED90A}"/>
                </c:ext>
              </c:extLst>
            </c:dLbl>
            <c:dLbl>
              <c:idx val="1"/>
              <c:tx>
                <c:strRef>
                  <c:f>Endeavour!$X$34</c:f>
                  <c:strCache>
                    <c:ptCount val="1"/>
                    <c:pt idx="0">
                      <c:v>41.5%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{81A3AE18-C28E-472E-A609-0046C2171D39}</c15:txfldGUID>
                      <c15:f>Endeavour!$X$34</c15:f>
                      <c15:dlblFieldTableCache>
                        <c:ptCount val="1"/>
                        <c:pt idx="0">
                          <c:v>41.5%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(Endeavour!$R$34,Endeavour!$W$34)</c:f>
              <c:numCache>
                <c:formatCode>#,##0.00</c:formatCode>
                <c:ptCount val="2"/>
                <c:pt idx="0">
                  <c:v>706.46619999999996</c:v>
                </c:pt>
                <c:pt idx="1">
                  <c:v>987.8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A8-4F94-98F4-E7CD05BED90A}"/>
            </c:ext>
          </c:extLst>
        </c:ser>
        <c:ser>
          <c:idx val="2"/>
          <c:order val="2"/>
          <c:tx>
            <c:strRef>
              <c:f>Endeavour!$F$35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Endeavour!$S$35</c:f>
                  <c:strCache>
                    <c:ptCount val="1"/>
                    <c:pt idx="0">
                      <c:v>7.8%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{15EF9AF5-F360-45B3-ADE0-98DF93BAAD4F}</c15:txfldGUID>
                      <c15:f>Endeavour!$S$35</c15:f>
                      <c15:dlblFieldTableCache>
                        <c:ptCount val="1"/>
                        <c:pt idx="0">
                          <c:v>7.8%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9A8-4F94-98F4-E7CD05BED90A}"/>
                </c:ext>
              </c:extLst>
            </c:dLbl>
            <c:dLbl>
              <c:idx val="1"/>
              <c:tx>
                <c:strRef>
                  <c:f>Endeavour!$X$35</c:f>
                  <c:strCache>
                    <c:ptCount val="1"/>
                    <c:pt idx="0">
                      <c:v>7.1%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{27D11905-1C43-4A2E-AD55-7BD7D58087E6}</c15:txfldGUID>
                      <c15:f>Endeavour!$X$35</c15:f>
                      <c15:dlblFieldTableCache>
                        <c:ptCount val="1"/>
                        <c:pt idx="0">
                          <c:v>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(Endeavour!$R$35,Endeavour!$W$35)</c:f>
              <c:numCache>
                <c:formatCode>#,##0.00</c:formatCode>
                <c:ptCount val="2"/>
                <c:pt idx="0">
                  <c:v>157.18340000000001</c:v>
                </c:pt>
                <c:pt idx="1">
                  <c:v>169.47479999999999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A8-4F94-98F4-E7CD05BED90A}"/>
            </c:ext>
          </c:extLst>
        </c:ser>
        <c:ser>
          <c:idx val="3"/>
          <c:order val="3"/>
          <c:tx>
            <c:strRef>
              <c:f>Endeavour!$F$37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8-4F94-98F4-E7CD05BED90A}"/>
                </c:ext>
              </c:extLst>
            </c:dLbl>
            <c:dLbl>
              <c:idx val="1"/>
              <c:tx>
                <c:strRef>
                  <c:f>Endeavour!$X$37</c:f>
                  <c:strCache>
                    <c:ptCount val="1"/>
                    <c:pt idx="0">
                      <c:v>9.1%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{5BCF4DB0-A25E-4AD5-BBB0-0354F0E04D3F}</c15:txfldGUID>
                      <c15:f>Endeavour!$X$37</c15:f>
                      <c15:dlblFieldTableCache>
                        <c:ptCount val="1"/>
                        <c:pt idx="0">
                          <c:v>9.1%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(Endeavour!$R$37,Endeavour!$W$37)</c:f>
              <c:numCache>
                <c:formatCode>#,##0.00</c:formatCode>
                <c:ptCount val="2"/>
                <c:pt idx="0">
                  <c:v>0</c:v>
                </c:pt>
                <c:pt idx="1">
                  <c:v>216.69699316520897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A8-4F94-98F4-E7CD05BED90A}"/>
            </c:ext>
          </c:extLst>
        </c:ser>
        <c:ser>
          <c:idx val="5"/>
          <c:order val="4"/>
          <c:tx>
            <c:strRef>
              <c:f>Endeavour!$F$38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A8-4F94-98F4-E7CD05BED90A}"/>
                </c:ext>
              </c:extLst>
            </c:dLbl>
            <c:dLbl>
              <c:idx val="1"/>
              <c:tx>
                <c:strRef>
                  <c:f>Endeavour!$X$38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{3073F17A-0A8E-40AC-8639-D1AB97C643F5}</c15:txfldGUID>
                      <c15:f>Endeavour!$X$38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(Endeavour!$R$38,Endeavour!$W$38)</c:f>
              <c:numCache>
                <c:formatCode>#,##0.00</c:formatCode>
                <c:ptCount val="2"/>
                <c:pt idx="0">
                  <c:v>0</c:v>
                </c:pt>
                <c:pt idx="1">
                  <c:v>238.25298792946751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A8-4F94-98F4-E7CD05BED90A}"/>
            </c:ext>
          </c:extLst>
        </c:ser>
        <c:ser>
          <c:idx val="6"/>
          <c:order val="5"/>
          <c:tx>
            <c:strRef>
              <c:f>Endeavour!$F$36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Endeavour!$S$36</c:f>
                  <c:strCache>
                    <c:ptCount val="1"/>
                    <c:pt idx="0">
                      <c:v>21.0%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{AF0CB8C6-CD34-4863-8A6B-01FF7225C22F}</c15:txfldGUID>
                      <c15:f>Endeavour!$S$36</c15:f>
                      <c15:dlblFieldTableCache>
                        <c:ptCount val="1"/>
                        <c:pt idx="0">
                          <c:v>21.0%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79A8-4F94-98F4-E7CD05BED9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(Endeavour!$R$36,Endeavour!$W$36)</c:f>
              <c:numCache>
                <c:formatCode>#,##0.00</c:formatCode>
                <c:ptCount val="2"/>
                <c:pt idx="0">
                  <c:v>422.50301159999981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9A8-4F94-98F4-E7CD05BED90A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(Endeavour!$Q$32,Endeavour!$Q$39)</c:f>
              <c:numCache>
                <c:formatCode>#,##0.00</c:formatCode>
                <c:ptCount val="2"/>
                <c:pt idx="0">
                  <c:v>2014</c:v>
                </c:pt>
                <c:pt idx="1">
                  <c:v>2382.5298792946764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9A8-4F94-98F4-E7CD05BED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Endeavour!$C$3</c:f>
          <c:strCache>
            <c:ptCount val="1"/>
            <c:pt idx="0">
              <c:v>Endeavour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Endeavour!$F$33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Endeavour!$J$33</c:f>
                  <c:strCache>
                    <c:ptCount val="1"/>
                    <c:pt idx="0">
                      <c:v>38.7%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{681CFFE2-43A2-4EB2-986B-E36FA080788A}</c15:txfldGUID>
                      <c15:f>Endeavour!$J$33</c15:f>
                      <c15:dlblFieldTableCache>
                        <c:ptCount val="1"/>
                        <c:pt idx="0">
                          <c:v>38.7%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611-492C-A0B9-4D425BC700A0}"/>
                </c:ext>
              </c:extLst>
            </c:dLbl>
            <c:dLbl>
              <c:idx val="1"/>
              <c:tx>
                <c:strRef>
                  <c:f>Endeavour!$O$33</c:f>
                  <c:strCache>
                    <c:ptCount val="1"/>
                    <c:pt idx="0">
                      <c:v>35.6%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{F6AB00C6-CFC9-4EEE-9E13-1B67B67CD382}</c15:txfldGUID>
                      <c15:f>Endeavour!$O$33</c15:f>
                      <c15:dlblFieldTableCache>
                        <c:ptCount val="1"/>
                        <c:pt idx="0">
                          <c:v>35.6%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(Endeavour!$I$33,Endeavour!$N$33)</c:f>
              <c:numCache>
                <c:formatCode>#,##0.00</c:formatCode>
                <c:ptCount val="2"/>
                <c:pt idx="0">
                  <c:v>622.77787000000001</c:v>
                </c:pt>
                <c:pt idx="1">
                  <c:v>653.68214999999987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1-492C-A0B9-4D425BC700A0}"/>
            </c:ext>
          </c:extLst>
        </c:ser>
        <c:ser>
          <c:idx val="1"/>
          <c:order val="1"/>
          <c:tx>
            <c:strRef>
              <c:f>Endeavour!$F$34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Endeavour!$J$34</c:f>
                  <c:strCache>
                    <c:ptCount val="1"/>
                    <c:pt idx="0">
                      <c:v>29.6%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{F6A3193F-54C2-431B-8DF7-04D0FEE68EB7}</c15:txfldGUID>
                      <c15:f>Endeavour!$J$34</c15:f>
                      <c15:dlblFieldTableCache>
                        <c:ptCount val="1"/>
                        <c:pt idx="0">
                          <c:v>29.6%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611-492C-A0B9-4D425BC700A0}"/>
                </c:ext>
              </c:extLst>
            </c:dLbl>
            <c:dLbl>
              <c:idx val="1"/>
              <c:tx>
                <c:strRef>
                  <c:f>Endeavour!$O$34</c:f>
                  <c:strCache>
                    <c:ptCount val="1"/>
                    <c:pt idx="0">
                      <c:v>36.5%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{0B7072F9-0024-4B74-BF37-5B4196C0C2BF}</c15:txfldGUID>
                      <c15:f>Endeavour!$O$34</c15:f>
                      <c15:dlblFieldTableCache>
                        <c:ptCount val="1"/>
                        <c:pt idx="0">
                          <c:v>36.5%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(Endeavour!$I$34,Endeavour!$N$34)</c:f>
              <c:numCache>
                <c:formatCode>#,##0.00</c:formatCode>
                <c:ptCount val="2"/>
                <c:pt idx="0">
                  <c:v>475.77530000000002</c:v>
                </c:pt>
                <c:pt idx="1">
                  <c:v>669.7075000000001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1-492C-A0B9-4D425BC700A0}"/>
            </c:ext>
          </c:extLst>
        </c:ser>
        <c:ser>
          <c:idx val="2"/>
          <c:order val="2"/>
          <c:tx>
            <c:strRef>
              <c:f>Endeavour!$F$35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Endeavour!$J$35</c:f>
                  <c:strCache>
                    <c:ptCount val="1"/>
                    <c:pt idx="0">
                      <c:v>6.5%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{3A926A7E-5094-463F-8255-B36642EA84CC}</c15:txfldGUID>
                      <c15:f>Endeavour!$J$35</c15:f>
                      <c15:dlblFieldTableCache>
                        <c:ptCount val="1"/>
                        <c:pt idx="0">
                          <c:v>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611-492C-A0B9-4D425BC700A0}"/>
                </c:ext>
              </c:extLst>
            </c:dLbl>
            <c:dLbl>
              <c:idx val="1"/>
              <c:tx>
                <c:strRef>
                  <c:f>Endeavour!$O$35</c:f>
                  <c:strCache>
                    <c:ptCount val="1"/>
                    <c:pt idx="0">
                      <c:v>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{97E336DF-0626-423D-BBF5-10F14188CC8E}</c15:txfldGUID>
                      <c15:f>Endeavour!$O$35</c15:f>
                      <c15:dlblFieldTableCache>
                        <c:ptCount val="1"/>
                        <c:pt idx="0">
                          <c:v>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(Endeavour!$I$35,Endeavour!$N$35)</c:f>
              <c:numCache>
                <c:formatCode>#,##0.00</c:formatCode>
                <c:ptCount val="2"/>
                <c:pt idx="0">
                  <c:v>104.0809</c:v>
                </c:pt>
                <c:pt idx="1">
                  <c:v>112.21980000000001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1-492C-A0B9-4D425BC700A0}"/>
            </c:ext>
          </c:extLst>
        </c:ser>
        <c:ser>
          <c:idx val="3"/>
          <c:order val="3"/>
          <c:tx>
            <c:strRef>
              <c:f>Endeavour!$F$37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1-492C-A0B9-4D425BC700A0}"/>
                </c:ext>
              </c:extLst>
            </c:dLbl>
            <c:dLbl>
              <c:idx val="1"/>
              <c:tx>
                <c:strRef>
                  <c:f>Endeavour!$O$37</c:f>
                  <c:strCache>
                    <c:ptCount val="1"/>
                    <c:pt idx="0">
                      <c:v>11.8%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{93AA1E98-4E29-4A1D-A0DB-78200F9D9532}</c15:txfldGUID>
                      <c15:f>Endeavour!$O$37</c15:f>
                      <c15:dlblFieldTableCache>
                        <c:ptCount val="1"/>
                        <c:pt idx="0">
                          <c:v>11.8%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(Endeavour!$I$37,Endeavour!$N$37)</c:f>
              <c:numCache>
                <c:formatCode>#,##0.00</c:formatCode>
                <c:ptCount val="2"/>
                <c:pt idx="0">
                  <c:v>0</c:v>
                </c:pt>
                <c:pt idx="1">
                  <c:v>216.69699316520897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11-492C-A0B9-4D425BC700A0}"/>
            </c:ext>
          </c:extLst>
        </c:ser>
        <c:ser>
          <c:idx val="5"/>
          <c:order val="4"/>
          <c:tx>
            <c:strRef>
              <c:f>Endeavour!$F$38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11-492C-A0B9-4D425BC700A0}"/>
                </c:ext>
              </c:extLst>
            </c:dLbl>
            <c:dLbl>
              <c:idx val="1"/>
              <c:tx>
                <c:strRef>
                  <c:f>Endeavour!$O$38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{0D857004-181B-45A1-8E46-7D13CDEE3C59}</c15:txfldGUID>
                      <c15:f>Endeavour!$O$38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(Endeavour!$I$38,Endeavour!$N$38)</c:f>
              <c:numCache>
                <c:formatCode>#,##0.00</c:formatCode>
                <c:ptCount val="2"/>
                <c:pt idx="0">
                  <c:v>0</c:v>
                </c:pt>
                <c:pt idx="1">
                  <c:v>183.58960479613438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11-492C-A0B9-4D425BC700A0}"/>
            </c:ext>
          </c:extLst>
        </c:ser>
        <c:ser>
          <c:idx val="6"/>
          <c:order val="5"/>
          <c:tx>
            <c:strRef>
              <c:f>Endeavour!$F$36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Endeavour!$J$36</c:f>
                  <c:strCache>
                    <c:ptCount val="1"/>
                    <c:pt idx="0">
                      <c:v>25.3%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{5A050E3A-94B2-4A55-9002-AF9615349CCF}</c15:txfldGUID>
                      <c15:f>Endeavour!$J$36</c15:f>
                      <c15:dlblFieldTableCache>
                        <c:ptCount val="1"/>
                        <c:pt idx="0">
                          <c:v>25.3%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1611-492C-A0B9-4D425BC700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(Endeavour!$I$36,Endeavour!$N$36)</c:f>
              <c:numCache>
                <c:formatCode>#,##0.00</c:formatCode>
                <c:ptCount val="2"/>
                <c:pt idx="0">
                  <c:v>406.36592999999993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11-492C-A0B9-4D425BC700A0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(Endeavour!$H$32,Endeavour!$H$39)</c:f>
              <c:numCache>
                <c:formatCode>#,##0.00</c:formatCode>
                <c:ptCount val="2"/>
                <c:pt idx="0">
                  <c:v>1609</c:v>
                </c:pt>
                <c:pt idx="1">
                  <c:v>1835.8960479613436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11-492C-A0B9-4D425BC70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Endeavour!$E$3</c:f>
          <c:strCache>
            <c:ptCount val="1"/>
            <c:pt idx="0">
              <c:v>Endeavour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Endeavour!$F$33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Endeavour!$AG$33</c:f>
                  <c:strCache>
                    <c:ptCount val="1"/>
                    <c:pt idx="0">
                      <c:v>33.4%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{94BE351D-CDA1-4417-83B9-00645B22F737}</c15:txfldGUID>
                      <c15:f>Endeavour!$AG$33</c15:f>
                      <c15:dlblFieldTableCache>
                        <c:ptCount val="1"/>
                        <c:pt idx="0">
                          <c:v>33.4%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(Endeavour!$AA$33,Endeavour!$AF$33)</c15:sqref>
                  </c15:fullRef>
                </c:ext>
              </c:extLst>
              <c:f>Endeavour!$AF$33</c:f>
              <c:numCache>
                <c:formatCode>#,##0.00</c:formatCode>
                <c:ptCount val="1"/>
                <c:pt idx="0">
                  <c:v>1262.7708500000001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A-42FB-AB41-C1D214A481DB}"/>
            </c:ext>
          </c:extLst>
        </c:ser>
        <c:ser>
          <c:idx val="1"/>
          <c:order val="1"/>
          <c:tx>
            <c:strRef>
              <c:f>Endeavour!$F$34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Endeavour!$AG$34</c:f>
                  <c:strCache>
                    <c:ptCount val="1"/>
                    <c:pt idx="0">
                      <c:v>36.1%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{E781EF44-35BD-4EB9-9E07-1E4F9B899D16}</c15:txfldGUID>
                      <c15:f>Endeavour!$AG$34</c15:f>
                      <c15:dlblFieldTableCache>
                        <c:ptCount val="1"/>
                        <c:pt idx="0">
                          <c:v>36.1%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(Endeavour!$AA$34,Endeavour!$AF$34)</c15:sqref>
                  </c15:fullRef>
                </c:ext>
              </c:extLst>
              <c:f>Endeavour!$AF$34</c:f>
              <c:numCache>
                <c:formatCode>#,##0.00</c:formatCode>
                <c:ptCount val="1"/>
                <c:pt idx="0">
                  <c:v>1366.75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Endeavour!$AA$34</c15:sqref>
                  <c15:dLbl>
                    <c:idx val="-1"/>
                    <c:tx>
                      <c:strRef>
                        <c:f>Endeavour!$AB$34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{20D1C697-F6C5-49F1-B3EC-310AAB90FB2B}</c15:txfldGUID>
                            <c15:f>Endeavour!$AB$34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701B-45DF-AC40-4BDBDD1DD2F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F64A-42FB-AB41-C1D214A481DB}"/>
            </c:ext>
          </c:extLst>
        </c:ser>
        <c:ser>
          <c:idx val="2"/>
          <c:order val="2"/>
          <c:tx>
            <c:strRef>
              <c:f>Endeavour!$F$35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Endeavour!$AG$35</c:f>
                  <c:strCache>
                    <c:ptCount val="1"/>
                    <c:pt idx="0">
                      <c:v>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{E1C09660-B189-4229-879D-4F18D8A556BD}</c15:txfldGUID>
                      <c15:f>Endeavour!$AG$35</c15:f>
                      <c15:dlblFieldTableCache>
                        <c:ptCount val="1"/>
                        <c:pt idx="0">
                          <c:v>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(Endeavour!$AA$35,Endeavour!$AF$35)</c15:sqref>
                  </c15:fullRef>
                </c:ext>
              </c:extLst>
              <c:f>Endeavour!$AF$35</c:f>
              <c:numCache>
                <c:formatCode>#,##0.00</c:formatCode>
                <c:ptCount val="1"/>
                <c:pt idx="0">
                  <c:v>229.01999999999998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Endeavour!$AA$35</c15:sqref>
                  <c15:dLbl>
                    <c:idx val="-1"/>
                    <c:tx>
                      <c:strRef>
                        <c:f>Endeavour!$AB$35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{3AC27E25-3E28-41EC-B3E2-D6531538CCF3}</c15:txfldGUID>
                            <c15:f>Endeavour!$AB$35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701B-45DF-AC40-4BDBDD1DD2F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F64A-42FB-AB41-C1D214A481DB}"/>
            </c:ext>
          </c:extLst>
        </c:ser>
        <c:ser>
          <c:idx val="3"/>
          <c:order val="3"/>
          <c:tx>
            <c:strRef>
              <c:f>Endeavour!$F$37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Endeavour!$AG$37</c:f>
                  <c:strCache>
                    <c:ptCount val="1"/>
                    <c:pt idx="0">
                      <c:v>7.8%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{F62BDC1D-A257-4375-A781-82C4C15ADD62}</c15:txfldGUID>
                      <c15:f>Endeavour!$AG$37</c15:f>
                      <c15:dlblFieldTableCache>
                        <c:ptCount val="1"/>
                        <c:pt idx="0">
                          <c:v>7.8%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(Endeavour!$AA$37,Endeavour!$AF$37)</c15:sqref>
                  </c15:fullRef>
                </c:ext>
              </c:extLst>
              <c:f>Endeavour!$AF$37</c:f>
              <c:numCache>
                <c:formatCode>#,##0.00</c:formatCode>
                <c:ptCount val="1"/>
                <c:pt idx="0">
                  <c:v>295.94028504020901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Endeavour!$AA$37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01B-45DF-AC40-4BDBDD1DD2F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64A-42FB-AB41-C1D214A481DB}"/>
            </c:ext>
          </c:extLst>
        </c:ser>
        <c:ser>
          <c:idx val="5"/>
          <c:order val="4"/>
          <c:tx>
            <c:strRef>
              <c:f>Endeavour!$F$38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Endeavour!$AG$38</c:f>
                  <c:strCache>
                    <c:ptCount val="1"/>
                    <c:pt idx="0">
                      <c:v>16.6%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{95EB9DF1-E9B8-4078-8A42-8956B93DA35B}</c15:txfldGUID>
                      <c15:f>Endeavour!$AG$38</c15:f>
                      <c15:dlblFieldTableCache>
                        <c:ptCount val="1"/>
                        <c:pt idx="0">
                          <c:v>16.6%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(Endeavour!$AA$38,Endeavour!$AF$38)</c15:sqref>
                  </c15:fullRef>
                </c:ext>
              </c:extLst>
              <c:f>Endeavour!$AF$38</c:f>
              <c:numCache>
                <c:formatCode>#,##0.00</c:formatCode>
                <c:ptCount val="1"/>
                <c:pt idx="0">
                  <c:v>627.87034582335127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Endeavour!$AA$38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01B-45DF-AC40-4BDBDD1DD2F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F64A-42FB-AB41-C1D214A481DB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(Endeavour!$Z$32,Endeavour!$Z$39)</c15:sqref>
                  </c15:fullRef>
                </c:ext>
              </c:extLst>
              <c:f>Endeavour!$Z$39</c:f>
              <c:numCache>
                <c:formatCode>#,##0.00</c:formatCode>
                <c:ptCount val="1"/>
                <c:pt idx="0">
                  <c:v>3782.35148086356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4A-42FB-AB41-C1D214A48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Endeavour!$F$36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64A-42FB-AB41-C1D214A481D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(Endeavour!$AA$36,Endeavour!$AF$36)</c15:sqref>
                        </c15:fullRef>
                        <c15:formulaRef>
                          <c15:sqref>Endeavour!$AF$36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Endeavour!$AA$36</c15:sqref>
                        <c15:dLbl>
                          <c:idx val="-1"/>
                          <c:tx>
                            <c:strRef>
                              <c:f>Endeavour!$AB$36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{EF27AFE4-EA95-45E7-AAF0-BC8E4B5278D6}</c15:txfldGUID>
                                  <c15:f>Endeavour!$AB$36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04-701B-45DF-AC40-4BDBDD1DD2FF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F64A-42FB-AB41-C1D214A481DB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Essential!$D$3</c:f>
          <c:strCache>
            <c:ptCount val="1"/>
            <c:pt idx="0">
              <c:v>Essential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Essential!$F$33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Essential!$S$33</c:f>
                  <c:strCache>
                    <c:ptCount val="1"/>
                    <c:pt idx="0">
                      <c:v>47.1%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{9C73185C-1860-4349-8086-2FC2784ECF3D}</c15:txfldGUID>
                      <c15:f>Essential!$S$33</c15:f>
                      <c15:dlblFieldTableCache>
                        <c:ptCount val="1"/>
                        <c:pt idx="0">
                          <c:v>47.1%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9A6-43B5-864C-8707CCBB29FD}"/>
                </c:ext>
              </c:extLst>
            </c:dLbl>
            <c:dLbl>
              <c:idx val="1"/>
              <c:tx>
                <c:strRef>
                  <c:f>Essential!$X$33</c:f>
                  <c:strCache>
                    <c:ptCount val="1"/>
                    <c:pt idx="0">
                      <c:v>44.2%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{211C7CFD-3811-4B9B-927C-8591404F65F6}</c15:txfldGUID>
                      <c15:f>Essential!$X$33</c15:f>
                      <c15:dlblFieldTableCache>
                        <c:ptCount val="1"/>
                        <c:pt idx="0">
                          <c:v>44.2%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(Essential!$R$33,Essential!$W$33)</c:f>
              <c:numCache>
                <c:formatCode>#,##0.00</c:formatCode>
                <c:ptCount val="2"/>
                <c:pt idx="0">
                  <c:v>1069.405436</c:v>
                </c:pt>
                <c:pt idx="1">
                  <c:v>1100.4438500000001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6-43B5-864C-8707CCBB29FD}"/>
            </c:ext>
          </c:extLst>
        </c:ser>
        <c:ser>
          <c:idx val="1"/>
          <c:order val="1"/>
          <c:tx>
            <c:strRef>
              <c:f>Essential!$F$34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Essential!$S$34</c:f>
                  <c:strCache>
                    <c:ptCount val="1"/>
                    <c:pt idx="0">
                      <c:v>24.4%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{37B89069-AC1B-4C65-A437-A89B5528C17C}</c15:txfldGUID>
                      <c15:f>Essential!$S$34</c15:f>
                      <c15:dlblFieldTableCache>
                        <c:ptCount val="1"/>
                        <c:pt idx="0">
                          <c:v>24.4%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9A6-43B5-864C-8707CCBB29FD}"/>
                </c:ext>
              </c:extLst>
            </c:dLbl>
            <c:dLbl>
              <c:idx val="1"/>
              <c:tx>
                <c:strRef>
                  <c:f>Essential!$X$34</c:f>
                  <c:strCache>
                    <c:ptCount val="1"/>
                    <c:pt idx="0">
                      <c:v>31.3%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{91176F33-68F1-4980-84DA-0E1B720878C4}</c15:txfldGUID>
                      <c15:f>Essential!$X$34</c15:f>
                      <c15:dlblFieldTableCache>
                        <c:ptCount val="1"/>
                        <c:pt idx="0">
                          <c:v>31.3%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(Essential!$R$34,Essential!$W$34)</c:f>
              <c:numCache>
                <c:formatCode>#,##0.00</c:formatCode>
                <c:ptCount val="2"/>
                <c:pt idx="0">
                  <c:v>554.58039999999994</c:v>
                </c:pt>
                <c:pt idx="1">
                  <c:v>779.26420000000007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6-43B5-864C-8707CCBB29FD}"/>
            </c:ext>
          </c:extLst>
        </c:ser>
        <c:ser>
          <c:idx val="2"/>
          <c:order val="2"/>
          <c:tx>
            <c:strRef>
              <c:f>Essential!$F$35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Essential!$S$35</c:f>
                  <c:strCache>
                    <c:ptCount val="1"/>
                    <c:pt idx="0">
                      <c:v>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{B18852BF-8DB8-4279-86CA-8D3CA85DC77C}</c15:txfldGUID>
                      <c15:f>Essential!$S$35</c15:f>
                      <c15:dlblFieldTableCache>
                        <c:ptCount val="1"/>
                        <c:pt idx="0">
                          <c:v>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9A6-43B5-864C-8707CCBB29FD}"/>
                </c:ext>
              </c:extLst>
            </c:dLbl>
            <c:dLbl>
              <c:idx val="1"/>
              <c:tx>
                <c:strRef>
                  <c:f>Essential!$X$35</c:f>
                  <c:strCache>
                    <c:ptCount val="1"/>
                    <c:pt idx="0">
                      <c:v>6.0%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{69057D2E-8CB0-427F-B134-D5281A4AB389}</c15:txfldGUID>
                      <c15:f>Essential!$X$35</c15:f>
                      <c15:dlblFieldTableCache>
                        <c:ptCount val="1"/>
                        <c:pt idx="0">
                          <c:v>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(Essential!$R$35,Essential!$W$35)</c:f>
              <c:numCache>
                <c:formatCode>#,##0.00</c:formatCode>
                <c:ptCount val="2"/>
                <c:pt idx="0">
                  <c:v>138.2304</c:v>
                </c:pt>
                <c:pt idx="1">
                  <c:v>148.46699999999998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A6-43B5-864C-8707CCBB29FD}"/>
            </c:ext>
          </c:extLst>
        </c:ser>
        <c:ser>
          <c:idx val="3"/>
          <c:order val="3"/>
          <c:tx>
            <c:strRef>
              <c:f>Essential!$F$37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A6-43B5-864C-8707CCBB29FD}"/>
                </c:ext>
              </c:extLst>
            </c:dLbl>
            <c:dLbl>
              <c:idx val="1"/>
              <c:tx>
                <c:strRef>
                  <c:f>Essential!$X$37</c:f>
                  <c:strCache>
                    <c:ptCount val="1"/>
                    <c:pt idx="0">
                      <c:v>8.5%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{C12E11DD-8FD9-4008-B81C-9A55FDA4CC4B}</c15:txfldGUID>
                      <c15:f>Essential!$X$37</c15:f>
                      <c15:dlblFieldTableCache>
                        <c:ptCount val="1"/>
                        <c:pt idx="0">
                          <c:v>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(Essential!$R$37,Essential!$W$37)</c:f>
              <c:numCache>
                <c:formatCode>#,##0.00</c:formatCode>
                <c:ptCount val="2"/>
                <c:pt idx="0">
                  <c:v>0</c:v>
                </c:pt>
                <c:pt idx="1">
                  <c:v>212.61989555270895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A6-43B5-864C-8707CCBB29FD}"/>
            </c:ext>
          </c:extLst>
        </c:ser>
        <c:ser>
          <c:idx val="5"/>
          <c:order val="4"/>
          <c:tx>
            <c:strRef>
              <c:f>Essential!$F$38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A6-43B5-864C-8707CCBB29FD}"/>
                </c:ext>
              </c:extLst>
            </c:dLbl>
            <c:dLbl>
              <c:idx val="1"/>
              <c:tx>
                <c:strRef>
                  <c:f>Essential!$X$38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{E053229D-A4D1-49AC-901C-40E48B0E12AB}</c15:txfldGUID>
                      <c15:f>Essential!$X$38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(Essential!$R$38,Essential!$W$38)</c:f>
              <c:numCache>
                <c:formatCode>#,##0.00</c:formatCode>
                <c:ptCount val="2"/>
                <c:pt idx="0">
                  <c:v>0</c:v>
                </c:pt>
                <c:pt idx="1">
                  <c:v>248.97721617252319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A6-43B5-864C-8707CCBB29FD}"/>
            </c:ext>
          </c:extLst>
        </c:ser>
        <c:ser>
          <c:idx val="6"/>
          <c:order val="5"/>
          <c:tx>
            <c:strRef>
              <c:f>Essential!$F$36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Essential!$S$36</c:f>
                  <c:strCache>
                    <c:ptCount val="1"/>
                    <c:pt idx="0">
                      <c:v>22.4%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{502BD113-2440-41F5-B662-5605F1BAB629}</c15:txfldGUID>
                      <c15:f>Essential!$S$36</c15:f>
                      <c15:dlblFieldTableCache>
                        <c:ptCount val="1"/>
                        <c:pt idx="0">
                          <c:v>22.4%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19A6-43B5-864C-8707CCBB29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(Essential!$R$36,Essential!$W$36)</c:f>
              <c:numCache>
                <c:formatCode>#,##0.00</c:formatCode>
                <c:ptCount val="2"/>
                <c:pt idx="0">
                  <c:v>508.78376400000025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A6-43B5-864C-8707CCBB29FD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(Essential!$Q$32,Essential!$Q$39)</c:f>
              <c:numCache>
                <c:formatCode>#,##0.00</c:formatCode>
                <c:ptCount val="2"/>
                <c:pt idx="0">
                  <c:v>2271</c:v>
                </c:pt>
                <c:pt idx="1">
                  <c:v>2489.7721617252323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A6-43B5-864C-8707CCBB2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Essential!$C$3</c:f>
          <c:strCache>
            <c:ptCount val="1"/>
            <c:pt idx="0">
              <c:v>Essential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Essential!$F$33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Essential!$J$33</c:f>
                  <c:strCache>
                    <c:ptCount val="1"/>
                    <c:pt idx="0">
                      <c:v>49.9%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{B6548F78-29F9-4F95-ABAE-F7399D5D2552}</c15:txfldGUID>
                      <c15:f>Essential!$J$33</c15:f>
                      <c15:dlblFieldTableCache>
                        <c:ptCount val="1"/>
                        <c:pt idx="0">
                          <c:v>49.9%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616-488B-9520-798B02466452}"/>
                </c:ext>
              </c:extLst>
            </c:dLbl>
            <c:dLbl>
              <c:idx val="1"/>
              <c:tx>
                <c:strRef>
                  <c:f>Essential!$O$33</c:f>
                  <c:strCache>
                    <c:ptCount val="1"/>
                    <c:pt idx="0">
                      <c:v>46.8%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{A04292FA-571B-4334-ADEC-AA30C0643E9E}</c15:txfldGUID>
                      <c15:f>Essential!$O$33</c15:f>
                      <c15:dlblFieldTableCache>
                        <c:ptCount val="1"/>
                        <c:pt idx="0">
                          <c:v>46.8%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(Essential!$I$33,Essential!$N$33)</c:f>
              <c:numCache>
                <c:formatCode>#,##0.00</c:formatCode>
                <c:ptCount val="2"/>
                <c:pt idx="0">
                  <c:v>952.05351999999993</c:v>
                </c:pt>
                <c:pt idx="1">
                  <c:v>980.07997999999998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88B-9520-798B02466452}"/>
            </c:ext>
          </c:extLst>
        </c:ser>
        <c:ser>
          <c:idx val="1"/>
          <c:order val="1"/>
          <c:tx>
            <c:strRef>
              <c:f>Essential!$F$34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Essential!$J$34</c:f>
                  <c:strCache>
                    <c:ptCount val="1"/>
                    <c:pt idx="0">
                      <c:v>21.3%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{4B5A226F-57F2-4214-8601-95185B29DB8B}</c15:txfldGUID>
                      <c15:f>Essential!$J$34</c15:f>
                      <c15:dlblFieldTableCache>
                        <c:ptCount val="1"/>
                        <c:pt idx="0">
                          <c:v>21.3%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616-488B-9520-798B02466452}"/>
                </c:ext>
              </c:extLst>
            </c:dLbl>
            <c:dLbl>
              <c:idx val="1"/>
              <c:tx>
                <c:strRef>
                  <c:f>Essential!$O$34</c:f>
                  <c:strCache>
                    <c:ptCount val="1"/>
                    <c:pt idx="0">
                      <c:v>28.0%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{06B0B17F-F2BB-4B31-AC36-750BE412C19D}</c15:txfldGUID>
                      <c15:f>Essential!$O$34</c15:f>
                      <c15:dlblFieldTableCache>
                        <c:ptCount val="1"/>
                        <c:pt idx="0">
                          <c:v>28.0%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(Essential!$I$34,Essential!$N$34)</c:f>
              <c:numCache>
                <c:formatCode>#,##0.00</c:formatCode>
                <c:ptCount val="2"/>
                <c:pt idx="0">
                  <c:v>406.5204</c:v>
                </c:pt>
                <c:pt idx="1">
                  <c:v>586.80819999999994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16-488B-9520-798B02466452}"/>
            </c:ext>
          </c:extLst>
        </c:ser>
        <c:ser>
          <c:idx val="2"/>
          <c:order val="2"/>
          <c:tx>
            <c:strRef>
              <c:f>Essential!$F$35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Essential!$J$35</c:f>
                  <c:strCache>
                    <c:ptCount val="1"/>
                    <c:pt idx="0">
                      <c:v>5.1%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{171AC979-2AC5-4673-8C54-EE7216B8DF3B}</c15:txfldGUID>
                      <c15:f>Essential!$J$35</c15:f>
                      <c15:dlblFieldTableCache>
                        <c:ptCount val="1"/>
                        <c:pt idx="0">
                          <c:v>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616-488B-9520-798B02466452}"/>
                </c:ext>
              </c:extLst>
            </c:dLbl>
            <c:dLbl>
              <c:idx val="1"/>
              <c:tx>
                <c:strRef>
                  <c:f>Essential!$O$35</c:f>
                  <c:strCache>
                    <c:ptCount val="1"/>
                    <c:pt idx="0">
                      <c:v>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{4A583B70-D309-4D0F-B242-93DC82F8CA60}</c15:txfldGUID>
                      <c15:f>Essential!$O$35</c15:f>
                      <c15:dlblFieldTableCache>
                        <c:ptCount val="1"/>
                        <c:pt idx="0">
                          <c:v>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(Essential!$I$35,Essential!$N$35)</c:f>
              <c:numCache>
                <c:formatCode>#,##0.00</c:formatCode>
                <c:ptCount val="2"/>
                <c:pt idx="0">
                  <c:v>96.342399999999998</c:v>
                </c:pt>
                <c:pt idx="1">
                  <c:v>103.47699999999999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16-488B-9520-798B02466452}"/>
            </c:ext>
          </c:extLst>
        </c:ser>
        <c:ser>
          <c:idx val="3"/>
          <c:order val="3"/>
          <c:tx>
            <c:strRef>
              <c:f>Essential!$F$37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6-488B-9520-798B02466452}"/>
                </c:ext>
              </c:extLst>
            </c:dLbl>
            <c:dLbl>
              <c:idx val="1"/>
              <c:tx>
                <c:strRef>
                  <c:f>Essential!$O$37</c:f>
                  <c:strCache>
                    <c:ptCount val="1"/>
                    <c:pt idx="0">
                      <c:v>10.2%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{3A20D57E-FBE8-4022-81DA-772A9FD0DDC3}</c15:txfldGUID>
                      <c15:f>Essential!$O$37</c15:f>
                      <c15:dlblFieldTableCache>
                        <c:ptCount val="1"/>
                        <c:pt idx="0">
                          <c:v>10.2%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(Essential!$I$37,Essential!$N$37)</c:f>
              <c:numCache>
                <c:formatCode>#,##0.00</c:formatCode>
                <c:ptCount val="2"/>
                <c:pt idx="0">
                  <c:v>0</c:v>
                </c:pt>
                <c:pt idx="1">
                  <c:v>212.61989555270895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16-488B-9520-798B02466452}"/>
            </c:ext>
          </c:extLst>
        </c:ser>
        <c:ser>
          <c:idx val="5"/>
          <c:order val="4"/>
          <c:tx>
            <c:strRef>
              <c:f>Essential!$F$38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6-488B-9520-798B02466452}"/>
                </c:ext>
              </c:extLst>
            </c:dLbl>
            <c:dLbl>
              <c:idx val="1"/>
              <c:tx>
                <c:strRef>
                  <c:f>Essential!$O$38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{0973012A-9D0D-4A43-ABDC-C715FC8C7FED}</c15:txfldGUID>
                      <c15:f>Essential!$O$38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(Essential!$I$38,Essential!$N$38)</c:f>
              <c:numCache>
                <c:formatCode>#,##0.00</c:formatCode>
                <c:ptCount val="2"/>
                <c:pt idx="0">
                  <c:v>0</c:v>
                </c:pt>
                <c:pt idx="1">
                  <c:v>209.22056395030086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16-488B-9520-798B02466452}"/>
            </c:ext>
          </c:extLst>
        </c:ser>
        <c:ser>
          <c:idx val="6"/>
          <c:order val="5"/>
          <c:tx>
            <c:strRef>
              <c:f>Essential!$F$36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Essential!$J$36</c:f>
                  <c:strCache>
                    <c:ptCount val="1"/>
                    <c:pt idx="0">
                      <c:v>23.7%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{D2D78FD7-A089-4C3D-A411-E72BFCDD3066}</c15:txfldGUID>
                      <c15:f>Essential!$J$36</c15:f>
                      <c15:dlblFieldTableCache>
                        <c:ptCount val="1"/>
                        <c:pt idx="0">
                          <c:v>23.7%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616-488B-9520-798B024664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(Essential!$I$36,Essential!$N$36)</c:f>
              <c:numCache>
                <c:formatCode>#,##0.00</c:formatCode>
                <c:ptCount val="2"/>
                <c:pt idx="0">
                  <c:v>452.08368000000019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16-488B-9520-798B02466452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(Essential!$H$32,Essential!$H$39)</c:f>
              <c:numCache>
                <c:formatCode>#,##0.00</c:formatCode>
                <c:ptCount val="2"/>
                <c:pt idx="0">
                  <c:v>1907</c:v>
                </c:pt>
                <c:pt idx="1">
                  <c:v>2092.2056395030099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16-488B-9520-798B0246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Essential!$E$3</c:f>
          <c:strCache>
            <c:ptCount val="1"/>
            <c:pt idx="0">
              <c:v>Essential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Essential!$F$33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Essential!$AG$33</c:f>
                  <c:strCache>
                    <c:ptCount val="1"/>
                    <c:pt idx="0">
                      <c:v>43.3%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{B649E80B-D489-4C6A-94FD-FF77D4303A85}</c15:txfldGUID>
                      <c15:f>Essential!$AG$33</c15:f>
                      <c15:dlblFieldTableCache>
                        <c:ptCount val="1"/>
                        <c:pt idx="0">
                          <c:v>43.3%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(Essential!$AA$33,Essential!$AF$33)</c15:sqref>
                  </c15:fullRef>
                </c:ext>
              </c:extLst>
              <c:f>Essential!$AF$33</c:f>
              <c:numCache>
                <c:formatCode>#,##0.00</c:formatCode>
                <c:ptCount val="1"/>
                <c:pt idx="0">
                  <c:v>2122.8972600000002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0-46B4-8390-5AA90F30F6D9}"/>
            </c:ext>
          </c:extLst>
        </c:ser>
        <c:ser>
          <c:idx val="1"/>
          <c:order val="1"/>
          <c:tx>
            <c:strRef>
              <c:f>Essential!$F$34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Essential!$AG$34</c:f>
                  <c:strCache>
                    <c:ptCount val="1"/>
                    <c:pt idx="0">
                      <c:v>26.0%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{89D876CC-2E33-462B-86A8-B2A3F65DB4FF}</c15:txfldGUID>
                      <c15:f>Essential!$AG$34</c15:f>
                      <c15:dlblFieldTableCache>
                        <c:ptCount val="1"/>
                        <c:pt idx="0">
                          <c:v>26.0%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(Essential!$AA$34,Essential!$AF$34)</c15:sqref>
                  </c15:fullRef>
                </c:ext>
              </c:extLst>
              <c:f>Essential!$AF$34</c:f>
              <c:numCache>
                <c:formatCode>#,##0.00</c:formatCode>
                <c:ptCount val="1"/>
                <c:pt idx="0">
                  <c:v>1275.67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Essential!$AA$34</c15:sqref>
                  <c15:dLbl>
                    <c:idx val="-1"/>
                    <c:tx>
                      <c:strRef>
                        <c:f>Essential!$AB$34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{BEA5C204-1865-483A-9728-51715C5FAFA1}</c15:txfldGUID>
                            <c15:f>Essential!$AB$34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285F-433A-BD86-7CE6C25AB8E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830-46B4-8390-5AA90F30F6D9}"/>
            </c:ext>
          </c:extLst>
        </c:ser>
        <c:ser>
          <c:idx val="2"/>
          <c:order val="2"/>
          <c:tx>
            <c:strRef>
              <c:f>Essential!$F$35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Essential!$AG$35</c:f>
                  <c:strCache>
                    <c:ptCount val="1"/>
                    <c:pt idx="0">
                      <c:v>4.6%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{8130C075-4566-481B-9946-4A378A577C92}</c15:txfldGUID>
                      <c15:f>Essential!$AG$35</c15:f>
                      <c15:dlblFieldTableCache>
                        <c:ptCount val="1"/>
                        <c:pt idx="0">
                          <c:v>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(Essential!$AA$35,Essential!$AF$35)</c15:sqref>
                  </c15:fullRef>
                </c:ext>
              </c:extLst>
              <c:f>Essential!$AF$35</c:f>
              <c:numCache>
                <c:formatCode>#,##0.00</c:formatCode>
                <c:ptCount val="1"/>
                <c:pt idx="0">
                  <c:v>224.95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Essential!$AA$35</c15:sqref>
                  <c15:dLbl>
                    <c:idx val="-1"/>
                    <c:tx>
                      <c:strRef>
                        <c:f>Essential!$AB$35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{5F416132-65C4-42A4-80E3-34894F39B56A}</c15:txfldGUID>
                            <c15:f>Essential!$AB$35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285F-433A-BD86-7CE6C25AB8E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2830-46B4-8390-5AA90F30F6D9}"/>
            </c:ext>
          </c:extLst>
        </c:ser>
        <c:ser>
          <c:idx val="3"/>
          <c:order val="3"/>
          <c:tx>
            <c:strRef>
              <c:f>Essential!$F$37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Essential!$AG$37</c:f>
                  <c:strCache>
                    <c:ptCount val="1"/>
                    <c:pt idx="0">
                      <c:v>5.8%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{0F5ED693-07BB-4C12-847A-DF1538D43F9B}</c15:txfldGUID>
                      <c15:f>Essential!$AG$37</c15:f>
                      <c15:dlblFieldTableCache>
                        <c:ptCount val="1"/>
                        <c:pt idx="0">
                          <c:v>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(Essential!$AA$37,Essential!$AF$37)</c15:sqref>
                  </c15:fullRef>
                </c:ext>
              </c:extLst>
              <c:f>Essential!$AF$37</c:f>
              <c:numCache>
                <c:formatCode>#,##0.00</c:formatCode>
                <c:ptCount val="1"/>
                <c:pt idx="0">
                  <c:v>282.59595665270899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Essential!$AA$37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85F-433A-BD86-7CE6C25AB8E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2830-46B4-8390-5AA90F30F6D9}"/>
            </c:ext>
          </c:extLst>
        </c:ser>
        <c:ser>
          <c:idx val="5"/>
          <c:order val="4"/>
          <c:tx>
            <c:strRef>
              <c:f>Essential!$F$38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Essential!$AG$38</c:f>
                  <c:strCache>
                    <c:ptCount val="1"/>
                    <c:pt idx="0">
                      <c:v>20.3%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{8B50847A-E209-4C55-A5D1-A2FB1DEEAD9A}</c15:txfldGUID>
                      <c15:f>Essential!$AG$38</c15:f>
                      <c15:dlblFieldTableCache>
                        <c:ptCount val="1"/>
                        <c:pt idx="0">
                          <c:v>20.3%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(Essential!$AA$38,Essential!$AF$38)</c15:sqref>
                  </c15:fullRef>
                </c:ext>
              </c:extLst>
              <c:f>Essential!$AF$38</c:f>
              <c:numCache>
                <c:formatCode>#,##0.00</c:formatCode>
                <c:ptCount val="1"/>
                <c:pt idx="0">
                  <c:v>994.90713046486826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Essential!$AA$38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85F-433A-BD86-7CE6C25AB8E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2830-46B4-8390-5AA90F30F6D9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(Essential!$Z$32,Essential!$Z$39)</c15:sqref>
                  </c15:fullRef>
                </c:ext>
              </c:extLst>
              <c:f>Essential!$Z$39</c:f>
              <c:numCache>
                <c:formatCode>#,##0.00</c:formatCode>
                <c:ptCount val="1"/>
                <c:pt idx="0">
                  <c:v>4901.0203471175773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30-46B4-8390-5AA90F30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Essential!$F$36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830-46B4-8390-5AA90F30F6D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(Essential!$AA$36,Essential!$AF$36)</c15:sqref>
                        </c15:fullRef>
                        <c15:formulaRef>
                          <c15:sqref>Essential!$AF$36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Essential!$AA$36</c15:sqref>
                        <c15:dLbl>
                          <c:idx val="-1"/>
                          <c:tx>
                            <c:strRef>
                              <c:f>Essential!$AB$36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{48BB54AA-C333-4D45-B306-57EE984C0651}</c15:txfldGUID>
                                  <c15:f>Essential!$AB$36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04-285F-433A-BD86-7CE6C25AB8E2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2830-46B4-8390-5AA90F30F6D9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Energex!$D$3</c:f>
          <c:strCache>
            <c:ptCount val="1"/>
            <c:pt idx="0">
              <c:v>Energex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Energex!$F$33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Energex!$S$33</c:f>
                  <c:strCache>
                    <c:ptCount val="1"/>
                    <c:pt idx="0">
                      <c:v>44.1%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{A5028859-97EA-4703-9ECA-1CD3CAB9191E}</c15:txfldGUID>
                      <c15:f>Energex!$S$33</c15:f>
                      <c15:dlblFieldTableCache>
                        <c:ptCount val="1"/>
                        <c:pt idx="0">
                          <c:v>44.1%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E5D-4FA5-BF7C-904CFF9171EE}"/>
                </c:ext>
              </c:extLst>
            </c:dLbl>
            <c:dLbl>
              <c:idx val="1"/>
              <c:tx>
                <c:strRef>
                  <c:f>Energex!$X$33</c:f>
                  <c:strCache>
                    <c:ptCount val="1"/>
                    <c:pt idx="0">
                      <c:v>36.1%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{07A448D5-7500-4C63-9F3F-96E9D0CEC35C}</c15:txfldGUID>
                      <c15:f>Energex!$X$33</c15:f>
                      <c15:dlblFieldTableCache>
                        <c:ptCount val="1"/>
                        <c:pt idx="0">
                          <c:v>36.1%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(Energex!$R$33,Energex!$W$33)</c:f>
              <c:numCache>
                <c:formatCode>#,##0.00</c:formatCode>
                <c:ptCount val="2"/>
                <c:pt idx="0">
                  <c:v>767.09935500000006</c:v>
                </c:pt>
                <c:pt idx="1">
                  <c:v>708.46269999999993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D-4FA5-BF7C-904CFF9171EE}"/>
            </c:ext>
          </c:extLst>
        </c:ser>
        <c:ser>
          <c:idx val="1"/>
          <c:order val="1"/>
          <c:tx>
            <c:strRef>
              <c:f>Energex!$F$34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Energex!$S$34</c:f>
                  <c:strCache>
                    <c:ptCount val="1"/>
                    <c:pt idx="0">
                      <c:v>27.8%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{301E0629-0361-4517-B928-866A4D97F303}</c15:txfldGUID>
                      <c15:f>Energex!$S$34</c15:f>
                      <c15:dlblFieldTableCache>
                        <c:ptCount val="1"/>
                        <c:pt idx="0">
                          <c:v>27.8%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E5D-4FA5-BF7C-904CFF9171EE}"/>
                </c:ext>
              </c:extLst>
            </c:dLbl>
            <c:dLbl>
              <c:idx val="1"/>
              <c:tx>
                <c:strRef>
                  <c:f>Energex!$X$34</c:f>
                  <c:strCache>
                    <c:ptCount val="1"/>
                    <c:pt idx="0">
                      <c:v>37.0%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{B16F2A98-D2D9-4F94-BF3F-F301A6E4E18C}</c15:txfldGUID>
                      <c15:f>Energex!$X$34</c15:f>
                      <c15:dlblFieldTableCache>
                        <c:ptCount val="1"/>
                        <c:pt idx="0">
                          <c:v>37.0%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(Energex!$R$34,Energex!$W$34)</c:f>
              <c:numCache>
                <c:formatCode>#,##0.00</c:formatCode>
                <c:ptCount val="2"/>
                <c:pt idx="0">
                  <c:v>484.75312600000001</c:v>
                </c:pt>
                <c:pt idx="1">
                  <c:v>726.183898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5D-4FA5-BF7C-904CFF9171EE}"/>
            </c:ext>
          </c:extLst>
        </c:ser>
        <c:ser>
          <c:idx val="2"/>
          <c:order val="2"/>
          <c:tx>
            <c:strRef>
              <c:f>Energex!$F$35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Energex!$S$35</c:f>
                  <c:strCache>
                    <c:ptCount val="1"/>
                    <c:pt idx="0">
                      <c:v>6.7%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{5ABBD276-493C-4F13-AEEF-6770004146BA}</c15:txfldGUID>
                      <c15:f>Energex!$S$35</c15:f>
                      <c15:dlblFieldTableCache>
                        <c:ptCount val="1"/>
                        <c:pt idx="0">
                          <c:v>6.7%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E5D-4FA5-BF7C-904CFF9171EE}"/>
                </c:ext>
              </c:extLst>
            </c:dLbl>
            <c:dLbl>
              <c:idx val="1"/>
              <c:tx>
                <c:strRef>
                  <c:f>Energex!$X$35</c:f>
                  <c:strCache>
                    <c:ptCount val="1"/>
                    <c:pt idx="0">
                      <c:v>6.0%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{07B91753-F574-4CB6-B144-0FF21DD8DA9F}</c15:txfldGUID>
                      <c15:f>Energex!$X$35</c15:f>
                      <c15:dlblFieldTableCache>
                        <c:ptCount val="1"/>
                        <c:pt idx="0">
                          <c:v>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(Energex!$R$35,Energex!$W$35)</c:f>
              <c:numCache>
                <c:formatCode>#,##0.00</c:formatCode>
                <c:ptCount val="2"/>
                <c:pt idx="0">
                  <c:v>116.07749999999999</c:v>
                </c:pt>
                <c:pt idx="1">
                  <c:v>118.50299999999999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5D-4FA5-BF7C-904CFF9171EE}"/>
            </c:ext>
          </c:extLst>
        </c:ser>
        <c:ser>
          <c:idx val="3"/>
          <c:order val="3"/>
          <c:tx>
            <c:strRef>
              <c:f>Energex!$F$37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D-4FA5-BF7C-904CFF9171EE}"/>
                </c:ext>
              </c:extLst>
            </c:dLbl>
            <c:dLbl>
              <c:idx val="1"/>
              <c:tx>
                <c:strRef>
                  <c:f>Energex!$X$37</c:f>
                  <c:strCache>
                    <c:ptCount val="1"/>
                    <c:pt idx="0">
                      <c:v>10.8%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{8325ED4D-6D27-459A-A1E0-706B70FC5E4F}</c15:txfldGUID>
                      <c15:f>Energex!$X$37</c15:f>
                      <c15:dlblFieldTableCache>
                        <c:ptCount val="1"/>
                        <c:pt idx="0">
                          <c:v>10.8%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(Energex!$R$37,Energex!$W$37)</c:f>
              <c:numCache>
                <c:formatCode>#,##0.00</c:formatCode>
                <c:ptCount val="2"/>
                <c:pt idx="0">
                  <c:v>0</c:v>
                </c:pt>
                <c:pt idx="1">
                  <c:v>211.38587787770896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5D-4FA5-BF7C-904CFF9171EE}"/>
            </c:ext>
          </c:extLst>
        </c:ser>
        <c:ser>
          <c:idx val="5"/>
          <c:order val="4"/>
          <c:tx>
            <c:strRef>
              <c:f>Energex!$F$38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D-4FA5-BF7C-904CFF9171EE}"/>
                </c:ext>
              </c:extLst>
            </c:dLbl>
            <c:dLbl>
              <c:idx val="1"/>
              <c:tx>
                <c:strRef>
                  <c:f>Energex!$X$38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{FCE9F302-0E1A-4918-8DEC-24B01FDE5846}</c15:txfldGUID>
                      <c15:f>Energex!$X$38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(Energex!$R$38,Energex!$W$38)</c:f>
              <c:numCache>
                <c:formatCode>#,##0.00</c:formatCode>
                <c:ptCount val="2"/>
                <c:pt idx="0">
                  <c:v>0</c:v>
                </c:pt>
                <c:pt idx="1">
                  <c:v>196.05949731974533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5D-4FA5-BF7C-904CFF9171EE}"/>
            </c:ext>
          </c:extLst>
        </c:ser>
        <c:ser>
          <c:idx val="6"/>
          <c:order val="5"/>
          <c:tx>
            <c:strRef>
              <c:f>Energex!$F$36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Energex!$S$36</c:f>
                  <c:strCache>
                    <c:ptCount val="1"/>
                    <c:pt idx="0">
                      <c:v>21.4%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{FC693C11-B70C-4ED0-A36A-084D62EE959A}</c15:txfldGUID>
                      <c15:f>Energex!$S$36</c15:f>
                      <c15:dlblFieldTableCache>
                        <c:ptCount val="1"/>
                        <c:pt idx="0">
                          <c:v>21.4%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E5D-4FA5-BF7C-904CFF9171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(Energex!$R$36,Energex!$W$36)</c:f>
              <c:numCache>
                <c:formatCode>#,##0.00</c:formatCode>
                <c:ptCount val="2"/>
                <c:pt idx="0">
                  <c:v>373.07001899999977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E5D-4FA5-BF7C-904CFF9171EE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(Energex!$Q$32,Energex!$Q$39)</c:f>
              <c:numCache>
                <c:formatCode>#,##0.00</c:formatCode>
                <c:ptCount val="2"/>
                <c:pt idx="0">
                  <c:v>1741</c:v>
                </c:pt>
                <c:pt idx="1">
                  <c:v>1960.594973197454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5D-4FA5-BF7C-904CFF917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Energex!$C$3</c:f>
          <c:strCache>
            <c:ptCount val="1"/>
            <c:pt idx="0">
              <c:v>Energex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Energex!$F$33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Energex!$J$33</c:f>
                  <c:strCache>
                    <c:ptCount val="1"/>
                    <c:pt idx="0">
                      <c:v>46.5%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{BDDADDE3-6616-424B-BA0E-ADD8DB33658E}</c15:txfldGUID>
                      <c15:f>Energex!$J$33</c15:f>
                      <c15:dlblFieldTableCache>
                        <c:ptCount val="1"/>
                        <c:pt idx="0">
                          <c:v>46.5%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22E-4F1C-9405-DB8B33D608E2}"/>
                </c:ext>
              </c:extLst>
            </c:dLbl>
            <c:dLbl>
              <c:idx val="1"/>
              <c:tx>
                <c:strRef>
                  <c:f>Energex!$O$33</c:f>
                  <c:strCache>
                    <c:ptCount val="1"/>
                    <c:pt idx="0">
                      <c:v>38.7%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{D60F5B94-A1DB-42E0-BB0C-1BE9F03414D2}</c15:txfldGUID>
                      <c15:f>Energex!$O$33</c15:f>
                      <c15:dlblFieldTableCache>
                        <c:ptCount val="1"/>
                        <c:pt idx="0">
                          <c:v>38.7%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(Energex!$I$33,Energex!$N$33)</c:f>
              <c:numCache>
                <c:formatCode>#,##0.00</c:formatCode>
                <c:ptCount val="2"/>
                <c:pt idx="0">
                  <c:v>676.75234000000023</c:v>
                </c:pt>
                <c:pt idx="1">
                  <c:v>626.91969999999992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E-4F1C-9405-DB8B33D608E2}"/>
            </c:ext>
          </c:extLst>
        </c:ser>
        <c:ser>
          <c:idx val="1"/>
          <c:order val="1"/>
          <c:tx>
            <c:strRef>
              <c:f>Energex!$F$34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Energex!$J$34</c:f>
                  <c:strCache>
                    <c:ptCount val="1"/>
                    <c:pt idx="0">
                      <c:v>25.7%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{E0D4D725-CF87-4CA1-A967-F960570A2C0A}</c15:txfldGUID>
                      <c15:f>Energex!$J$34</c15:f>
                      <c15:dlblFieldTableCache>
                        <c:ptCount val="1"/>
                        <c:pt idx="0">
                          <c:v>25.7%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22E-4F1C-9405-DB8B33D608E2}"/>
                </c:ext>
              </c:extLst>
            </c:dLbl>
            <c:dLbl>
              <c:idx val="1"/>
              <c:tx>
                <c:strRef>
                  <c:f>Energex!$O$34</c:f>
                  <c:strCache>
                    <c:ptCount val="1"/>
                    <c:pt idx="0">
                      <c:v>34.5%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{D05DF084-0D07-498D-96D8-21F63E10830B}</c15:txfldGUID>
                      <c15:f>Energex!$O$34</c15:f>
                      <c15:dlblFieldTableCache>
                        <c:ptCount val="1"/>
                        <c:pt idx="0">
                          <c:v>34.5%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(Energex!$I$34,Energex!$N$34)</c:f>
              <c:numCache>
                <c:formatCode>#,##0.00</c:formatCode>
                <c:ptCount val="2"/>
                <c:pt idx="0">
                  <c:v>374.59180000000003</c:v>
                </c:pt>
                <c:pt idx="1">
                  <c:v>559.28179999999998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2E-4F1C-9405-DB8B33D608E2}"/>
            </c:ext>
          </c:extLst>
        </c:ser>
        <c:ser>
          <c:idx val="2"/>
          <c:order val="2"/>
          <c:tx>
            <c:strRef>
              <c:f>Energex!$F$35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Energex!$J$35</c:f>
                  <c:strCache>
                    <c:ptCount val="1"/>
                    <c:pt idx="0">
                      <c:v>5.8%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{A93DA9E9-C524-4B8B-8C88-76D2552380E9}</c15:txfldGUID>
                      <c15:f>Energex!$J$35</c15:f>
                      <c15:dlblFieldTableCache>
                        <c:ptCount val="1"/>
                        <c:pt idx="0">
                          <c:v>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22E-4F1C-9405-DB8B33D608E2}"/>
                </c:ext>
              </c:extLst>
            </c:dLbl>
            <c:dLbl>
              <c:idx val="1"/>
              <c:tx>
                <c:strRef>
                  <c:f>Energex!$O$35</c:f>
                  <c:strCache>
                    <c:ptCount val="1"/>
                    <c:pt idx="0">
                      <c:v>5.3%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{883EFED1-8EF6-4690-85AB-9D52A1A8319C}</c15:txfldGUID>
                      <c15:f>Energex!$O$35</c15:f>
                      <c15:dlblFieldTableCache>
                        <c:ptCount val="1"/>
                        <c:pt idx="0">
                          <c:v>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(Energex!$I$35,Energex!$N$35)</c:f>
              <c:numCache>
                <c:formatCode>#,##0.00</c:formatCode>
                <c:ptCount val="2"/>
                <c:pt idx="0">
                  <c:v>84.754999999999995</c:v>
                </c:pt>
                <c:pt idx="1">
                  <c:v>86.525999999999996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E-4F1C-9405-DB8B33D608E2}"/>
            </c:ext>
          </c:extLst>
        </c:ser>
        <c:ser>
          <c:idx val="3"/>
          <c:order val="3"/>
          <c:tx>
            <c:strRef>
              <c:f>Energex!$F$37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2E-4F1C-9405-DB8B33D608E2}"/>
                </c:ext>
              </c:extLst>
            </c:dLbl>
            <c:dLbl>
              <c:idx val="1"/>
              <c:tx>
                <c:strRef>
                  <c:f>Energex!$O$37</c:f>
                  <c:strCache>
                    <c:ptCount val="1"/>
                    <c:pt idx="0">
                      <c:v>13.0%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{33EA8F8D-7F51-4E71-B436-0144B3E7A0C4}</c15:txfldGUID>
                      <c15:f>Energex!$O$37</c15:f>
                      <c15:dlblFieldTableCache>
                        <c:ptCount val="1"/>
                        <c:pt idx="0">
                          <c:v>13.0%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(Energex!$I$37,Energex!$N$37)</c:f>
              <c:numCache>
                <c:formatCode>#,##0.00</c:formatCode>
                <c:ptCount val="2"/>
                <c:pt idx="0">
                  <c:v>0</c:v>
                </c:pt>
                <c:pt idx="1">
                  <c:v>211.38587787770896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2E-4F1C-9405-DB8B33D608E2}"/>
            </c:ext>
          </c:extLst>
        </c:ser>
        <c:ser>
          <c:idx val="5"/>
          <c:order val="4"/>
          <c:tx>
            <c:strRef>
              <c:f>Energex!$F$38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2E-4F1C-9405-DB8B33D608E2}"/>
                </c:ext>
              </c:extLst>
            </c:dLbl>
            <c:dLbl>
              <c:idx val="1"/>
              <c:tx>
                <c:strRef>
                  <c:f>Energex!$O$38</c:f>
                  <c:strCache>
                    <c:ptCount val="1"/>
                    <c:pt idx="0">
                      <c:v>8.4%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{F6D02284-2AE6-4899-A564-5826703A6A0F}</c15:txfldGUID>
                      <c15:f>Energex!$O$38</c15:f>
                      <c15:dlblFieldTableCache>
                        <c:ptCount val="1"/>
                        <c:pt idx="0">
                          <c:v>8.4%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(Energex!$I$38,Energex!$N$38)</c:f>
              <c:numCache>
                <c:formatCode>#,##0.00</c:formatCode>
                <c:ptCount val="2"/>
                <c:pt idx="0">
                  <c:v>0</c:v>
                </c:pt>
                <c:pt idx="1">
                  <c:v>136.09773334249735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2E-4F1C-9405-DB8B33D608E2}"/>
            </c:ext>
          </c:extLst>
        </c:ser>
        <c:ser>
          <c:idx val="6"/>
          <c:order val="5"/>
          <c:tx>
            <c:strRef>
              <c:f>Energex!$F$36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Energex!$J$36</c:f>
                  <c:strCache>
                    <c:ptCount val="1"/>
                    <c:pt idx="0">
                      <c:v>21.9%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{01E16146-DBF9-45F6-A6CA-BFFB25FDBCC9}</c15:txfldGUID>
                      <c15:f>Energex!$J$36</c15:f>
                      <c15:dlblFieldTableCache>
                        <c:ptCount val="1"/>
                        <c:pt idx="0">
                          <c:v>21.9%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22E-4F1C-9405-DB8B33D608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(Energex!$I$36,Energex!$N$36)</c:f>
              <c:numCache>
                <c:formatCode>#,##0.00</c:formatCode>
                <c:ptCount val="2"/>
                <c:pt idx="0">
                  <c:v>318.90085999999974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2E-4F1C-9405-DB8B33D608E2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(Energex!$H$32,Energex!$H$39)</c:f>
              <c:numCache>
                <c:formatCode>#,##0.00</c:formatCode>
                <c:ptCount val="2"/>
                <c:pt idx="0">
                  <c:v>1455</c:v>
                </c:pt>
                <c:pt idx="1">
                  <c:v>1620.2111112202062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22E-4F1C-9405-DB8B33D60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Energex!$E$3</c:f>
          <c:strCache>
            <c:ptCount val="1"/>
            <c:pt idx="0">
              <c:v>Energex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Energex!$F$33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Energex!$AG$33</c:f>
                  <c:strCache>
                    <c:ptCount val="1"/>
                    <c:pt idx="0">
                      <c:v>35.4%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{50B9BCCE-4892-4F92-A5C7-3528175B5F00}</c15:txfldGUID>
                      <c15:f>Energex!$AG$33</c15:f>
                      <c15:dlblFieldTableCache>
                        <c:ptCount val="1"/>
                        <c:pt idx="0">
                          <c:v>35.4%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(Energex!$AA$33,Energex!$AF$33)</c15:sqref>
                  </c15:fullRef>
                </c:ext>
              </c:extLst>
              <c:f>Energex!$AF$33</c:f>
              <c:numCache>
                <c:formatCode>#,##0.00</c:formatCode>
                <c:ptCount val="1"/>
                <c:pt idx="0">
                  <c:v>1220.2773000000002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1-4158-B80D-E8ABFC0F8B7C}"/>
            </c:ext>
          </c:extLst>
        </c:ser>
        <c:ser>
          <c:idx val="1"/>
          <c:order val="1"/>
          <c:tx>
            <c:strRef>
              <c:f>Energex!$F$34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Energex!$AG$34</c:f>
                  <c:strCache>
                    <c:ptCount val="1"/>
                    <c:pt idx="0">
                      <c:v>35.3%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{BC5A3011-B8FB-4CF2-A5B8-C4BA10114B81}</c15:txfldGUID>
                      <c15:f>Energex!$AG$34</c15:f>
                      <c15:dlblFieldTableCache>
                        <c:ptCount val="1"/>
                        <c:pt idx="0">
                          <c:v>35.3%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(Energex!$AA$34,Energex!$AF$34)</c15:sqref>
                  </c15:fullRef>
                </c:ext>
              </c:extLst>
              <c:f>Energex!$AF$34</c:f>
              <c:numCache>
                <c:formatCode>#,##0.00</c:formatCode>
                <c:ptCount val="1"/>
                <c:pt idx="0">
                  <c:v>1215.83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Energex!$AA$34</c15:sqref>
                  <c15:dLbl>
                    <c:idx val="-1"/>
                    <c:tx>
                      <c:strRef>
                        <c:f>Energex!$AB$34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{35A52461-5EEF-4A8E-9648-40A8B3A27E42}</c15:txfldGUID>
                            <c15:f>Energex!$AB$34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115E-4248-A9A3-8558B2E0888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1501-4158-B80D-E8ABFC0F8B7C}"/>
            </c:ext>
          </c:extLst>
        </c:ser>
        <c:ser>
          <c:idx val="2"/>
          <c:order val="2"/>
          <c:tx>
            <c:strRef>
              <c:f>Energex!$F$35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Energex!$AG$35</c:f>
                  <c:strCache>
                    <c:ptCount val="1"/>
                    <c:pt idx="0">
                      <c:v>5.5%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{E201078B-943B-4241-B2BB-08AAEE1C54DC}</c15:txfldGUID>
                      <c15:f>Energex!$AG$35</c15:f>
                      <c15:dlblFieldTableCache>
                        <c:ptCount val="1"/>
                        <c:pt idx="0">
                          <c:v>5.5%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(Energex!$AA$35,Energex!$AF$35)</c15:sqref>
                  </c15:fullRef>
                </c:ext>
              </c:extLst>
              <c:f>Energex!$AF$35</c:f>
              <c:numCache>
                <c:formatCode>#,##0.00</c:formatCode>
                <c:ptCount val="1"/>
                <c:pt idx="0">
                  <c:v>188.1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Energex!$AA$35</c15:sqref>
                  <c15:dLbl>
                    <c:idx val="-1"/>
                    <c:tx>
                      <c:strRef>
                        <c:f>Energex!$AB$35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{FA0582BF-6FD8-4635-9653-763A9220AD83}</c15:txfldGUID>
                            <c15:f>Energex!$AB$35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115E-4248-A9A3-8558B2E0888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1501-4158-B80D-E8ABFC0F8B7C}"/>
            </c:ext>
          </c:extLst>
        </c:ser>
        <c:ser>
          <c:idx val="3"/>
          <c:order val="3"/>
          <c:tx>
            <c:strRef>
              <c:f>Energex!$F$37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Energex!$AG$37</c:f>
                  <c:strCache>
                    <c:ptCount val="1"/>
                    <c:pt idx="0">
                      <c:v>6.8%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{FB1A2442-4CFF-4114-9913-F7D0047EA83C}</c15:txfldGUID>
                      <c15:f>Energex!$AG$37</c15:f>
                      <c15:dlblFieldTableCache>
                        <c:ptCount val="1"/>
                        <c:pt idx="0">
                          <c:v>6.8%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(Energex!$AA$37,Energex!$AF$37)</c15:sqref>
                  </c15:fullRef>
                </c:ext>
              </c:extLst>
              <c:f>Energex!$AF$37</c:f>
              <c:numCache>
                <c:formatCode>#,##0.00</c:formatCode>
                <c:ptCount val="1"/>
                <c:pt idx="0">
                  <c:v>235.92105282770893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Energex!$AA$37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15E-4248-A9A3-8558B2E0888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1501-4158-B80D-E8ABFC0F8B7C}"/>
            </c:ext>
          </c:extLst>
        </c:ser>
        <c:ser>
          <c:idx val="5"/>
          <c:order val="4"/>
          <c:tx>
            <c:strRef>
              <c:f>Energex!$F$38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Energex!$AG$38</c:f>
                  <c:strCache>
                    <c:ptCount val="1"/>
                    <c:pt idx="0">
                      <c:v>17.0%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{2FB2CCA5-7F45-48FB-A192-74B747049957}</c15:txfldGUID>
                      <c15:f>Energex!$AG$38</c15:f>
                      <c15:dlblFieldTableCache>
                        <c:ptCount val="1"/>
                        <c:pt idx="0">
                          <c:v>17.0%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(Energex!$AA$38,Energex!$AF$38)</c15:sqref>
                  </c15:fullRef>
                </c:ext>
              </c:extLst>
              <c:f>Energex!$AF$38</c:f>
              <c:numCache>
                <c:formatCode>#,##0.00</c:formatCode>
                <c:ptCount val="1"/>
                <c:pt idx="0">
                  <c:v>585.80942166350678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Energex!$AA$38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15E-4248-A9A3-8558B2E0888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1501-4158-B80D-E8ABFC0F8B7C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(Energex!$Z$32,Energex!$Z$39)</c15:sqref>
                  </c15:fullRef>
                </c:ext>
              </c:extLst>
              <c:f>Energex!$Z$39</c:f>
              <c:numCache>
                <c:formatCode>#,##0.00</c:formatCode>
                <c:ptCount val="1"/>
                <c:pt idx="0">
                  <c:v>3445.9377744912158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01-4158-B80D-E8ABFC0F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Energex!$F$36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501-4158-B80D-E8ABFC0F8B7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(Energex!$AA$36,Energex!$AF$36)</c15:sqref>
                        </c15:fullRef>
                        <c15:formulaRef>
                          <c15:sqref>Energex!$AF$36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Energex!$AA$36</c15:sqref>
                        <c15:dLbl>
                          <c:idx val="-1"/>
                          <c:tx>
                            <c:strRef>
                              <c:f>Energex!$AB$36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{74AE6206-5C48-4438-9E0A-512B0C366A7B}</c15:txfldGUID>
                                  <c15:f>Energex!$AB$36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04-115E-4248-A9A3-8558B2E0888A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1501-4158-B80D-E8ABFC0F8B7C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SAPN!$D$3</c:f>
          <c:strCache>
            <c:ptCount val="1"/>
            <c:pt idx="0">
              <c:v>SAPN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SAPN!$F$33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SAPN!$S$33</c:f>
                  <c:strCache>
                    <c:ptCount val="1"/>
                    <c:pt idx="0">
                      <c:v>48.5%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{A59AF0FF-63AF-44C6-A903-847F93FFF5EE}</c15:txfldGUID>
                      <c15:f>SAPN!$S$33</c15:f>
                      <c15:dlblFieldTableCache>
                        <c:ptCount val="1"/>
                        <c:pt idx="0">
                          <c:v>48.5%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D90-4B5E-BB1B-AC3C1EA3A86A}"/>
                </c:ext>
              </c:extLst>
            </c:dLbl>
            <c:dLbl>
              <c:idx val="1"/>
              <c:tx>
                <c:strRef>
                  <c:f>SAPN!$X$33</c:f>
                  <c:strCache>
                    <c:ptCount val="1"/>
                    <c:pt idx="0">
                      <c:v>44.6%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{8F78458F-92FA-47E4-B063-DB4A3F960034}</c15:txfldGUID>
                      <c15:f>SAPN!$X$33</c15:f>
                      <c15:dlblFieldTableCache>
                        <c:ptCount val="1"/>
                        <c:pt idx="0">
                          <c:v>44.6%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(SAPN!$R$33,SAPN!$W$33)</c:f>
              <c:numCache>
                <c:formatCode>#,##0.00</c:formatCode>
                <c:ptCount val="2"/>
                <c:pt idx="0">
                  <c:v>1008.3018000000001</c:v>
                </c:pt>
                <c:pt idx="1">
                  <c:v>1015.9589000000001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0-4B5E-BB1B-AC3C1EA3A86A}"/>
            </c:ext>
          </c:extLst>
        </c:ser>
        <c:ser>
          <c:idx val="1"/>
          <c:order val="1"/>
          <c:tx>
            <c:strRef>
              <c:f>SAPN!$F$34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SAPN!$S$34</c:f>
                  <c:strCache>
                    <c:ptCount val="1"/>
                    <c:pt idx="0">
                      <c:v>33.5%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{C4C8224E-FDC5-439D-BFFE-6E61FC6CF376}</c15:txfldGUID>
                      <c15:f>SAPN!$S$34</c15:f>
                      <c15:dlblFieldTableCache>
                        <c:ptCount val="1"/>
                        <c:pt idx="0">
                          <c:v>33.5%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D90-4B5E-BB1B-AC3C1EA3A86A}"/>
                </c:ext>
              </c:extLst>
            </c:dLbl>
            <c:dLbl>
              <c:idx val="1"/>
              <c:tx>
                <c:strRef>
                  <c:f>SAPN!$X$34</c:f>
                  <c:strCache>
                    <c:ptCount val="1"/>
                    <c:pt idx="0">
                      <c:v>33.7%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{862D377D-17E3-4F44-A525-9CD5308582E0}</c15:txfldGUID>
                      <c15:f>SAPN!$X$34</c15:f>
                      <c15:dlblFieldTableCache>
                        <c:ptCount val="1"/>
                        <c:pt idx="0">
                          <c:v>33.7%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(SAPN!$R$34,SAPN!$W$34)</c:f>
              <c:numCache>
                <c:formatCode>#,##0.00</c:formatCode>
                <c:ptCount val="2"/>
                <c:pt idx="0">
                  <c:v>696.13499999999999</c:v>
                </c:pt>
                <c:pt idx="1">
                  <c:v>767.09819999999991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90-4B5E-BB1B-AC3C1EA3A86A}"/>
            </c:ext>
          </c:extLst>
        </c:ser>
        <c:ser>
          <c:idx val="2"/>
          <c:order val="2"/>
          <c:tx>
            <c:strRef>
              <c:f>SAPN!$F$35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SAPN!$S$35</c:f>
                  <c:strCache>
                    <c:ptCount val="1"/>
                    <c:pt idx="0">
                      <c:v>6.5%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{04DB8BC5-8B06-498B-A11D-07F28B4E3765}</c15:txfldGUID>
                      <c15:f>SAPN!$S$35</c15:f>
                      <c15:dlblFieldTableCache>
                        <c:ptCount val="1"/>
                        <c:pt idx="0">
                          <c:v>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D90-4B5E-BB1B-AC3C1EA3A86A}"/>
                </c:ext>
              </c:extLst>
            </c:dLbl>
            <c:dLbl>
              <c:idx val="1"/>
              <c:tx>
                <c:strRef>
                  <c:f>SAPN!$X$35</c:f>
                  <c:strCache>
                    <c:ptCount val="1"/>
                    <c:pt idx="0">
                      <c:v>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{A52AC52D-E780-4E0D-A4C0-C9E5E0D0A047}</c15:txfldGUID>
                      <c15:f>SAPN!$X$35</c15:f>
                      <c15:dlblFieldTableCache>
                        <c:ptCount val="1"/>
                        <c:pt idx="0">
                          <c:v>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(SAPN!$R$35,SAPN!$W$35)</c:f>
              <c:numCache>
                <c:formatCode>#,##0.00</c:formatCode>
                <c:ptCount val="2"/>
                <c:pt idx="0">
                  <c:v>134.57400000000001</c:v>
                </c:pt>
                <c:pt idx="1">
                  <c:v>134.50800000000001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90-4B5E-BB1B-AC3C1EA3A86A}"/>
            </c:ext>
          </c:extLst>
        </c:ser>
        <c:ser>
          <c:idx val="3"/>
          <c:order val="3"/>
          <c:tx>
            <c:strRef>
              <c:f>SAPN!$F$37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0-4B5E-BB1B-AC3C1EA3A86A}"/>
                </c:ext>
              </c:extLst>
            </c:dLbl>
            <c:dLbl>
              <c:idx val="1"/>
              <c:tx>
                <c:strRef>
                  <c:f>SAPN!$X$37</c:f>
                  <c:strCache>
                    <c:ptCount val="1"/>
                    <c:pt idx="0">
                      <c:v>9.7%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{F77032C2-3793-4763-B843-C42CCD1DF66A}</c15:txfldGUID>
                      <c15:f>SAPN!$X$37</c15:f>
                      <c15:dlblFieldTableCache>
                        <c:ptCount val="1"/>
                        <c:pt idx="0">
                          <c:v>9.7%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(SAPN!$R$37,SAPN!$W$37)</c:f>
              <c:numCache>
                <c:formatCode>#,##0.00</c:formatCode>
                <c:ptCount val="2"/>
                <c:pt idx="0">
                  <c:v>0</c:v>
                </c:pt>
                <c:pt idx="1">
                  <c:v>221.39109961520896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90-4B5E-BB1B-AC3C1EA3A86A}"/>
            </c:ext>
          </c:extLst>
        </c:ser>
        <c:ser>
          <c:idx val="5"/>
          <c:order val="4"/>
          <c:tx>
            <c:strRef>
              <c:f>SAPN!$F$38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0-4B5E-BB1B-AC3C1EA3A86A}"/>
                </c:ext>
              </c:extLst>
            </c:dLbl>
            <c:dLbl>
              <c:idx val="1"/>
              <c:tx>
                <c:strRef>
                  <c:f>SAPN!$X$38</c:f>
                  <c:strCache>
                    <c:ptCount val="1"/>
                    <c:pt idx="0">
                      <c:v>6.0%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{0F8C451D-7408-466A-B629-310FDB02CE89}</c15:txfldGUID>
                      <c15:f>SAPN!$X$38</c15:f>
                      <c15:dlblFieldTableCache>
                        <c:ptCount val="1"/>
                        <c:pt idx="0">
                          <c:v>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(SAPN!$R$38,SAPN!$W$38)</c:f>
              <c:numCache>
                <c:formatCode>#,##0.00</c:formatCode>
                <c:ptCount val="2"/>
                <c:pt idx="0">
                  <c:v>0</c:v>
                </c:pt>
                <c:pt idx="1">
                  <c:v>136.52911912437503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90-4B5E-BB1B-AC3C1EA3A86A}"/>
            </c:ext>
          </c:extLst>
        </c:ser>
        <c:ser>
          <c:idx val="6"/>
          <c:order val="5"/>
          <c:tx>
            <c:strRef>
              <c:f>SAPN!$F$36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SAPN!$S$36</c:f>
                  <c:strCache>
                    <c:ptCount val="1"/>
                    <c:pt idx="0">
                      <c:v>11.5%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{FD896DAC-E822-450F-9439-76F6CA39C7EC}</c15:txfldGUID>
                      <c15:f>SAPN!$S$36</c15:f>
                      <c15:dlblFieldTableCache>
                        <c:ptCount val="1"/>
                        <c:pt idx="0">
                          <c:v>11.5%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D90-4B5E-BB1B-AC3C1EA3A8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(SAPN!$R$36,SAPN!$W$36)</c:f>
              <c:numCache>
                <c:formatCode>#,##0.00</c:formatCode>
                <c:ptCount val="2"/>
                <c:pt idx="0">
                  <c:v>237.98919999999998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90-4B5E-BB1B-AC3C1EA3A86A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(SAPN!$Q$32,SAPN!$Q$39)</c:f>
              <c:numCache>
                <c:formatCode>#,##0.00</c:formatCode>
                <c:ptCount val="2"/>
                <c:pt idx="0">
                  <c:v>2077</c:v>
                </c:pt>
                <c:pt idx="1">
                  <c:v>2275.4853187395838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D90-4B5E-BB1B-AC3C1EA3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SAPN!$C$3</c:f>
          <c:strCache>
            <c:ptCount val="1"/>
            <c:pt idx="0">
              <c:v>SAPN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SAPN!$F$33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SAPN!$J$33</c:f>
                  <c:strCache>
                    <c:ptCount val="1"/>
                    <c:pt idx="0">
                      <c:v>47.7%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{07986253-572B-4EB6-A4FC-B38DB83B5DF8}</c15:txfldGUID>
                      <c15:f>SAPN!$J$33</c15:f>
                      <c15:dlblFieldTableCache>
                        <c:ptCount val="1"/>
                        <c:pt idx="0">
                          <c:v>47.7%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12B-4C10-83BD-D7205A972D6B}"/>
                </c:ext>
              </c:extLst>
            </c:dLbl>
            <c:dLbl>
              <c:idx val="1"/>
              <c:tx>
                <c:strRef>
                  <c:f>SAPN!$O$33</c:f>
                  <c:strCache>
                    <c:ptCount val="1"/>
                    <c:pt idx="0">
                      <c:v>44.9%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{B12E0420-E92D-4F79-9FF7-A278EE26F28C}</c15:txfldGUID>
                      <c15:f>SAPN!$O$33</c15:f>
                      <c15:dlblFieldTableCache>
                        <c:ptCount val="1"/>
                        <c:pt idx="0">
                          <c:v>44.9%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(SAPN!$I$33,SAPN!$N$33)</c:f>
              <c:numCache>
                <c:formatCode>#,##0.00</c:formatCode>
                <c:ptCount val="2"/>
                <c:pt idx="0">
                  <c:v>818.81580000000008</c:v>
                </c:pt>
                <c:pt idx="1">
                  <c:v>826.75890000000004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B-4C10-83BD-D7205A972D6B}"/>
            </c:ext>
          </c:extLst>
        </c:ser>
        <c:ser>
          <c:idx val="1"/>
          <c:order val="1"/>
          <c:tx>
            <c:strRef>
              <c:f>SAPN!$F$34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SAPN!$J$34</c:f>
                  <c:strCache>
                    <c:ptCount val="1"/>
                    <c:pt idx="0">
                      <c:v>30.6%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{B7367179-8358-4E30-A35F-74852106672E}</c15:txfldGUID>
                      <c15:f>SAPN!$J$34</c15:f>
                      <c15:dlblFieldTableCache>
                        <c:ptCount val="1"/>
                        <c:pt idx="0">
                          <c:v>30.6%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12B-4C10-83BD-D7205A972D6B}"/>
                </c:ext>
              </c:extLst>
            </c:dLbl>
            <c:dLbl>
              <c:idx val="1"/>
              <c:tx>
                <c:strRef>
                  <c:f>SAPN!$O$34</c:f>
                  <c:strCache>
                    <c:ptCount val="1"/>
                    <c:pt idx="0">
                      <c:v>32.2%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{A34FC53D-78D1-4C41-97DE-F8A44BF6C69B}</c15:txfldGUID>
                      <c15:f>SAPN!$O$34</c15:f>
                      <c15:dlblFieldTableCache>
                        <c:ptCount val="1"/>
                        <c:pt idx="0">
                          <c:v>32.2%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(SAPN!$I$34,SAPN!$N$34)</c:f>
              <c:numCache>
                <c:formatCode>#,##0.00</c:formatCode>
                <c:ptCount val="2"/>
                <c:pt idx="0">
                  <c:v>525.66800000000001</c:v>
                </c:pt>
                <c:pt idx="1">
                  <c:v>591.93200000000002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2B-4C10-83BD-D7205A972D6B}"/>
            </c:ext>
          </c:extLst>
        </c:ser>
        <c:ser>
          <c:idx val="2"/>
          <c:order val="2"/>
          <c:tx>
            <c:strRef>
              <c:f>SAPN!$F$35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SAPN!$J$35</c:f>
                  <c:strCache>
                    <c:ptCount val="1"/>
                    <c:pt idx="0">
                      <c:v>5.2%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{03939144-47F5-4A3D-941D-7C1E010AEFE2}</c15:txfldGUID>
                      <c15:f>SAPN!$J$35</c15:f>
                      <c15:dlblFieldTableCache>
                        <c:ptCount val="1"/>
                        <c:pt idx="0">
                          <c:v>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12B-4C10-83BD-D7205A972D6B}"/>
                </c:ext>
              </c:extLst>
            </c:dLbl>
            <c:dLbl>
              <c:idx val="1"/>
              <c:tx>
                <c:strRef>
                  <c:f>SAPN!$O$35</c:f>
                  <c:strCache>
                    <c:ptCount val="1"/>
                    <c:pt idx="0">
                      <c:v>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{78AFB86F-83F3-4A85-BCE2-BA8F14D3AB8A}</c15:txfldGUID>
                      <c15:f>SAPN!$O$35</c15:f>
                      <c15:dlblFieldTableCache>
                        <c:ptCount val="1"/>
                        <c:pt idx="0">
                          <c:v>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(SAPN!$I$35,SAPN!$N$35)</c:f>
              <c:numCache>
                <c:formatCode>#,##0.00</c:formatCode>
                <c:ptCount val="2"/>
                <c:pt idx="0">
                  <c:v>89.716000000000008</c:v>
                </c:pt>
                <c:pt idx="1">
                  <c:v>89.671999999999997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2B-4C10-83BD-D7205A972D6B}"/>
            </c:ext>
          </c:extLst>
        </c:ser>
        <c:ser>
          <c:idx val="3"/>
          <c:order val="3"/>
          <c:tx>
            <c:strRef>
              <c:f>SAPN!$F$37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B-4C10-83BD-D7205A972D6B}"/>
                </c:ext>
              </c:extLst>
            </c:dLbl>
            <c:dLbl>
              <c:idx val="1"/>
              <c:tx>
                <c:strRef>
                  <c:f>SAPN!$O$37</c:f>
                  <c:strCache>
                    <c:ptCount val="1"/>
                    <c:pt idx="0">
                      <c:v>12.0%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{F1453B74-30D2-4420-A12C-2A8D67CA845D}</c15:txfldGUID>
                      <c15:f>SAPN!$O$37</c15:f>
                      <c15:dlblFieldTableCache>
                        <c:ptCount val="1"/>
                        <c:pt idx="0">
                          <c:v>12.0%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(SAPN!$I$37,SAPN!$N$37)</c:f>
              <c:numCache>
                <c:formatCode>#,##0.00</c:formatCode>
                <c:ptCount val="2"/>
                <c:pt idx="0">
                  <c:v>0</c:v>
                </c:pt>
                <c:pt idx="1">
                  <c:v>221.39109961520896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2B-4C10-83BD-D7205A972D6B}"/>
            </c:ext>
          </c:extLst>
        </c:ser>
        <c:ser>
          <c:idx val="5"/>
          <c:order val="4"/>
          <c:tx>
            <c:strRef>
              <c:f>SAPN!$F$38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2B-4C10-83BD-D7205A972D6B}"/>
                </c:ext>
              </c:extLst>
            </c:dLbl>
            <c:dLbl>
              <c:idx val="1"/>
              <c:tx>
                <c:strRef>
                  <c:f>SAPN!$O$38</c:f>
                  <c:strCache>
                    <c:ptCount val="1"/>
                    <c:pt idx="0">
                      <c:v>6.0%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{14826180-C85B-4AE6-9199-35A90E4F9A02}</c15:txfldGUID>
                      <c15:f>SAPN!$O$38</c15:f>
                      <c15:dlblFieldTableCache>
                        <c:ptCount val="1"/>
                        <c:pt idx="0">
                          <c:v>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(SAPN!$I$38,SAPN!$N$38)</c:f>
              <c:numCache>
                <c:formatCode>#,##0.00</c:formatCode>
                <c:ptCount val="2"/>
                <c:pt idx="0">
                  <c:v>0</c:v>
                </c:pt>
                <c:pt idx="1">
                  <c:v>110.4098297626731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2B-4C10-83BD-D7205A972D6B}"/>
            </c:ext>
          </c:extLst>
        </c:ser>
        <c:ser>
          <c:idx val="6"/>
          <c:order val="5"/>
          <c:tx>
            <c:strRef>
              <c:f>SAPN!$F$36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SAPN!$J$36</c:f>
                  <c:strCache>
                    <c:ptCount val="1"/>
                    <c:pt idx="0">
                      <c:v>16.4%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{008F7CC8-7490-4BF2-B23E-ACCA69EEDD15}</c15:txfldGUID>
                      <c15:f>SAPN!$J$36</c15:f>
                      <c15:dlblFieldTableCache>
                        <c:ptCount val="1"/>
                        <c:pt idx="0">
                          <c:v>16.4%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12B-4C10-83BD-D7205A972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(SAPN!$I$36,SAPN!$N$36)</c:f>
              <c:numCache>
                <c:formatCode>#,##0.00</c:formatCode>
                <c:ptCount val="2"/>
                <c:pt idx="0">
                  <c:v>281.80020000000013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12B-4C10-83BD-D7205A972D6B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(SAPN!$H$32,SAPN!$H$39)</c:f>
              <c:numCache>
                <c:formatCode>#,##0.00</c:formatCode>
                <c:ptCount val="2"/>
                <c:pt idx="0">
                  <c:v>1716</c:v>
                </c:pt>
                <c:pt idx="1">
                  <c:v>1840.1638293778822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2B-4C10-83BD-D7205A972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SAPN!$E$3</c:f>
          <c:strCache>
            <c:ptCount val="1"/>
            <c:pt idx="0">
              <c:v>SAPN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SAPN!$F$33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SAPN!$AG$33</c:f>
                  <c:strCache>
                    <c:ptCount val="1"/>
                    <c:pt idx="0">
                      <c:v>42.5%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{597C0399-B531-44B1-A58A-C732EFD2F83C}</c15:txfldGUID>
                      <c15:f>SAPN!$AG$33</c15:f>
                      <c15:dlblFieldTableCache>
                        <c:ptCount val="1"/>
                        <c:pt idx="0">
                          <c:v>42.5%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(SAPN!$AA$33,SAPN!$AF$33)</c15:sqref>
                  </c15:fullRef>
                </c:ext>
              </c:extLst>
              <c:f>SAPN!$AF$33</c:f>
              <c:numCache>
                <c:formatCode>#,##0.00</c:formatCode>
                <c:ptCount val="1"/>
                <c:pt idx="0">
                  <c:v>1930.4626000000003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A-4445-BEAC-5CE3FD16CD07}"/>
            </c:ext>
          </c:extLst>
        </c:ser>
        <c:ser>
          <c:idx val="1"/>
          <c:order val="1"/>
          <c:tx>
            <c:strRef>
              <c:f>SAPN!$F$34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SAPN!$AG$34</c:f>
                  <c:strCache>
                    <c:ptCount val="1"/>
                    <c:pt idx="0">
                      <c:v>32.6%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{E95A0FFB-28A0-4CE4-91EC-75A3AB9B4257}</c15:txfldGUID>
                      <c15:f>SAPN!$AG$34</c15:f>
                      <c15:dlblFieldTableCache>
                        <c:ptCount val="1"/>
                        <c:pt idx="0">
                          <c:v>32.6%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(SAPN!$AA$34,SAPN!$AF$34)</c15:sqref>
                  </c15:fullRef>
                </c:ext>
              </c:extLst>
              <c:f>SAPN!$AF$34</c:f>
              <c:numCache>
                <c:formatCode>#,##0.00</c:formatCode>
                <c:ptCount val="1"/>
                <c:pt idx="0">
                  <c:v>1479.83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SAPN!$AA$34</c15:sqref>
                  <c15:dLbl>
                    <c:idx val="-1"/>
                    <c:tx>
                      <c:strRef>
                        <c:f>SAPN!$AB$34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{6B87C783-37AB-42F9-A23B-3CAAB6CF0EBD}</c15:txfldGUID>
                            <c15:f>SAPN!$AB$34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A7D2-4CC8-8281-53D341C26F8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508A-4445-BEAC-5CE3FD16CD07}"/>
            </c:ext>
          </c:extLst>
        </c:ser>
        <c:ser>
          <c:idx val="2"/>
          <c:order val="2"/>
          <c:tx>
            <c:strRef>
              <c:f>SAPN!$F$35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SAPN!$AG$35</c:f>
                  <c:strCache>
                    <c:ptCount val="1"/>
                    <c:pt idx="0">
                      <c:v>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{0A39C32A-C007-4A0B-A612-8DD9793C8AEA}</c15:txfldGUID>
                      <c15:f>SAPN!$AG$35</c15:f>
                      <c15:dlblFieldTableCache>
                        <c:ptCount val="1"/>
                        <c:pt idx="0">
                          <c:v>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(SAPN!$AA$35,SAPN!$AF$35)</c15:sqref>
                  </c15:fullRef>
                </c:ext>
              </c:extLst>
              <c:f>SAPN!$AF$35</c:f>
              <c:numCache>
                <c:formatCode>#,##0.00</c:formatCode>
                <c:ptCount val="1"/>
                <c:pt idx="0">
                  <c:v>224.18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SAPN!$AA$35</c15:sqref>
                  <c15:dLbl>
                    <c:idx val="-1"/>
                    <c:tx>
                      <c:strRef>
                        <c:f>SAPN!$AB$35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{D29323DB-E9E0-406A-B515-4FB1327188CF}</c15:txfldGUID>
                            <c15:f>SAPN!$AB$35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A7D2-4CC8-8281-53D341C26F8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508A-4445-BEAC-5CE3FD16CD07}"/>
            </c:ext>
          </c:extLst>
        </c:ser>
        <c:ser>
          <c:idx val="3"/>
          <c:order val="3"/>
          <c:tx>
            <c:strRef>
              <c:f>SAPN!$F$37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SAPN!$AG$37</c:f>
                  <c:strCache>
                    <c:ptCount val="1"/>
                    <c:pt idx="0">
                      <c:v>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{6098DAFD-2C47-461F-8B45-6A7384A0B391}</c15:txfldGUID>
                      <c15:f>SAPN!$AG$37</c15:f>
                      <c15:dlblFieldTableCache>
                        <c:ptCount val="1"/>
                        <c:pt idx="0">
                          <c:v>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(SAPN!$AA$37,SAPN!$AF$37)</c15:sqref>
                  </c15:fullRef>
                </c:ext>
              </c:extLst>
              <c:f>SAPN!$AF$37</c:f>
              <c:numCache>
                <c:formatCode>#,##0.00</c:formatCode>
                <c:ptCount val="1"/>
                <c:pt idx="0">
                  <c:v>223.44779574020896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SAPN!$AA$37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7D2-4CC8-8281-53D341C26F8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508A-4445-BEAC-5CE3FD16CD07}"/>
            </c:ext>
          </c:extLst>
        </c:ser>
        <c:ser>
          <c:idx val="5"/>
          <c:order val="4"/>
          <c:tx>
            <c:strRef>
              <c:f>SAPN!$F$38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SAPN!$AG$38</c:f>
                  <c:strCache>
                    <c:ptCount val="1"/>
                    <c:pt idx="0">
                      <c:v>15.0%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{88AA7AE3-F6E4-4086-A666-A4E073450900}</c15:txfldGUID>
                      <c15:f>SAPN!$AG$38</c15:f>
                      <c15:dlblFieldTableCache>
                        <c:ptCount val="1"/>
                        <c:pt idx="0">
                          <c:v>15.0%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(SAPN!$AA$38,SAPN!$AF$38)</c15:sqref>
                  </c15:fullRef>
                </c:ext>
              </c:extLst>
              <c:f>SAPN!$AF$38</c:f>
              <c:numCache>
                <c:formatCode>#,##0.00</c:formatCode>
                <c:ptCount val="1"/>
                <c:pt idx="0">
                  <c:v>680.80948160121307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SAPN!$AA$38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7D2-4CC8-8281-53D341C26F8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508A-4445-BEAC-5CE3FD16CD07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(SAPN!$Z$32,SAPN!$Z$39)</c15:sqref>
                  </c15:fullRef>
                </c:ext>
              </c:extLst>
              <c:f>SAPN!$Z$39</c:f>
              <c:numCache>
                <c:formatCode>#,##0.00</c:formatCode>
                <c:ptCount val="1"/>
                <c:pt idx="0">
                  <c:v>4538.7298773414223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8A-4445-BEAC-5CE3FD16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SAPN!$F$36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08A-4445-BEAC-5CE3FD16CD0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(SAPN!$AA$36,SAPN!$AF$36)</c15:sqref>
                        </c15:fullRef>
                        <c15:formulaRef>
                          <c15:sqref>SAPN!$AF$36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SAPN!$AA$36</c15:sqref>
                        <c15:dLbl>
                          <c:idx val="-1"/>
                          <c:tx>
                            <c:strRef>
                              <c:f>SAPN!$AB$36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{FE5A7A9A-2D66-4157-A8F8-DD70A04A04CB}</c15:txfldGUID>
                                  <c15:f>SAPN!$AB$36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04-A7D2-4CC8-8281-53D341C26F8F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508A-4445-BEAC-5CE3FD16CD07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Energex!A1"/><Relationship Id="rId13" Type="http://schemas.openxmlformats.org/officeDocument/2006/relationships/hyperlink" Target="#'Res w CL'!A1"/><Relationship Id="rId3" Type="http://schemas.openxmlformats.org/officeDocument/2006/relationships/hyperlink" Target="#'Wholesale cost'!A1"/><Relationship Id="rId7" Type="http://schemas.openxmlformats.org/officeDocument/2006/relationships/hyperlink" Target="#Essential!A1"/><Relationship Id="rId12" Type="http://schemas.openxmlformats.org/officeDocument/2006/relationships/hyperlink" Target="#'Res wo CL'!A1"/><Relationship Id="rId2" Type="http://schemas.openxmlformats.org/officeDocument/2006/relationships/hyperlink" Target="#'Network cost'!A1"/><Relationship Id="rId16" Type="http://schemas.openxmlformats.org/officeDocument/2006/relationships/hyperlink" Target="#'Retail cost'!A1"/><Relationship Id="rId1" Type="http://schemas.openxmlformats.org/officeDocument/2006/relationships/hyperlink" Target="#'Detail inputs'!A1"/><Relationship Id="rId6" Type="http://schemas.openxmlformats.org/officeDocument/2006/relationships/hyperlink" Target="#Endeavour!A1"/><Relationship Id="rId11" Type="http://schemas.openxmlformats.org/officeDocument/2006/relationships/hyperlink" Target="#Summary!A1"/><Relationship Id="rId5" Type="http://schemas.openxmlformats.org/officeDocument/2006/relationships/hyperlink" Target="#Ausgrid!A1"/><Relationship Id="rId15" Type="http://schemas.openxmlformats.org/officeDocument/2006/relationships/hyperlink" Target="#'Key inputs'!A1"/><Relationship Id="rId10" Type="http://schemas.openxmlformats.org/officeDocument/2006/relationships/hyperlink" Target="#Usage!A1"/><Relationship Id="rId4" Type="http://schemas.openxmlformats.org/officeDocument/2006/relationships/hyperlink" Target="#'Environmental cost'!A1"/><Relationship Id="rId9" Type="http://schemas.openxmlformats.org/officeDocument/2006/relationships/hyperlink" Target="#SAPN!A1"/><Relationship Id="rId14" Type="http://schemas.openxmlformats.org/officeDocument/2006/relationships/hyperlink" Target="#'SB wo C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230937</xdr:rowOff>
    </xdr:from>
    <xdr:to>
      <xdr:col>3</xdr:col>
      <xdr:colOff>179802</xdr:colOff>
      <xdr:row>13</xdr:row>
      <xdr:rowOff>172248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96340" y="3103677"/>
          <a:ext cx="1147542" cy="573771"/>
        </a:xfrm>
        <a:prstGeom prst="rect">
          <a:avLst/>
        </a:prstGeom>
        <a:solidFill>
          <a:schemeClr val="bg1">
            <a:lumMod val="8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Detail inputs</a:t>
          </a:r>
        </a:p>
      </xdr:txBody>
    </xdr:sp>
    <xdr:clientData/>
  </xdr:twoCellAnchor>
  <xdr:twoCellAnchor>
    <xdr:from>
      <xdr:col>3</xdr:col>
      <xdr:colOff>1199839</xdr:colOff>
      <xdr:row>8</xdr:row>
      <xdr:rowOff>250000</xdr:rowOff>
    </xdr:from>
    <xdr:to>
      <xdr:col>4</xdr:col>
      <xdr:colOff>922441</xdr:colOff>
      <xdr:row>10</xdr:row>
      <xdr:rowOff>191311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295339" y="2116900"/>
          <a:ext cx="1113252" cy="56996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Network cost</a:t>
          </a:r>
        </a:p>
      </xdr:txBody>
    </xdr:sp>
    <xdr:clientData/>
  </xdr:twoCellAnchor>
  <xdr:twoCellAnchor>
    <xdr:from>
      <xdr:col>3</xdr:col>
      <xdr:colOff>1199839</xdr:colOff>
      <xdr:row>10</xdr:row>
      <xdr:rowOff>288992</xdr:rowOff>
    </xdr:from>
    <xdr:to>
      <xdr:col>4</xdr:col>
      <xdr:colOff>922441</xdr:colOff>
      <xdr:row>12</xdr:row>
      <xdr:rowOff>230303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295339" y="2784542"/>
          <a:ext cx="1113252" cy="56996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200" b="1" kern="0">
              <a:solidFill>
                <a:schemeClr val="bg1"/>
              </a:solidFill>
              <a:latin typeface="Calibri" panose="020F0502020204030204"/>
            </a:rPr>
            <a:t>Wholesale cost</a:t>
          </a:r>
          <a:endParaRPr kumimoji="0" lang="en-AU" sz="1200" b="1" i="0" u="none" strike="noStrike" kern="0" cap="none" spc="0" normalizeH="0" baseline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1199839</xdr:colOff>
      <xdr:row>12</xdr:row>
      <xdr:rowOff>332071</xdr:rowOff>
    </xdr:from>
    <xdr:to>
      <xdr:col>4</xdr:col>
      <xdr:colOff>922441</xdr:colOff>
      <xdr:row>15</xdr:row>
      <xdr:rowOff>105742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295339" y="3456271"/>
          <a:ext cx="1113252" cy="59282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Environmental cost</a:t>
          </a:r>
        </a:p>
      </xdr:txBody>
    </xdr:sp>
    <xdr:clientData/>
  </xdr:twoCellAnchor>
  <xdr:twoCellAnchor>
    <xdr:from>
      <xdr:col>5</xdr:col>
      <xdr:colOff>581290</xdr:colOff>
      <xdr:row>7</xdr:row>
      <xdr:rowOff>99059</xdr:rowOff>
    </xdr:from>
    <xdr:to>
      <xdr:col>6</xdr:col>
      <xdr:colOff>303892</xdr:colOff>
      <xdr:row>9</xdr:row>
      <xdr:rowOff>55610</xdr:rowOff>
    </xdr:to>
    <xdr:sp macro="" textlink="">
      <xdr:nvSpPr>
        <xdr:cNvPr id="6" name="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80010" y="1706879"/>
          <a:ext cx="1139922" cy="58901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Ausgrid</a:t>
          </a:r>
        </a:p>
      </xdr:txBody>
    </xdr:sp>
    <xdr:clientData/>
  </xdr:twoCellAnchor>
  <xdr:twoCellAnchor>
    <xdr:from>
      <xdr:col>5</xdr:col>
      <xdr:colOff>581290</xdr:colOff>
      <xdr:row>9</xdr:row>
      <xdr:rowOff>157378</xdr:rowOff>
    </xdr:from>
    <xdr:to>
      <xdr:col>6</xdr:col>
      <xdr:colOff>303892</xdr:colOff>
      <xdr:row>11</xdr:row>
      <xdr:rowOff>98689</xdr:rowOff>
    </xdr:to>
    <xdr:sp macro="" textlink="">
      <xdr:nvSpPr>
        <xdr:cNvPr id="7" name="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580010" y="2397658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Endeavour</a:t>
          </a:r>
        </a:p>
      </xdr:txBody>
    </xdr:sp>
    <xdr:clientData/>
  </xdr:twoCellAnchor>
  <xdr:twoCellAnchor>
    <xdr:from>
      <xdr:col>5</xdr:col>
      <xdr:colOff>581290</xdr:colOff>
      <xdr:row>11</xdr:row>
      <xdr:rowOff>200457</xdr:rowOff>
    </xdr:from>
    <xdr:to>
      <xdr:col>6</xdr:col>
      <xdr:colOff>303892</xdr:colOff>
      <xdr:row>13</xdr:row>
      <xdr:rowOff>141768</xdr:rowOff>
    </xdr:to>
    <xdr:sp macro="" textlink="">
      <xdr:nvSpPr>
        <xdr:cNvPr id="8" name="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580010" y="3073197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Essential</a:t>
          </a:r>
        </a:p>
      </xdr:txBody>
    </xdr:sp>
    <xdr:clientData/>
  </xdr:twoCellAnchor>
  <xdr:twoCellAnchor>
    <xdr:from>
      <xdr:col>5</xdr:col>
      <xdr:colOff>581290</xdr:colOff>
      <xdr:row>13</xdr:row>
      <xdr:rowOff>242259</xdr:rowOff>
    </xdr:from>
    <xdr:to>
      <xdr:col>6</xdr:col>
      <xdr:colOff>303892</xdr:colOff>
      <xdr:row>17</xdr:row>
      <xdr:rowOff>15930</xdr:rowOff>
    </xdr:to>
    <xdr:sp macro="" textlink="">
      <xdr:nvSpPr>
        <xdr:cNvPr id="9" name="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580010" y="3747459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Energex</a:t>
          </a:r>
        </a:p>
      </xdr:txBody>
    </xdr:sp>
    <xdr:clientData/>
  </xdr:twoCellAnchor>
  <xdr:twoCellAnchor>
    <xdr:from>
      <xdr:col>5</xdr:col>
      <xdr:colOff>581290</xdr:colOff>
      <xdr:row>17</xdr:row>
      <xdr:rowOff>113611</xdr:rowOff>
    </xdr:from>
    <xdr:to>
      <xdr:col>6</xdr:col>
      <xdr:colOff>303892</xdr:colOff>
      <xdr:row>20</xdr:row>
      <xdr:rowOff>138742</xdr:rowOff>
    </xdr:to>
    <xdr:sp macro="" textlink="">
      <xdr:nvSpPr>
        <xdr:cNvPr id="10" name="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80010" y="4418911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SAPN</a:t>
          </a:r>
        </a:p>
      </xdr:txBody>
    </xdr:sp>
    <xdr:clientData/>
  </xdr:twoCellAnchor>
  <xdr:twoCellAnchor>
    <xdr:from>
      <xdr:col>3</xdr:col>
      <xdr:colOff>179802</xdr:colOff>
      <xdr:row>9</xdr:row>
      <xdr:rowOff>153981</xdr:rowOff>
    </xdr:from>
    <xdr:to>
      <xdr:col>3</xdr:col>
      <xdr:colOff>1199839</xdr:colOff>
      <xdr:row>12</xdr:row>
      <xdr:rowOff>268268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2275302" y="2401881"/>
          <a:ext cx="1020037" cy="99058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179802</xdr:colOff>
      <xdr:row>12</xdr:row>
      <xdr:rowOff>268268</xdr:rowOff>
    </xdr:from>
    <xdr:to>
      <xdr:col>3</xdr:col>
      <xdr:colOff>1199839</xdr:colOff>
      <xdr:row>13</xdr:row>
      <xdr:rowOff>247482</xdr:rowOff>
    </xdr:to>
    <xdr:cxnSp macro="">
      <xdr:nvCxnSpPr>
        <xdr:cNvPr id="12" name="Elbow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stCxn id="2" idx="3"/>
          <a:endCxn id="5" idx="1"/>
        </xdr:cNvCxnSpPr>
      </xdr:nvCxnSpPr>
      <xdr:spPr>
        <a:xfrm>
          <a:off x="2275302" y="3392468"/>
          <a:ext cx="1020037" cy="36021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179802</xdr:colOff>
      <xdr:row>11</xdr:row>
      <xdr:rowOff>192973</xdr:rowOff>
    </xdr:from>
    <xdr:to>
      <xdr:col>3</xdr:col>
      <xdr:colOff>1199839</xdr:colOff>
      <xdr:row>12</xdr:row>
      <xdr:rowOff>268268</xdr:rowOff>
    </xdr:to>
    <xdr:cxnSp macro="">
      <xdr:nvCxnSpPr>
        <xdr:cNvPr id="13" name="Elbow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stCxn id="2" idx="3"/>
          <a:endCxn id="4" idx="1"/>
        </xdr:cNvCxnSpPr>
      </xdr:nvCxnSpPr>
      <xdr:spPr>
        <a:xfrm flipV="1">
          <a:off x="2275302" y="3069523"/>
          <a:ext cx="1020037" cy="322945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11</xdr:row>
      <xdr:rowOff>192973</xdr:rowOff>
    </xdr:from>
    <xdr:to>
      <xdr:col>5</xdr:col>
      <xdr:colOff>581290</xdr:colOff>
      <xdr:row>19</xdr:row>
      <xdr:rowOff>30927</xdr:rowOff>
    </xdr:to>
    <xdr:cxnSp macro="">
      <xdr:nvCxnSpPr>
        <xdr:cNvPr id="14" name="Elbow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stCxn id="4" idx="3"/>
          <a:endCxn id="10" idx="1"/>
        </xdr:cNvCxnSpPr>
      </xdr:nvCxnSpPr>
      <xdr:spPr>
        <a:xfrm>
          <a:off x="4408591" y="3069523"/>
          <a:ext cx="1049499" cy="166675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11</xdr:row>
      <xdr:rowOff>192973</xdr:rowOff>
    </xdr:from>
    <xdr:to>
      <xdr:col>5</xdr:col>
      <xdr:colOff>581290</xdr:colOff>
      <xdr:row>15</xdr:row>
      <xdr:rowOff>100520</xdr:rowOff>
    </xdr:to>
    <xdr:cxnSp macro="">
      <xdr:nvCxnSpPr>
        <xdr:cNvPr id="15" name="Elbow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stCxn id="4" idx="3"/>
          <a:endCxn id="9" idx="1"/>
        </xdr:cNvCxnSpPr>
      </xdr:nvCxnSpPr>
      <xdr:spPr>
        <a:xfrm>
          <a:off x="4408591" y="3069523"/>
          <a:ext cx="1049499" cy="97434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8</xdr:row>
      <xdr:rowOff>144010</xdr:rowOff>
    </xdr:from>
    <xdr:to>
      <xdr:col>5</xdr:col>
      <xdr:colOff>581290</xdr:colOff>
      <xdr:row>11</xdr:row>
      <xdr:rowOff>192973</xdr:rowOff>
    </xdr:to>
    <xdr:cxnSp macro="">
      <xdr:nvCxnSpPr>
        <xdr:cNvPr id="16" name="Elbow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stCxn id="4" idx="3"/>
          <a:endCxn id="6" idx="1"/>
        </xdr:cNvCxnSpPr>
      </xdr:nvCxnSpPr>
      <xdr:spPr>
        <a:xfrm flipV="1">
          <a:off x="4408591" y="2010910"/>
          <a:ext cx="1049499" cy="1058613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10</xdr:row>
      <xdr:rowOff>194709</xdr:rowOff>
    </xdr:from>
    <xdr:to>
      <xdr:col>5</xdr:col>
      <xdr:colOff>581290</xdr:colOff>
      <xdr:row>11</xdr:row>
      <xdr:rowOff>192973</xdr:rowOff>
    </xdr:to>
    <xdr:cxnSp macro="">
      <xdr:nvCxnSpPr>
        <xdr:cNvPr id="17" name="Elbow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stCxn id="4" idx="3"/>
          <a:endCxn id="7" idx="1"/>
        </xdr:cNvCxnSpPr>
      </xdr:nvCxnSpPr>
      <xdr:spPr>
        <a:xfrm flipV="1">
          <a:off x="4408591" y="2690259"/>
          <a:ext cx="1049499" cy="37926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13</xdr:row>
      <xdr:rowOff>247482</xdr:rowOff>
    </xdr:from>
    <xdr:to>
      <xdr:col>5</xdr:col>
      <xdr:colOff>581290</xdr:colOff>
      <xdr:row>15</xdr:row>
      <xdr:rowOff>100520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>
          <a:stCxn id="5" idx="3"/>
          <a:endCxn id="9" idx="1"/>
        </xdr:cNvCxnSpPr>
      </xdr:nvCxnSpPr>
      <xdr:spPr>
        <a:xfrm>
          <a:off x="4408591" y="3752682"/>
          <a:ext cx="1049499" cy="291188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9</xdr:row>
      <xdr:rowOff>153981</xdr:rowOff>
    </xdr:from>
    <xdr:to>
      <xdr:col>5</xdr:col>
      <xdr:colOff>581290</xdr:colOff>
      <xdr:row>12</xdr:row>
      <xdr:rowOff>237788</xdr:rowOff>
    </xdr:to>
    <xdr:cxnSp macro="">
      <xdr:nvCxnSpPr>
        <xdr:cNvPr id="19" name="Elbow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>
          <a:stCxn id="3" idx="3"/>
          <a:endCxn id="8" idx="1"/>
        </xdr:cNvCxnSpPr>
      </xdr:nvCxnSpPr>
      <xdr:spPr>
        <a:xfrm>
          <a:off x="4408591" y="2401881"/>
          <a:ext cx="1049499" cy="96010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12</xdr:row>
      <xdr:rowOff>234438</xdr:rowOff>
    </xdr:from>
    <xdr:to>
      <xdr:col>7</xdr:col>
      <xdr:colOff>579121</xdr:colOff>
      <xdr:row>19</xdr:row>
      <xdr:rowOff>34737</xdr:rowOff>
    </xdr:to>
    <xdr:cxnSp macro="">
      <xdr:nvCxnSpPr>
        <xdr:cNvPr id="20" name="Elbow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>
          <a:stCxn id="10" idx="3"/>
          <a:endCxn id="36" idx="1"/>
        </xdr:cNvCxnSpPr>
      </xdr:nvCxnSpPr>
      <xdr:spPr>
        <a:xfrm flipV="1">
          <a:off x="6719932" y="3358638"/>
          <a:ext cx="1098189" cy="1347159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8</xdr:row>
      <xdr:rowOff>142105</xdr:rowOff>
    </xdr:from>
    <xdr:to>
      <xdr:col>7</xdr:col>
      <xdr:colOff>579121</xdr:colOff>
      <xdr:row>15</xdr:row>
      <xdr:rowOff>93480</xdr:rowOff>
    </xdr:to>
    <xdr:cxnSp macro="">
      <xdr:nvCxnSpPr>
        <xdr:cNvPr id="21" name="Elbow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stCxn id="6" idx="3"/>
          <a:endCxn id="37" idx="1"/>
        </xdr:cNvCxnSpPr>
      </xdr:nvCxnSpPr>
      <xdr:spPr>
        <a:xfrm>
          <a:off x="6719932" y="2001385"/>
          <a:ext cx="1098189" cy="2031635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80743</xdr:colOff>
      <xdr:row>12</xdr:row>
      <xdr:rowOff>233546</xdr:rowOff>
    </xdr:from>
    <xdr:to>
      <xdr:col>9</xdr:col>
      <xdr:colOff>419100</xdr:colOff>
      <xdr:row>12</xdr:row>
      <xdr:rowOff>234438</xdr:rowOff>
    </xdr:to>
    <xdr:cxnSp macro="">
      <xdr:nvCxnSpPr>
        <xdr:cNvPr id="22" name="Elbow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>
          <a:stCxn id="36" idx="3"/>
          <a:endCxn id="34" idx="1"/>
        </xdr:cNvCxnSpPr>
      </xdr:nvCxnSpPr>
      <xdr:spPr>
        <a:xfrm flipV="1">
          <a:off x="8965663" y="3357746"/>
          <a:ext cx="338357" cy="892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10</xdr:row>
      <xdr:rowOff>192804</xdr:rowOff>
    </xdr:from>
    <xdr:to>
      <xdr:col>7</xdr:col>
      <xdr:colOff>579121</xdr:colOff>
      <xdr:row>12</xdr:row>
      <xdr:rowOff>234438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>
          <a:stCxn id="7" idx="3"/>
          <a:endCxn id="36" idx="1"/>
        </xdr:cNvCxnSpPr>
      </xdr:nvCxnSpPr>
      <xdr:spPr>
        <a:xfrm>
          <a:off x="6719932" y="2684544"/>
          <a:ext cx="1098189" cy="67409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3499</xdr:colOff>
      <xdr:row>14</xdr:row>
      <xdr:rowOff>21818</xdr:rowOff>
    </xdr:from>
    <xdr:to>
      <xdr:col>3</xdr:col>
      <xdr:colOff>175681</xdr:colOff>
      <xdr:row>17</xdr:row>
      <xdr:rowOff>46949</xdr:rowOff>
    </xdr:to>
    <xdr:sp macro="" textlink="">
      <xdr:nvSpPr>
        <xdr:cNvPr id="24" name="Rectangle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1199839" y="3778478"/>
          <a:ext cx="1139922" cy="573771"/>
        </a:xfrm>
        <a:prstGeom prst="rect">
          <a:avLst/>
        </a:prstGeom>
        <a:solidFill>
          <a:schemeClr val="bg1">
            <a:lumMod val="8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Usage</a:t>
          </a:r>
        </a:p>
      </xdr:txBody>
    </xdr:sp>
    <xdr:clientData/>
  </xdr:twoCellAnchor>
  <xdr:twoCellAnchor>
    <xdr:from>
      <xdr:col>3</xdr:col>
      <xdr:colOff>175681</xdr:colOff>
      <xdr:row>13</xdr:row>
      <xdr:rowOff>247482</xdr:rowOff>
    </xdr:from>
    <xdr:to>
      <xdr:col>3</xdr:col>
      <xdr:colOff>1199839</xdr:colOff>
      <xdr:row>15</xdr:row>
      <xdr:rowOff>129634</xdr:rowOff>
    </xdr:to>
    <xdr:cxnSp macro="">
      <xdr:nvCxnSpPr>
        <xdr:cNvPr id="25" name="Elbow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>
          <a:stCxn id="24" idx="3"/>
          <a:endCxn id="5" idx="1"/>
        </xdr:cNvCxnSpPr>
      </xdr:nvCxnSpPr>
      <xdr:spPr>
        <a:xfrm flipV="1">
          <a:off x="2271181" y="3752682"/>
          <a:ext cx="1024158" cy="320302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656792</xdr:colOff>
      <xdr:row>10</xdr:row>
      <xdr:rowOff>20083</xdr:rowOff>
    </xdr:from>
    <xdr:to>
      <xdr:col>3</xdr:col>
      <xdr:colOff>656792</xdr:colOff>
      <xdr:row>10</xdr:row>
      <xdr:rowOff>20083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820872" y="2511823"/>
          <a:ext cx="0" cy="0"/>
        </a:xfrm>
        <a:prstGeom prst="ellipse">
          <a:avLst/>
        </a:prstGeom>
        <a:solidFill>
          <a:schemeClr val="accent5">
            <a:lumMod val="95000"/>
            <a:lumOff val="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 sz="16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303892</xdr:colOff>
      <xdr:row>10</xdr:row>
      <xdr:rowOff>195446</xdr:rowOff>
    </xdr:from>
    <xdr:to>
      <xdr:col>7</xdr:col>
      <xdr:colOff>579121</xdr:colOff>
      <xdr:row>12</xdr:row>
      <xdr:rowOff>235883</xdr:rowOff>
    </xdr:to>
    <xdr:cxnSp macro="">
      <xdr:nvCxnSpPr>
        <xdr:cNvPr id="27" name="Elbow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>
          <a:stCxn id="8" idx="3"/>
          <a:endCxn id="35" idx="1"/>
        </xdr:cNvCxnSpPr>
      </xdr:nvCxnSpPr>
      <xdr:spPr>
        <a:xfrm flipV="1">
          <a:off x="6719932" y="2687186"/>
          <a:ext cx="1098189" cy="67289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12</xdr:row>
      <xdr:rowOff>68580</xdr:rowOff>
    </xdr:from>
    <xdr:to>
      <xdr:col>3</xdr:col>
      <xdr:colOff>731520</xdr:colOff>
      <xdr:row>13</xdr:row>
      <xdr:rowOff>22860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316480" y="3192780"/>
          <a:ext cx="579120" cy="3352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inputs</a:t>
          </a:r>
        </a:p>
      </xdr:txBody>
    </xdr:sp>
    <xdr:clientData/>
  </xdr:twoCellAnchor>
  <xdr:twoCellAnchor>
    <xdr:from>
      <xdr:col>4</xdr:col>
      <xdr:colOff>868680</xdr:colOff>
      <xdr:row>11</xdr:row>
      <xdr:rowOff>36195</xdr:rowOff>
    </xdr:from>
    <xdr:to>
      <xdr:col>5</xdr:col>
      <xdr:colOff>616781</xdr:colOff>
      <xdr:row>12</xdr:row>
      <xdr:rowOff>216783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354830" y="2912745"/>
          <a:ext cx="1138751" cy="42823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components and % change for each zone</a:t>
          </a:r>
        </a:p>
      </xdr:txBody>
    </xdr:sp>
    <xdr:clientData/>
  </xdr:twoCellAnchor>
  <xdr:twoCellAnchor>
    <xdr:from>
      <xdr:col>6</xdr:col>
      <xdr:colOff>289560</xdr:colOff>
      <xdr:row>11</xdr:row>
      <xdr:rowOff>30480</xdr:rowOff>
    </xdr:from>
    <xdr:to>
      <xdr:col>7</xdr:col>
      <xdr:colOff>529656</xdr:colOff>
      <xdr:row>12</xdr:row>
      <xdr:rowOff>211068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6705600" y="2903220"/>
          <a:ext cx="1063056" cy="43204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stacks and changes in underlying costs</a:t>
          </a:r>
        </a:p>
      </xdr:txBody>
    </xdr:sp>
    <xdr:clientData/>
  </xdr:twoCellAnchor>
  <xdr:twoCellAnchor>
    <xdr:from>
      <xdr:col>3</xdr:col>
      <xdr:colOff>150714</xdr:colOff>
      <xdr:row>14</xdr:row>
      <xdr:rowOff>76200</xdr:rowOff>
    </xdr:from>
    <xdr:to>
      <xdr:col>3</xdr:col>
      <xdr:colOff>746760</xdr:colOff>
      <xdr:row>16</xdr:row>
      <xdr:rowOff>142488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314794" y="3832860"/>
          <a:ext cx="596046" cy="43204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Usage inputs</a:t>
          </a:r>
        </a:p>
      </xdr:txBody>
    </xdr:sp>
    <xdr:clientData/>
  </xdr:twoCellAnchor>
  <xdr:twoCellAnchor>
    <xdr:from>
      <xdr:col>3</xdr:col>
      <xdr:colOff>1128502</xdr:colOff>
      <xdr:row>5</xdr:row>
      <xdr:rowOff>67560</xdr:rowOff>
    </xdr:from>
    <xdr:to>
      <xdr:col>4</xdr:col>
      <xdr:colOff>853439</xdr:colOff>
      <xdr:row>6</xdr:row>
      <xdr:rowOff>152400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3292582" y="1042920"/>
          <a:ext cx="1142257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calculations for DMO prices</a:t>
          </a:r>
        </a:p>
      </xdr:txBody>
    </xdr:sp>
    <xdr:clientData/>
  </xdr:twoCellAnchor>
  <xdr:twoCellAnchor>
    <xdr:from>
      <xdr:col>5</xdr:col>
      <xdr:colOff>350520</xdr:colOff>
      <xdr:row>5</xdr:row>
      <xdr:rowOff>44700</xdr:rowOff>
    </xdr:from>
    <xdr:to>
      <xdr:col>6</xdr:col>
      <xdr:colOff>487680</xdr:colOff>
      <xdr:row>6</xdr:row>
      <xdr:rowOff>129540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349240" y="1020060"/>
          <a:ext cx="1554480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Zonal cost assessment to determine DMO prices</a:t>
          </a:r>
        </a:p>
      </xdr:txBody>
    </xdr:sp>
    <xdr:clientData/>
  </xdr:twoCellAnchor>
  <xdr:twoCellAnchor>
    <xdr:from>
      <xdr:col>9</xdr:col>
      <xdr:colOff>419100</xdr:colOff>
      <xdr:row>11</xdr:row>
      <xdr:rowOff>198120</xdr:rowOff>
    </xdr:from>
    <xdr:to>
      <xdr:col>11</xdr:col>
      <xdr:colOff>347442</xdr:colOff>
      <xdr:row>13</xdr:row>
      <xdr:rowOff>139431</xdr:rowOff>
    </xdr:to>
    <xdr:sp macro="" textlink="">
      <xdr:nvSpPr>
        <xdr:cNvPr id="34" name="Rectangle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304020" y="3070860"/>
          <a:ext cx="1147542" cy="573771"/>
        </a:xfrm>
        <a:prstGeom prst="rect">
          <a:avLst/>
        </a:prstGeom>
        <a:solidFill>
          <a:srgbClr val="C14E00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lvl="0" algn="ctr">
            <a:defRPr/>
          </a:pPr>
          <a:r>
            <a:rPr lang="en-AU" sz="1200" b="1" kern="0">
              <a:solidFill>
                <a:sysClr val="window" lastClr="FFFFFF"/>
              </a:solidFill>
              <a:latin typeface="Calibri" panose="020F0502020204030204"/>
            </a:rPr>
            <a:t>Overall summary</a:t>
          </a:r>
        </a:p>
      </xdr:txBody>
    </xdr:sp>
    <xdr:clientData/>
  </xdr:twoCellAnchor>
  <xdr:twoCellAnchor>
    <xdr:from>
      <xdr:col>7</xdr:col>
      <xdr:colOff>579121</xdr:colOff>
      <xdr:row>9</xdr:row>
      <xdr:rowOff>160020</xdr:rowOff>
    </xdr:from>
    <xdr:to>
      <xdr:col>9</xdr:col>
      <xdr:colOff>80743</xdr:colOff>
      <xdr:row>11</xdr:row>
      <xdr:rowOff>101331</xdr:rowOff>
    </xdr:to>
    <xdr:sp macro="" textlink="">
      <xdr:nvSpPr>
        <xdr:cNvPr id="35" name="Rectangle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18121" y="2400300"/>
          <a:ext cx="1147542" cy="573771"/>
        </a:xfrm>
        <a:prstGeom prst="rect">
          <a:avLst/>
        </a:prstGeom>
        <a:solidFill>
          <a:srgbClr val="70303C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Residential </a:t>
          </a:r>
          <a:r>
            <a:rPr kumimoji="0" lang="en-AU" sz="1200" b="1" i="0" u="none" strike="noStrike" kern="0" cap="none" spc="0" normalizeH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 without CL</a:t>
          </a:r>
          <a:endParaRPr kumimoji="0" lang="en-AU" sz="1200" b="1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579121</xdr:colOff>
      <xdr:row>11</xdr:row>
      <xdr:rowOff>199012</xdr:rowOff>
    </xdr:from>
    <xdr:to>
      <xdr:col>9</xdr:col>
      <xdr:colOff>80743</xdr:colOff>
      <xdr:row>13</xdr:row>
      <xdr:rowOff>140323</xdr:rowOff>
    </xdr:to>
    <xdr:sp macro="" textlink="">
      <xdr:nvSpPr>
        <xdr:cNvPr id="36" name="Rectangle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18121" y="3071752"/>
          <a:ext cx="1147542" cy="573771"/>
        </a:xfrm>
        <a:prstGeom prst="rect">
          <a:avLst/>
        </a:prstGeom>
        <a:solidFill>
          <a:srgbClr val="70303C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lvl="0" algn="ctr">
            <a:defRPr/>
          </a:pPr>
          <a:r>
            <a:rPr lang="en-AU" sz="1200" b="1" kern="0">
              <a:solidFill>
                <a:sysClr val="window" lastClr="FFFFFF"/>
              </a:solidFill>
              <a:latin typeface="Calibri" panose="020F0502020204030204"/>
            </a:rPr>
            <a:t>Residential with CL</a:t>
          </a:r>
        </a:p>
      </xdr:txBody>
    </xdr:sp>
    <xdr:clientData/>
  </xdr:twoCellAnchor>
  <xdr:twoCellAnchor>
    <xdr:from>
      <xdr:col>7</xdr:col>
      <xdr:colOff>579121</xdr:colOff>
      <xdr:row>13</xdr:row>
      <xdr:rowOff>240934</xdr:rowOff>
    </xdr:from>
    <xdr:to>
      <xdr:col>9</xdr:col>
      <xdr:colOff>80743</xdr:colOff>
      <xdr:row>17</xdr:row>
      <xdr:rowOff>14605</xdr:rowOff>
    </xdr:to>
    <xdr:sp macro="" textlink="">
      <xdr:nvSpPr>
        <xdr:cNvPr id="37" name="Rectangle 3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818121" y="3746134"/>
          <a:ext cx="1147542" cy="573771"/>
        </a:xfrm>
        <a:prstGeom prst="rect">
          <a:avLst/>
        </a:prstGeom>
        <a:solidFill>
          <a:srgbClr val="70303C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Small business  without</a:t>
          </a:r>
          <a:r>
            <a:rPr kumimoji="0" lang="en-AU" sz="1200" b="1" i="0" u="none" strike="noStrike" kern="0" cap="none" spc="0" normalizeH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 CL</a:t>
          </a:r>
          <a:endParaRPr kumimoji="0" lang="en-AU" sz="1200" b="1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9</xdr:row>
      <xdr:rowOff>200457</xdr:rowOff>
    </xdr:from>
    <xdr:to>
      <xdr:col>3</xdr:col>
      <xdr:colOff>179802</xdr:colOff>
      <xdr:row>11</xdr:row>
      <xdr:rowOff>141768</xdr:rowOff>
    </xdr:to>
    <xdr:sp macro="" textlink="">
      <xdr:nvSpPr>
        <xdr:cNvPr id="38" name="Rectangle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1196340" y="2440737"/>
          <a:ext cx="1147542" cy="573771"/>
        </a:xfrm>
        <a:prstGeom prst="rect">
          <a:avLst/>
        </a:prstGeom>
        <a:solidFill>
          <a:schemeClr val="bg1">
            <a:lumMod val="8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Key inputs</a:t>
          </a:r>
        </a:p>
      </xdr:txBody>
    </xdr:sp>
    <xdr:clientData/>
  </xdr:twoCellAnchor>
  <xdr:twoCellAnchor>
    <xdr:from>
      <xdr:col>3</xdr:col>
      <xdr:colOff>179802</xdr:colOff>
      <xdr:row>10</xdr:row>
      <xdr:rowOff>237788</xdr:rowOff>
    </xdr:from>
    <xdr:to>
      <xdr:col>3</xdr:col>
      <xdr:colOff>1199839</xdr:colOff>
      <xdr:row>11</xdr:row>
      <xdr:rowOff>192973</xdr:rowOff>
    </xdr:to>
    <xdr:cxnSp macro="">
      <xdr:nvCxnSpPr>
        <xdr:cNvPr id="39" name="Elbow Connector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>
          <a:stCxn id="38" idx="3"/>
          <a:endCxn id="4" idx="1"/>
        </xdr:cNvCxnSpPr>
      </xdr:nvCxnSpPr>
      <xdr:spPr>
        <a:xfrm>
          <a:off x="2275302" y="2733338"/>
          <a:ext cx="1020037" cy="336185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742</xdr:colOff>
      <xdr:row>5</xdr:row>
      <xdr:rowOff>67560</xdr:rowOff>
    </xdr:from>
    <xdr:to>
      <xdr:col>3</xdr:col>
      <xdr:colOff>175259</xdr:colOff>
      <xdr:row>6</xdr:row>
      <xdr:rowOff>152400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197082" y="1042920"/>
          <a:ext cx="1142257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 and assumptions</a:t>
          </a:r>
        </a:p>
      </xdr:txBody>
    </xdr:sp>
    <xdr:clientData/>
  </xdr:twoCellAnchor>
  <xdr:twoCellAnchor>
    <xdr:from>
      <xdr:col>9</xdr:col>
      <xdr:colOff>404602</xdr:colOff>
      <xdr:row>5</xdr:row>
      <xdr:rowOff>67560</xdr:rowOff>
    </xdr:from>
    <xdr:to>
      <xdr:col>11</xdr:col>
      <xdr:colOff>327659</xdr:colOff>
      <xdr:row>6</xdr:row>
      <xdr:rowOff>152400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289522" y="1042920"/>
          <a:ext cx="1142257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Overview</a:t>
          </a:r>
        </a:p>
      </xdr:txBody>
    </xdr:sp>
    <xdr:clientData/>
  </xdr:twoCellAnchor>
  <xdr:twoCellAnchor>
    <xdr:from>
      <xdr:col>7</xdr:col>
      <xdr:colOff>335280</xdr:colOff>
      <xdr:row>5</xdr:row>
      <xdr:rowOff>67560</xdr:rowOff>
    </xdr:from>
    <xdr:to>
      <xdr:col>9</xdr:col>
      <xdr:colOff>214101</xdr:colOff>
      <xdr:row>6</xdr:row>
      <xdr:rowOff>152400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7574280" y="1042920"/>
          <a:ext cx="1524741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stacks with changes in underlying costs</a:t>
          </a:r>
        </a:p>
      </xdr:txBody>
    </xdr:sp>
    <xdr:clientData/>
  </xdr:twoCellAnchor>
  <xdr:twoCellAnchor>
    <xdr:from>
      <xdr:col>3</xdr:col>
      <xdr:colOff>480060</xdr:colOff>
      <xdr:row>5</xdr:row>
      <xdr:rowOff>99060</xdr:rowOff>
    </xdr:from>
    <xdr:to>
      <xdr:col>3</xdr:col>
      <xdr:colOff>784860</xdr:colOff>
      <xdr:row>6</xdr:row>
      <xdr:rowOff>152400</xdr:rowOff>
    </xdr:to>
    <xdr:sp macro="" textlink="">
      <xdr:nvSpPr>
        <xdr:cNvPr id="43" name="Right Arrow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64414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1242060</xdr:colOff>
      <xdr:row>5</xdr:row>
      <xdr:rowOff>99060</xdr:rowOff>
    </xdr:from>
    <xdr:to>
      <xdr:col>5</xdr:col>
      <xdr:colOff>129540</xdr:colOff>
      <xdr:row>6</xdr:row>
      <xdr:rowOff>152400</xdr:rowOff>
    </xdr:to>
    <xdr:sp macro="" textlink="">
      <xdr:nvSpPr>
        <xdr:cNvPr id="44" name="Right Arrow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482346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701040</xdr:colOff>
      <xdr:row>5</xdr:row>
      <xdr:rowOff>99060</xdr:rowOff>
    </xdr:from>
    <xdr:to>
      <xdr:col>7</xdr:col>
      <xdr:colOff>182880</xdr:colOff>
      <xdr:row>6</xdr:row>
      <xdr:rowOff>152400</xdr:rowOff>
    </xdr:to>
    <xdr:sp macro="" textlink="">
      <xdr:nvSpPr>
        <xdr:cNvPr id="45" name="Right Arrow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711708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289560</xdr:colOff>
      <xdr:row>5</xdr:row>
      <xdr:rowOff>99060</xdr:rowOff>
    </xdr:from>
    <xdr:to>
      <xdr:col>9</xdr:col>
      <xdr:colOff>594360</xdr:colOff>
      <xdr:row>6</xdr:row>
      <xdr:rowOff>152400</xdr:rowOff>
    </xdr:to>
    <xdr:sp macro="" textlink="">
      <xdr:nvSpPr>
        <xdr:cNvPr id="46" name="Right Arrow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917448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303892</xdr:colOff>
      <xdr:row>12</xdr:row>
      <xdr:rowOff>234438</xdr:rowOff>
    </xdr:from>
    <xdr:to>
      <xdr:col>7</xdr:col>
      <xdr:colOff>579121</xdr:colOff>
      <xdr:row>15</xdr:row>
      <xdr:rowOff>94805</xdr:rowOff>
    </xdr:to>
    <xdr:cxnSp macro="">
      <xdr:nvCxnSpPr>
        <xdr:cNvPr id="47" name="Elbow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>
          <a:stCxn id="9" idx="3"/>
          <a:endCxn id="36" idx="1"/>
        </xdr:cNvCxnSpPr>
      </xdr:nvCxnSpPr>
      <xdr:spPr>
        <a:xfrm flipV="1">
          <a:off x="6719932" y="3358638"/>
          <a:ext cx="1098189" cy="67570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10</xdr:row>
      <xdr:rowOff>68580</xdr:rowOff>
    </xdr:from>
    <xdr:to>
      <xdr:col>3</xdr:col>
      <xdr:colOff>731520</xdr:colOff>
      <xdr:row>11</xdr:row>
      <xdr:rowOff>22860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257425" y="2564130"/>
          <a:ext cx="579120" cy="3352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inputs</a:t>
          </a:r>
        </a:p>
      </xdr:txBody>
    </xdr:sp>
    <xdr:clientData/>
  </xdr:twoCellAnchor>
  <xdr:twoCellAnchor>
    <xdr:from>
      <xdr:col>3</xdr:col>
      <xdr:colOff>1199839</xdr:colOff>
      <xdr:row>16</xdr:row>
      <xdr:rowOff>17746</xdr:rowOff>
    </xdr:from>
    <xdr:to>
      <xdr:col>4</xdr:col>
      <xdr:colOff>922441</xdr:colOff>
      <xdr:row>19</xdr:row>
      <xdr:rowOff>39067</xdr:rowOff>
    </xdr:to>
    <xdr:sp macro="" textlink="">
      <xdr:nvSpPr>
        <xdr:cNvPr id="56" name="Rectangle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0CA0613-344D-4691-BCB1-9A13F9F1E0E8}"/>
            </a:ext>
          </a:extLst>
        </xdr:cNvPr>
        <xdr:cNvSpPr/>
      </xdr:nvSpPr>
      <xdr:spPr>
        <a:xfrm>
          <a:off x="3295339" y="4151596"/>
          <a:ext cx="1113252" cy="59282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Retail cost</a:t>
          </a:r>
        </a:p>
      </xdr:txBody>
    </xdr:sp>
    <xdr:clientData/>
  </xdr:twoCellAnchor>
  <xdr:twoCellAnchor>
    <xdr:from>
      <xdr:col>3</xdr:col>
      <xdr:colOff>175681</xdr:colOff>
      <xdr:row>15</xdr:row>
      <xdr:rowOff>129634</xdr:rowOff>
    </xdr:from>
    <xdr:to>
      <xdr:col>3</xdr:col>
      <xdr:colOff>1199839</xdr:colOff>
      <xdr:row>17</xdr:row>
      <xdr:rowOff>123657</xdr:rowOff>
    </xdr:to>
    <xdr:cxnSp macro="">
      <xdr:nvCxnSpPr>
        <xdr:cNvPr id="57" name="Elbow Connector 24">
          <a:extLst>
            <a:ext uri="{FF2B5EF4-FFF2-40B4-BE49-F238E27FC236}">
              <a16:creationId xmlns:a16="http://schemas.microsoft.com/office/drawing/2014/main" id="{34E6DAB8-B274-4870-A87F-4D1EFB4A5AA7}"/>
            </a:ext>
          </a:extLst>
        </xdr:cNvPr>
        <xdr:cNvCxnSpPr>
          <a:endCxn id="56" idx="1"/>
        </xdr:cNvCxnSpPr>
      </xdr:nvCxnSpPr>
      <xdr:spPr>
        <a:xfrm>
          <a:off x="2271181" y="4072984"/>
          <a:ext cx="1024158" cy="375023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15</xdr:row>
      <xdr:rowOff>100520</xdr:rowOff>
    </xdr:from>
    <xdr:to>
      <xdr:col>5</xdr:col>
      <xdr:colOff>581290</xdr:colOff>
      <xdr:row>17</xdr:row>
      <xdr:rowOff>123657</xdr:rowOff>
    </xdr:to>
    <xdr:cxnSp macro="">
      <xdr:nvCxnSpPr>
        <xdr:cNvPr id="64" name="Elbow Connector 17">
          <a:extLst>
            <a:ext uri="{FF2B5EF4-FFF2-40B4-BE49-F238E27FC236}">
              <a16:creationId xmlns:a16="http://schemas.microsoft.com/office/drawing/2014/main" id="{42C667C7-39FF-4583-896B-34226BCBEEEB}"/>
            </a:ext>
          </a:extLst>
        </xdr:cNvPr>
        <xdr:cNvCxnSpPr>
          <a:stCxn id="56" idx="3"/>
          <a:endCxn id="9" idx="1"/>
        </xdr:cNvCxnSpPr>
      </xdr:nvCxnSpPr>
      <xdr:spPr>
        <a:xfrm flipV="1">
          <a:off x="4408591" y="4043870"/>
          <a:ext cx="1049499" cy="40413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3</xdr:row>
      <xdr:rowOff>76200</xdr:rowOff>
    </xdr:from>
    <xdr:to>
      <xdr:col>17</xdr:col>
      <xdr:colOff>487680</xdr:colOff>
      <xdr:row>20</xdr:row>
      <xdr:rowOff>117240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</xdr:colOff>
      <xdr:row>3</xdr:row>
      <xdr:rowOff>76200</xdr:rowOff>
    </xdr:from>
    <xdr:to>
      <xdr:col>25</xdr:col>
      <xdr:colOff>464820</xdr:colOff>
      <xdr:row>20</xdr:row>
      <xdr:rowOff>117240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472440</xdr:colOff>
      <xdr:row>21</xdr:row>
      <xdr:rowOff>38100</xdr:rowOff>
    </xdr:from>
    <xdr:to>
      <xdr:col>13</xdr:col>
      <xdr:colOff>533400</xdr:colOff>
      <xdr:row>38</xdr:row>
      <xdr:rowOff>79140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45720</xdr:colOff>
      <xdr:row>21</xdr:row>
      <xdr:rowOff>38100</xdr:rowOff>
    </xdr:from>
    <xdr:to>
      <xdr:col>21</xdr:col>
      <xdr:colOff>480060</xdr:colOff>
      <xdr:row>38</xdr:row>
      <xdr:rowOff>79140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3</xdr:row>
      <xdr:rowOff>76200</xdr:rowOff>
    </xdr:from>
    <xdr:to>
      <xdr:col>8</xdr:col>
      <xdr:colOff>230505</xdr:colOff>
      <xdr:row>20</xdr:row>
      <xdr:rowOff>117240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3</xdr:row>
      <xdr:rowOff>76200</xdr:rowOff>
    </xdr:from>
    <xdr:to>
      <xdr:col>17</xdr:col>
      <xdr:colOff>487680</xdr:colOff>
      <xdr:row>20</xdr:row>
      <xdr:rowOff>117240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6E39B5-00A6-41F1-9A3E-260A84985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</xdr:colOff>
      <xdr:row>3</xdr:row>
      <xdr:rowOff>76200</xdr:rowOff>
    </xdr:from>
    <xdr:to>
      <xdr:col>25</xdr:col>
      <xdr:colOff>464820</xdr:colOff>
      <xdr:row>20</xdr:row>
      <xdr:rowOff>117240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98C273-017E-4A2B-BF64-083AACD36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472440</xdr:colOff>
      <xdr:row>21</xdr:row>
      <xdr:rowOff>38100</xdr:rowOff>
    </xdr:from>
    <xdr:to>
      <xdr:col>13</xdr:col>
      <xdr:colOff>533400</xdr:colOff>
      <xdr:row>38</xdr:row>
      <xdr:rowOff>79140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FEDCA-1D80-4E3C-8F08-543FBE469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45720</xdr:colOff>
      <xdr:row>21</xdr:row>
      <xdr:rowOff>38100</xdr:rowOff>
    </xdr:from>
    <xdr:to>
      <xdr:col>21</xdr:col>
      <xdr:colOff>480060</xdr:colOff>
      <xdr:row>38</xdr:row>
      <xdr:rowOff>79140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6E5E64-8B8C-4234-A193-DE120ECCA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3</xdr:row>
      <xdr:rowOff>76200</xdr:rowOff>
    </xdr:from>
    <xdr:to>
      <xdr:col>8</xdr:col>
      <xdr:colOff>230505</xdr:colOff>
      <xdr:row>20</xdr:row>
      <xdr:rowOff>117240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E9CD4E-B44E-4532-84C0-1B93C6F2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BE0B83-CDDB-42D0-A801-D39BEFB9A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C0305-402B-4564-BC80-31FDC6BB2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D66B7B-593A-432E-A9FC-954A9C533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E2483E-5BFE-4B02-AE67-1425F7ADB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E67681-678B-426E-B94F-9A7AD9474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353D8E-7F63-41B8-9319-FFFC40B73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6E391-2B4E-4E91-8AB3-B430545BD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B7C1F-3E0E-4903-8640-9F0870FFF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B7E530-232B-4751-8453-4A83C9F56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C932B9-1E25-4E49-ADB9-6517AB95B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BA53C2-365E-466D-8698-6272A6AB6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05132B-7653-4469-8685-D3EBED4D7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5A9F09-5D4A-419F-A9C8-2B4655816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9E3025-F5F6-4EA5-84FC-58F6FD005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473C24-F452-46AB-A741-7449417FC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er.gov.au/networks-pipelines/determinations-access-arrangements/pricing-proposals-tariffs/endeavour-energy-annual-pricing-2022%E2%80%9323" TargetMode="External"/><Relationship Id="rId13" Type="http://schemas.openxmlformats.org/officeDocument/2006/relationships/hyperlink" Target="https://www.aer.gov.au/networks-pipelines/determinations-access-arrangements/pricing-proposals-tariffs/essential-energy-annual-pricing-2022%E2%80%9323" TargetMode="External"/><Relationship Id="rId18" Type="http://schemas.openxmlformats.org/officeDocument/2006/relationships/hyperlink" Target="https://www.aer.gov.au/networks-pipelines/determinations-access-arrangements/pricing-proposals-tariffs/energex-annual-pricing-2022%E2%80%9323" TargetMode="External"/><Relationship Id="rId3" Type="http://schemas.openxmlformats.org/officeDocument/2006/relationships/hyperlink" Target="https://www.aer.gov.au/networks-pipelines/determinations-access-arrangements/pricing-proposals-tariffs/ausgrid-annual-pricing-2022%E2%80%9323" TargetMode="External"/><Relationship Id="rId21" Type="http://schemas.openxmlformats.org/officeDocument/2006/relationships/hyperlink" Target="https://www.aer.gov.au/networks-pipelines/determinations-access-arrangements/pricing-proposals-tariffs/sa-power-networks-annual-pricing-2022%E2%80%9323" TargetMode="External"/><Relationship Id="rId7" Type="http://schemas.openxmlformats.org/officeDocument/2006/relationships/hyperlink" Target="https://www.aer.gov.au/networks-pipelines/determinations-access-arrangements/pricing-proposals-tariffs/endeavour-energy-annual-pricing-2022%E2%80%9323" TargetMode="External"/><Relationship Id="rId12" Type="http://schemas.openxmlformats.org/officeDocument/2006/relationships/hyperlink" Target="https://www.aer.gov.au/networks-pipelines/determinations-access-arrangements/pricing-proposals-tariffs/essential-energy-annual-pricing-2022%E2%80%9323" TargetMode="External"/><Relationship Id="rId17" Type="http://schemas.openxmlformats.org/officeDocument/2006/relationships/hyperlink" Target="https://www.aer.gov.au/networks-pipelines/determinations-access-arrangements/pricing-proposals-tariffs/energex-annual-pricing-2022%E2%80%9323" TargetMode="External"/><Relationship Id="rId25" Type="http://schemas.openxmlformats.org/officeDocument/2006/relationships/comments" Target="../comments2.xml"/><Relationship Id="rId2" Type="http://schemas.openxmlformats.org/officeDocument/2006/relationships/hyperlink" Target="https://www.rba.gov.au/publications/smp/2022/may/economic-outlook.html" TargetMode="External"/><Relationship Id="rId16" Type="http://schemas.openxmlformats.org/officeDocument/2006/relationships/hyperlink" Target="https://www.aer.gov.au/networks-pipelines/determinations-access-arrangements/pricing-proposals-tariffs/energex-annual-pricing-2022%E2%80%9323" TargetMode="External"/><Relationship Id="rId20" Type="http://schemas.openxmlformats.org/officeDocument/2006/relationships/hyperlink" Target="https://www.aer.gov.au/networks-pipelines/determinations-access-arrangements/pricing-proposals-tariffs/sa-power-networks-annual-pricing-2022%E2%80%9323" TargetMode="External"/><Relationship Id="rId1" Type="http://schemas.openxmlformats.org/officeDocument/2006/relationships/hyperlink" Target="https://www.aer.gov.au/system/files/Attachment%20F%20-%20ANS%20Price%20Cap%20Compliance%20Model%20%26%20IPS_4.xlsx" TargetMode="External"/><Relationship Id="rId6" Type="http://schemas.openxmlformats.org/officeDocument/2006/relationships/hyperlink" Target="https://www.aer.gov.au/networks-pipelines/determinations-access-arrangements/pricing-proposals-tariffs/ausgrid-annual-pricing-2022%E2%80%9323" TargetMode="External"/><Relationship Id="rId11" Type="http://schemas.openxmlformats.org/officeDocument/2006/relationships/hyperlink" Target="https://www.aer.gov.au/networks-pipelines/determinations-access-arrangements/pricing-proposals-tariffs/essential-energy-annual-pricing-2022%E2%80%9323" TargetMode="External"/><Relationship Id="rId24" Type="http://schemas.openxmlformats.org/officeDocument/2006/relationships/vmlDrawing" Target="../drawings/vmlDrawing2.vml"/><Relationship Id="rId5" Type="http://schemas.openxmlformats.org/officeDocument/2006/relationships/hyperlink" Target="https://www.aer.gov.au/networks-pipelines/determinations-access-arrangements/pricing-proposals-tariffs/ausgrid-annual-pricing-2022%E2%80%9323" TargetMode="External"/><Relationship Id="rId15" Type="http://schemas.openxmlformats.org/officeDocument/2006/relationships/hyperlink" Target="https://www.aer.gov.au/networks-pipelines/determinations-access-arrangements/pricing-proposals-tariffs/energex-annual-pricing-2022%E2%80%9323" TargetMode="External"/><Relationship Id="rId23" Type="http://schemas.openxmlformats.org/officeDocument/2006/relationships/printerSettings" Target="../printerSettings/printerSettings15.bin"/><Relationship Id="rId10" Type="http://schemas.openxmlformats.org/officeDocument/2006/relationships/hyperlink" Target="https://www.aer.gov.au/networks-pipelines/determinations-access-arrangements/pricing-proposals-tariffs/endeavour-energy-annual-pricing-2022%E2%80%9323" TargetMode="External"/><Relationship Id="rId19" Type="http://schemas.openxmlformats.org/officeDocument/2006/relationships/hyperlink" Target="https://www.aer.gov.au/networks-pipelines/determinations-access-arrangements/pricing-proposals-tariffs/sa-power-networks-annual-pricing-2022%E2%80%9323" TargetMode="External"/><Relationship Id="rId4" Type="http://schemas.openxmlformats.org/officeDocument/2006/relationships/hyperlink" Target="https://www.aer.gov.au/networks-pipelines/determinations-access-arrangements/pricing-proposals-tariffs/ausgrid-annual-pricing-2022%E2%80%9323" TargetMode="External"/><Relationship Id="rId9" Type="http://schemas.openxmlformats.org/officeDocument/2006/relationships/hyperlink" Target="https://www.aer.gov.au/networks-pipelines/determinations-access-arrangements/pricing-proposals-tariffs/endeavour-energy-annual-pricing-2022%E2%80%9323" TargetMode="External"/><Relationship Id="rId14" Type="http://schemas.openxmlformats.org/officeDocument/2006/relationships/hyperlink" Target="https://www.aer.gov.au/networks-pipelines/determinations-access-arrangements/pricing-proposals-tariffs/essential-energy-annual-pricing-2022%E2%80%9323" TargetMode="External"/><Relationship Id="rId22" Type="http://schemas.openxmlformats.org/officeDocument/2006/relationships/hyperlink" Target="https://www.aer.gov.au/networks-pipelines/determinations-access-arrangements/pricing-proposals-tariffs/sa-power-networks-annual-pricing-2022%E2%80%9323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F9:F14"/>
  <sheetViews>
    <sheetView tabSelected="1" workbookViewId="0">
      <selection activeCell="P14" sqref="P14"/>
    </sheetView>
  </sheetViews>
  <sheetFormatPr defaultColWidth="8.81640625" defaultRowHeight="14.5" x14ac:dyDescent="0.35"/>
  <cols>
    <col min="1" max="16384" width="8.81640625" style="3"/>
  </cols>
  <sheetData>
    <row r="9" spans="6:6" ht="36" x14ac:dyDescent="0.35">
      <c r="F9" s="2" t="s">
        <v>184</v>
      </c>
    </row>
    <row r="10" spans="6:6" ht="36" x14ac:dyDescent="0.35">
      <c r="F10" s="2" t="str">
        <f>FY</f>
        <v>2022-23</v>
      </c>
    </row>
    <row r="11" spans="6:6" ht="23.5" x14ac:dyDescent="0.35">
      <c r="F11" s="4" t="str">
        <f>'Key inputs'!C8&amp;" Determination"</f>
        <v>Final Determination</v>
      </c>
    </row>
    <row r="12" spans="6:6" ht="23.5" x14ac:dyDescent="0.35">
      <c r="F12" s="4"/>
    </row>
    <row r="13" spans="6:6" x14ac:dyDescent="0.35">
      <c r="F13" s="5"/>
    </row>
    <row r="14" spans="6:6" x14ac:dyDescent="0.35">
      <c r="F14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5"/>
  <sheetViews>
    <sheetView workbookViewId="0">
      <pane ySplit="3" topLeftCell="A4" activePane="bottomLeft" state="frozen"/>
      <selection pane="bottomLeft" activeCell="C25" sqref="C25"/>
    </sheetView>
  </sheetViews>
  <sheetFormatPr defaultColWidth="8.81640625" defaultRowHeight="20.149999999999999" customHeight="1" x14ac:dyDescent="0.35"/>
  <cols>
    <col min="1" max="1" width="1.81640625" style="1" customWidth="1"/>
    <col min="2" max="2" width="11" style="1" bestFit="1" customWidth="1"/>
    <col min="3" max="3" width="21.1796875" style="6" customWidth="1"/>
    <col min="4" max="16384" width="8.81640625" style="1"/>
  </cols>
  <sheetData>
    <row r="1" spans="1:3" s="9" customFormat="1" ht="22.5" customHeight="1" x14ac:dyDescent="0.35">
      <c r="A1" s="18" t="s">
        <v>10</v>
      </c>
      <c r="C1" s="10"/>
    </row>
    <row r="2" spans="1:3" ht="5.15" customHeight="1" x14ac:dyDescent="0.35">
      <c r="B2" s="8"/>
      <c r="C2" s="1"/>
    </row>
    <row r="3" spans="1:3" ht="20.149999999999999" customHeight="1" x14ac:dyDescent="0.35">
      <c r="B3" s="15" t="s">
        <v>11</v>
      </c>
      <c r="C3" s="11" t="s">
        <v>7</v>
      </c>
    </row>
    <row r="4" spans="1:3" ht="20.149999999999999" customHeight="1" x14ac:dyDescent="0.35">
      <c r="B4" s="17">
        <v>1</v>
      </c>
      <c r="C4" s="8" t="s">
        <v>159</v>
      </c>
    </row>
    <row r="5" spans="1:3" ht="20.149999999999999" customHeight="1" x14ac:dyDescent="0.35">
      <c r="B5" s="16">
        <f>B4+0.1</f>
        <v>1.1000000000000001</v>
      </c>
      <c r="C5" s="76" t="s">
        <v>92</v>
      </c>
    </row>
    <row r="6" spans="1:3" ht="20.149999999999999" customHeight="1" x14ac:dyDescent="0.35">
      <c r="B6" s="16">
        <f>B5+0.1</f>
        <v>1.2000000000000002</v>
      </c>
      <c r="C6" s="76" t="s">
        <v>19</v>
      </c>
    </row>
    <row r="7" spans="1:3" ht="20.149999999999999" customHeight="1" x14ac:dyDescent="0.35">
      <c r="B7" s="176">
        <v>2</v>
      </c>
      <c r="C7" s="8" t="s">
        <v>182</v>
      </c>
    </row>
    <row r="8" spans="1:3" ht="20.149999999999999" customHeight="1" x14ac:dyDescent="0.35">
      <c r="B8" s="16">
        <f>B7+0.1</f>
        <v>2.1</v>
      </c>
      <c r="C8" s="76" t="s">
        <v>150</v>
      </c>
    </row>
    <row r="9" spans="1:3" ht="20.149999999999999" customHeight="1" x14ac:dyDescent="0.35">
      <c r="B9" s="16">
        <f>B8+0.1</f>
        <v>2.2000000000000002</v>
      </c>
      <c r="C9" s="76" t="s">
        <v>151</v>
      </c>
    </row>
    <row r="10" spans="1:3" ht="20.149999999999999" customHeight="1" x14ac:dyDescent="0.35">
      <c r="B10" s="16">
        <f>B9+0.1</f>
        <v>2.3000000000000003</v>
      </c>
      <c r="C10" s="76" t="s">
        <v>152</v>
      </c>
    </row>
    <row r="11" spans="1:3" ht="20.149999999999999" customHeight="1" x14ac:dyDescent="0.35">
      <c r="B11" s="7">
        <v>3</v>
      </c>
      <c r="C11" s="8" t="s">
        <v>160</v>
      </c>
    </row>
    <row r="12" spans="1:3" ht="20.149999999999999" customHeight="1" x14ac:dyDescent="0.35">
      <c r="B12" s="16">
        <f t="shared" ref="B12:B20" si="0">B11+0.1</f>
        <v>3.1</v>
      </c>
      <c r="C12" s="76" t="s">
        <v>2</v>
      </c>
    </row>
    <row r="13" spans="1:3" ht="20.149999999999999" customHeight="1" x14ac:dyDescent="0.35">
      <c r="B13" s="16">
        <f t="shared" si="0"/>
        <v>3.2</v>
      </c>
      <c r="C13" s="76" t="s">
        <v>4</v>
      </c>
    </row>
    <row r="14" spans="1:3" ht="20.149999999999999" customHeight="1" x14ac:dyDescent="0.35">
      <c r="B14" s="16">
        <f t="shared" si="0"/>
        <v>3.3000000000000003</v>
      </c>
      <c r="C14" s="76" t="s">
        <v>0</v>
      </c>
    </row>
    <row r="15" spans="1:3" ht="20.149999999999999" customHeight="1" x14ac:dyDescent="0.35">
      <c r="B15" s="16">
        <f t="shared" si="0"/>
        <v>3.4000000000000004</v>
      </c>
      <c r="C15" s="76" t="s">
        <v>3</v>
      </c>
    </row>
    <row r="16" spans="1:3" ht="20.149999999999999" customHeight="1" x14ac:dyDescent="0.35">
      <c r="B16" s="16">
        <f t="shared" si="0"/>
        <v>3.5000000000000004</v>
      </c>
      <c r="C16" s="76" t="s">
        <v>5</v>
      </c>
    </row>
    <row r="17" spans="2:3" ht="20.149999999999999" customHeight="1" x14ac:dyDescent="0.35">
      <c r="B17" s="7">
        <v>4</v>
      </c>
      <c r="C17" s="8" t="s">
        <v>161</v>
      </c>
    </row>
    <row r="18" spans="2:3" ht="20.149999999999999" customHeight="1" x14ac:dyDescent="0.35">
      <c r="B18" s="16">
        <f>B17+0.1</f>
        <v>4.0999999999999996</v>
      </c>
      <c r="C18" s="76" t="s">
        <v>8</v>
      </c>
    </row>
    <row r="19" spans="2:3" ht="20.149999999999999" customHeight="1" x14ac:dyDescent="0.35">
      <c r="B19" s="16">
        <f t="shared" si="0"/>
        <v>4.1999999999999993</v>
      </c>
      <c r="C19" s="76" t="s">
        <v>9</v>
      </c>
    </row>
    <row r="20" spans="2:3" ht="20.149999999999999" customHeight="1" x14ac:dyDescent="0.35">
      <c r="B20" s="16">
        <f t="shared" si="0"/>
        <v>4.2999999999999989</v>
      </c>
      <c r="C20" s="76" t="s">
        <v>18</v>
      </c>
    </row>
    <row r="21" spans="2:3" ht="20.149999999999999" customHeight="1" x14ac:dyDescent="0.35">
      <c r="B21" s="16">
        <f>B20+0.1</f>
        <v>4.3999999999999986</v>
      </c>
      <c r="C21" s="200" t="s">
        <v>198</v>
      </c>
    </row>
    <row r="22" spans="2:3" ht="20.149999999999999" customHeight="1" x14ac:dyDescent="0.35">
      <c r="B22" s="7">
        <v>5</v>
      </c>
      <c r="C22" s="8" t="s">
        <v>162</v>
      </c>
    </row>
    <row r="23" spans="2:3" ht="20.149999999999999" customHeight="1" x14ac:dyDescent="0.35">
      <c r="B23" s="16">
        <f>B22+0.1</f>
        <v>5.0999999999999996</v>
      </c>
      <c r="C23" s="76" t="s">
        <v>90</v>
      </c>
    </row>
    <row r="24" spans="2:3" ht="20.149999999999999" customHeight="1" x14ac:dyDescent="0.35">
      <c r="B24" s="16">
        <f>B23+0.1</f>
        <v>5.1999999999999993</v>
      </c>
      <c r="C24" s="76" t="s">
        <v>89</v>
      </c>
    </row>
    <row r="25" spans="2:3" ht="20.149999999999999" customHeight="1" x14ac:dyDescent="0.35">
      <c r="B25" s="16">
        <f>B24+0.1</f>
        <v>5.2999999999999989</v>
      </c>
      <c r="C25" s="76" t="s">
        <v>26</v>
      </c>
    </row>
  </sheetData>
  <hyperlinks>
    <hyperlink ref="C23" location="'Key inputs'!A1" display="Key inputs" xr:uid="{00000000-0004-0000-0200-000000000000}"/>
    <hyperlink ref="C10" location="'SB wo CL'!A1" display="Small business without CL" xr:uid="{00000000-0004-0000-0200-000003000000}"/>
    <hyperlink ref="C9" location="'Res w CL'!A1" display="Residential with CL" xr:uid="{00000000-0004-0000-0200-000004000000}"/>
    <hyperlink ref="C8" location="'Res wo CL'!A1" display="Residential without CL" xr:uid="{00000000-0004-0000-0200-000005000000}"/>
    <hyperlink ref="C5" location="Structure!A1" display="Model Structure" xr:uid="{00000000-0004-0000-0200-000006000000}"/>
    <hyperlink ref="C6" location="Summary!A1" display="Summary!A1" xr:uid="{00000000-0004-0000-0200-000007000000}"/>
    <hyperlink ref="C12" location="Ausgrid!A1" display="Ausgrid" xr:uid="{00000000-0004-0000-0200-000008000000}"/>
    <hyperlink ref="C13" location="Endeavour!A1" display="Endeavour" xr:uid="{00000000-0004-0000-0200-000009000000}"/>
    <hyperlink ref="C14" location="Energex!A1" display="Energex" xr:uid="{00000000-0004-0000-0200-00000A000000}"/>
    <hyperlink ref="C15" location="Essential!A1" display="Essential" xr:uid="{00000000-0004-0000-0200-00000B000000}"/>
    <hyperlink ref="C16" location="SAPN!A1" display="SAPN" xr:uid="{00000000-0004-0000-0200-00000C000000}"/>
    <hyperlink ref="C18" location="'Network cost'!A1" display="Network costs" xr:uid="{00000000-0004-0000-0200-00000D000000}"/>
    <hyperlink ref="C19" location="'Wholesale cost'!A1" display="Wholesale costs" xr:uid="{00000000-0004-0000-0200-00000E000000}"/>
    <hyperlink ref="C20" location="'Environmental cost'!A1" display="Environmental costs" xr:uid="{00000000-0004-0000-0200-00000F000000}"/>
    <hyperlink ref="C25" location="Usage!A1" display="Usage" xr:uid="{00000000-0004-0000-0200-000010000000}"/>
    <hyperlink ref="C24" location="'Detail inputs'!A1" display="Detail inputs" xr:uid="{00000000-0004-0000-0200-000011000000}"/>
    <hyperlink ref="C21" location="'Retail cost'!A1" display="Retail costs" xr:uid="{CC70AA6C-BE30-4413-B46E-0D72E2B3415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F9:F14"/>
  <sheetViews>
    <sheetView workbookViewId="0">
      <selection activeCell="B9" sqref="B9"/>
    </sheetView>
  </sheetViews>
  <sheetFormatPr defaultColWidth="8.81640625" defaultRowHeight="14.5" x14ac:dyDescent="0.35"/>
  <cols>
    <col min="1" max="16384" width="8.81640625" style="3"/>
  </cols>
  <sheetData>
    <row r="9" spans="6:6" ht="36" x14ac:dyDescent="0.35">
      <c r="F9" s="2" t="s">
        <v>163</v>
      </c>
    </row>
    <row r="10" spans="6:6" ht="36" x14ac:dyDescent="0.35">
      <c r="F10" s="2" t="str">
        <f>"DMO "&amp;FY</f>
        <v>DMO 2022-23</v>
      </c>
    </row>
    <row r="11" spans="6:6" ht="23.5" x14ac:dyDescent="0.35">
      <c r="F11" s="4"/>
    </row>
    <row r="12" spans="6:6" ht="23.5" x14ac:dyDescent="0.35">
      <c r="F12" s="4"/>
    </row>
    <row r="13" spans="6:6" x14ac:dyDescent="0.35">
      <c r="F13" s="5"/>
    </row>
    <row r="14" spans="6:6" x14ac:dyDescent="0.35">
      <c r="F14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I59"/>
  <sheetViews>
    <sheetView workbookViewId="0">
      <selection sqref="A1:B1"/>
    </sheetView>
  </sheetViews>
  <sheetFormatPr defaultColWidth="8.81640625" defaultRowHeight="14.5" x14ac:dyDescent="0.35"/>
  <cols>
    <col min="1" max="1" width="3.1796875" style="3" customWidth="1"/>
    <col min="2" max="3" width="14.1796875" style="3" customWidth="1"/>
    <col min="4" max="6" width="20.81640625" style="3" customWidth="1"/>
    <col min="7" max="9" width="12" style="3" customWidth="1"/>
    <col min="10" max="16384" width="8.81640625" style="3"/>
  </cols>
  <sheetData>
    <row r="1" spans="1:9" ht="10.4" customHeight="1" x14ac:dyDescent="0.35">
      <c r="A1" s="302" t="s">
        <v>20</v>
      </c>
      <c r="B1" s="302"/>
    </row>
    <row r="2" spans="1:9" s="13" customFormat="1" ht="22.5" customHeight="1" x14ac:dyDescent="0.35">
      <c r="A2" s="14" t="s">
        <v>92</v>
      </c>
    </row>
    <row r="4" spans="1:9" x14ac:dyDescent="0.35">
      <c r="G4" s="69"/>
      <c r="H4" s="69"/>
      <c r="I4" s="69"/>
    </row>
    <row r="5" spans="1:9" ht="15.5" x14ac:dyDescent="0.35">
      <c r="B5" s="34" t="s">
        <v>91</v>
      </c>
      <c r="G5" s="69"/>
      <c r="H5" s="69"/>
      <c r="I5" s="69"/>
    </row>
    <row r="6" spans="1:9" ht="20.149999999999999" customHeight="1" x14ac:dyDescent="0.35">
      <c r="G6" s="69"/>
      <c r="H6" s="69"/>
      <c r="I6" s="69"/>
    </row>
    <row r="7" spans="1:9" s="44" customFormat="1" ht="30" customHeight="1" x14ac:dyDescent="0.35">
      <c r="B7" s="3"/>
      <c r="C7" s="3"/>
      <c r="D7" s="3"/>
      <c r="E7" s="3"/>
      <c r="F7" s="3"/>
      <c r="G7" s="72"/>
      <c r="H7" s="72"/>
      <c r="I7" s="72"/>
    </row>
    <row r="8" spans="1:9" ht="20.149999999999999" customHeight="1" x14ac:dyDescent="0.35">
      <c r="G8" s="69"/>
      <c r="H8" s="69"/>
      <c r="I8" s="69"/>
    </row>
    <row r="9" spans="1:9" s="44" customFormat="1" ht="30" customHeight="1" x14ac:dyDescent="0.35">
      <c r="B9" s="3"/>
      <c r="C9" s="3"/>
      <c r="D9" s="3"/>
      <c r="E9" s="3"/>
      <c r="F9" s="3"/>
      <c r="G9" s="72"/>
      <c r="H9" s="72"/>
      <c r="I9" s="72"/>
    </row>
    <row r="10" spans="1:9" ht="20.149999999999999" customHeight="1" x14ac:dyDescent="0.35">
      <c r="G10" s="69"/>
      <c r="H10" s="69"/>
      <c r="I10" s="69"/>
    </row>
    <row r="11" spans="1:9" s="44" customFormat="1" ht="30" customHeight="1" x14ac:dyDescent="0.35">
      <c r="B11" s="3"/>
      <c r="C11" s="3"/>
      <c r="D11" s="3"/>
      <c r="E11" s="3"/>
      <c r="F11" s="3"/>
      <c r="G11" s="72"/>
      <c r="H11" s="72"/>
      <c r="I11" s="72"/>
    </row>
    <row r="12" spans="1:9" ht="20.149999999999999" customHeight="1" x14ac:dyDescent="0.35"/>
    <row r="13" spans="1:9" s="44" customFormat="1" ht="30" customHeight="1" x14ac:dyDescent="0.35">
      <c r="B13" s="3"/>
      <c r="C13" s="3"/>
      <c r="D13" s="3"/>
      <c r="E13" s="3"/>
      <c r="F13" s="3"/>
    </row>
    <row r="14" spans="1:9" ht="20.149999999999999" customHeight="1" x14ac:dyDescent="0.35"/>
    <row r="23" spans="1:3" x14ac:dyDescent="0.35">
      <c r="B23" s="126" t="s">
        <v>81</v>
      </c>
    </row>
    <row r="25" spans="1:3" ht="15.5" x14ac:dyDescent="0.35">
      <c r="A25" s="5"/>
      <c r="B25" s="34" t="s">
        <v>140</v>
      </c>
    </row>
    <row r="26" spans="1:3" x14ac:dyDescent="0.35">
      <c r="B26" s="3" t="s">
        <v>124</v>
      </c>
      <c r="C26" s="3" t="s">
        <v>125</v>
      </c>
    </row>
    <row r="27" spans="1:3" x14ac:dyDescent="0.35">
      <c r="B27" s="3" t="s">
        <v>17</v>
      </c>
      <c r="C27" s="3" t="s">
        <v>122</v>
      </c>
    </row>
    <row r="28" spans="1:3" x14ac:dyDescent="0.35">
      <c r="B28" s="3" t="s">
        <v>36</v>
      </c>
      <c r="C28" s="3" t="s">
        <v>123</v>
      </c>
    </row>
    <row r="29" spans="1:3" x14ac:dyDescent="0.35">
      <c r="B29" s="3" t="s">
        <v>5</v>
      </c>
      <c r="C29" s="3" t="s">
        <v>149</v>
      </c>
    </row>
    <row r="30" spans="1:3" x14ac:dyDescent="0.35">
      <c r="B30" s="3" t="s">
        <v>48</v>
      </c>
      <c r="C30" s="3" t="s">
        <v>93</v>
      </c>
    </row>
    <row r="31" spans="1:3" x14ac:dyDescent="0.35">
      <c r="B31" s="3" t="s">
        <v>49</v>
      </c>
      <c r="C31" s="3" t="s">
        <v>94</v>
      </c>
    </row>
    <row r="32" spans="1:3" x14ac:dyDescent="0.35">
      <c r="B32" s="3" t="s">
        <v>55</v>
      </c>
      <c r="C32" s="3" t="s">
        <v>95</v>
      </c>
    </row>
    <row r="33" spans="2:3" x14ac:dyDescent="0.35">
      <c r="B33" s="3" t="s">
        <v>50</v>
      </c>
      <c r="C33" s="3" t="s">
        <v>96</v>
      </c>
    </row>
    <row r="34" spans="2:3" x14ac:dyDescent="0.35">
      <c r="B34" s="3" t="s">
        <v>170</v>
      </c>
      <c r="C34" s="3" t="s">
        <v>148</v>
      </c>
    </row>
    <row r="35" spans="2:3" x14ac:dyDescent="0.35">
      <c r="B35" s="3" t="s">
        <v>74</v>
      </c>
      <c r="C35" s="3" t="s">
        <v>97</v>
      </c>
    </row>
    <row r="36" spans="2:3" x14ac:dyDescent="0.35">
      <c r="B36" s="3" t="s">
        <v>57</v>
      </c>
      <c r="C36" s="3" t="s">
        <v>98</v>
      </c>
    </row>
    <row r="37" spans="2:3" x14ac:dyDescent="0.35">
      <c r="B37" s="3" t="s">
        <v>66</v>
      </c>
      <c r="C37" s="3" t="s">
        <v>99</v>
      </c>
    </row>
    <row r="38" spans="2:3" x14ac:dyDescent="0.35">
      <c r="B38" s="3" t="s">
        <v>67</v>
      </c>
      <c r="C38" s="3" t="s">
        <v>100</v>
      </c>
    </row>
    <row r="39" spans="2:3" x14ac:dyDescent="0.35">
      <c r="B39" s="3" t="s">
        <v>75</v>
      </c>
      <c r="C39" s="3" t="s">
        <v>155</v>
      </c>
    </row>
    <row r="40" spans="2:3" x14ac:dyDescent="0.35">
      <c r="B40" s="3" t="s">
        <v>101</v>
      </c>
      <c r="C40" s="3" t="s">
        <v>147</v>
      </c>
    </row>
    <row r="41" spans="2:3" x14ac:dyDescent="0.35">
      <c r="B41" s="3" t="s">
        <v>102</v>
      </c>
      <c r="C41" s="3" t="s">
        <v>104</v>
      </c>
    </row>
    <row r="42" spans="2:3" x14ac:dyDescent="0.35">
      <c r="B42" s="3" t="s">
        <v>103</v>
      </c>
      <c r="C42" s="3" t="s">
        <v>105</v>
      </c>
    </row>
    <row r="43" spans="2:3" x14ac:dyDescent="0.35">
      <c r="B43" s="3" t="s">
        <v>68</v>
      </c>
      <c r="C43" s="3" t="s">
        <v>146</v>
      </c>
    </row>
    <row r="44" spans="2:3" x14ac:dyDescent="0.35">
      <c r="B44" s="3" t="s">
        <v>145</v>
      </c>
      <c r="C44" s="3" t="s">
        <v>106</v>
      </c>
    </row>
    <row r="45" spans="2:3" x14ac:dyDescent="0.35">
      <c r="B45" s="3" t="s">
        <v>107</v>
      </c>
      <c r="C45" s="3" t="s">
        <v>114</v>
      </c>
    </row>
    <row r="46" spans="2:3" x14ac:dyDescent="0.35">
      <c r="B46" s="3" t="s">
        <v>108</v>
      </c>
      <c r="C46" s="3" t="s">
        <v>115</v>
      </c>
    </row>
    <row r="47" spans="2:3" x14ac:dyDescent="0.35">
      <c r="B47" s="3" t="s">
        <v>109</v>
      </c>
      <c r="C47" s="3" t="s">
        <v>116</v>
      </c>
    </row>
    <row r="48" spans="2:3" x14ac:dyDescent="0.35">
      <c r="B48" s="3" t="s">
        <v>110</v>
      </c>
      <c r="C48" s="3" t="s">
        <v>117</v>
      </c>
    </row>
    <row r="49" spans="2:3" x14ac:dyDescent="0.35">
      <c r="B49" s="3" t="s">
        <v>70</v>
      </c>
      <c r="C49" s="3" t="s">
        <v>118</v>
      </c>
    </row>
    <row r="50" spans="2:3" x14ac:dyDescent="0.35">
      <c r="B50" s="3" t="s">
        <v>71</v>
      </c>
      <c r="C50" s="3" t="s">
        <v>119</v>
      </c>
    </row>
    <row r="51" spans="2:3" x14ac:dyDescent="0.35">
      <c r="B51" s="3" t="s">
        <v>72</v>
      </c>
      <c r="C51" s="3" t="s">
        <v>121</v>
      </c>
    </row>
    <row r="52" spans="2:3" x14ac:dyDescent="0.35">
      <c r="B52" s="3" t="s">
        <v>76</v>
      </c>
      <c r="C52" s="3" t="s">
        <v>120</v>
      </c>
    </row>
    <row r="53" spans="2:3" x14ac:dyDescent="0.35">
      <c r="B53" s="3" t="s">
        <v>69</v>
      </c>
      <c r="C53" s="3" t="s">
        <v>113</v>
      </c>
    </row>
    <row r="54" spans="2:3" x14ac:dyDescent="0.35">
      <c r="B54" s="3" t="s">
        <v>111</v>
      </c>
      <c r="C54" s="3" t="s">
        <v>156</v>
      </c>
    </row>
    <row r="55" spans="2:3" x14ac:dyDescent="0.35">
      <c r="B55" s="3" t="s">
        <v>112</v>
      </c>
      <c r="C55" s="3" t="s">
        <v>157</v>
      </c>
    </row>
    <row r="56" spans="2:3" x14ac:dyDescent="0.35">
      <c r="B56" s="3" t="s">
        <v>126</v>
      </c>
      <c r="C56" s="3" t="s">
        <v>127</v>
      </c>
    </row>
    <row r="57" spans="2:3" x14ac:dyDescent="0.35">
      <c r="B57" s="3" t="s">
        <v>128</v>
      </c>
      <c r="C57" s="3" t="s">
        <v>129</v>
      </c>
    </row>
    <row r="58" spans="2:3" x14ac:dyDescent="0.35">
      <c r="B58" s="3" t="s">
        <v>141</v>
      </c>
      <c r="C58" s="3" t="s">
        <v>142</v>
      </c>
    </row>
    <row r="59" spans="2:3" x14ac:dyDescent="0.35">
      <c r="B59" s="3" t="s">
        <v>178</v>
      </c>
      <c r="C59" s="3" t="s">
        <v>179</v>
      </c>
    </row>
  </sheetData>
  <mergeCells count="1">
    <mergeCell ref="A1:B1"/>
  </mergeCells>
  <hyperlinks>
    <hyperlink ref="A1" location="Index!A1" display="&lt;&lt;Back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-0.249977111117893"/>
  </sheetPr>
  <dimension ref="A1:Z65"/>
  <sheetViews>
    <sheetView workbookViewId="0">
      <pane ySplit="7" topLeftCell="A8" activePane="bottomLeft" state="frozen"/>
      <selection pane="bottomLeft" activeCell="P30" sqref="P30"/>
    </sheetView>
  </sheetViews>
  <sheetFormatPr defaultColWidth="8.81640625" defaultRowHeight="14.5" x14ac:dyDescent="0.35"/>
  <cols>
    <col min="1" max="1" width="3.1796875" style="3" customWidth="1"/>
    <col min="2" max="2" width="14.1796875" style="3" customWidth="1"/>
    <col min="3" max="3" width="11.81640625" style="3" customWidth="1"/>
    <col min="4" max="9" width="10.81640625" style="3" customWidth="1"/>
    <col min="10" max="11" width="12" style="70" customWidth="1"/>
    <col min="12" max="14" width="13.1796875" style="3" customWidth="1"/>
    <col min="15" max="16" width="13.81640625" style="3" customWidth="1"/>
    <col min="17" max="18" width="20" style="3" bestFit="1" customWidth="1"/>
    <col min="19" max="19" width="14.81640625" style="3" customWidth="1"/>
    <col min="20" max="20" width="13.453125" style="3" bestFit="1" customWidth="1"/>
    <col min="21" max="21" width="9.81640625" style="3" bestFit="1" customWidth="1"/>
    <col min="22" max="24" width="13.1796875" style="3" customWidth="1"/>
    <col min="25" max="25" width="14.1796875" style="3" customWidth="1"/>
    <col min="26" max="26" width="13.1796875" style="3" customWidth="1"/>
    <col min="27" max="16384" width="8.81640625" style="3"/>
  </cols>
  <sheetData>
    <row r="1" spans="1:26" ht="10.4" customHeight="1" x14ac:dyDescent="0.35">
      <c r="A1" s="302" t="s">
        <v>20</v>
      </c>
      <c r="B1" s="307"/>
    </row>
    <row r="2" spans="1:26" s="13" customFormat="1" ht="22.5" customHeight="1" x14ac:dyDescent="0.35">
      <c r="A2" s="14" t="str">
        <f>"DMO "&amp;FY&amp;" "&amp;'Key inputs'!C8&amp;" Determination Prices and Cost Changes"</f>
        <v>DMO 2022-23 Final Determination Prices and Cost Changes</v>
      </c>
      <c r="J2" s="180"/>
      <c r="K2" s="180"/>
    </row>
    <row r="3" spans="1:26" x14ac:dyDescent="0.35">
      <c r="B3" s="107"/>
      <c r="L3" s="5"/>
      <c r="M3" s="19"/>
      <c r="N3" s="19"/>
      <c r="O3" s="19"/>
      <c r="P3" s="19"/>
      <c r="Q3" s="19"/>
      <c r="R3" s="19"/>
    </row>
    <row r="4" spans="1:26" ht="15.5" x14ac:dyDescent="0.35">
      <c r="B4" s="34" t="str">
        <f>"DMO "&amp;FY&amp;"  "&amp;'Key inputs'!C8&amp;" Determination Prices"</f>
        <v>DMO 2022-23  Final Determination Prices</v>
      </c>
      <c r="L4" s="34" t="str">
        <f>"Summary of cost changes from DMO "&amp;PY&amp;" to DMO "&amp;FY</f>
        <v>Summary of cost changes from DMO 2021-22 to DMO 2022-23</v>
      </c>
      <c r="M4" s="19"/>
      <c r="N4" s="19"/>
      <c r="O4" s="19"/>
      <c r="P4" s="19"/>
      <c r="Q4" s="19"/>
      <c r="R4" s="19"/>
      <c r="V4" s="34" t="str">
        <f>"Proportion of costs in base DMO "&amp;PY</f>
        <v>Proportion of costs in base DMO 2021-22</v>
      </c>
    </row>
    <row r="5" spans="1:26" ht="15.5" x14ac:dyDescent="0.35">
      <c r="B5" s="107" t="s">
        <v>130</v>
      </c>
      <c r="L5" s="34"/>
      <c r="M5" s="19"/>
      <c r="N5" s="19"/>
      <c r="O5" s="19"/>
      <c r="P5" s="19"/>
      <c r="Q5" s="19"/>
      <c r="R5" s="19"/>
    </row>
    <row r="6" spans="1:26" ht="15.65" customHeight="1" x14ac:dyDescent="0.35">
      <c r="B6" s="304" t="s">
        <v>1</v>
      </c>
      <c r="C6" s="132"/>
      <c r="D6" s="313" t="s">
        <v>6</v>
      </c>
      <c r="E6" s="313"/>
      <c r="F6" s="313" t="s">
        <v>6</v>
      </c>
      <c r="G6" s="313"/>
      <c r="H6" s="313" t="s">
        <v>73</v>
      </c>
      <c r="I6" s="314"/>
      <c r="J6" s="129"/>
      <c r="K6" s="129"/>
      <c r="L6" s="303" t="s">
        <v>33</v>
      </c>
      <c r="M6" s="303" t="s">
        <v>58</v>
      </c>
      <c r="N6" s="303" t="s">
        <v>59</v>
      </c>
      <c r="O6" s="303" t="s">
        <v>60</v>
      </c>
      <c r="P6" s="303" t="s">
        <v>196</v>
      </c>
      <c r="Q6" s="303" t="s">
        <v>193</v>
      </c>
      <c r="R6" s="303" t="s">
        <v>195</v>
      </c>
      <c r="S6" s="303" t="s">
        <v>65</v>
      </c>
      <c r="V6" s="303" t="s">
        <v>33</v>
      </c>
      <c r="W6" s="303" t="s">
        <v>58</v>
      </c>
      <c r="X6" s="303" t="s">
        <v>59</v>
      </c>
      <c r="Y6" s="303" t="s">
        <v>60</v>
      </c>
      <c r="Z6" s="303" t="s">
        <v>196</v>
      </c>
    </row>
    <row r="7" spans="1:26" ht="15.5" x14ac:dyDescent="0.35">
      <c r="B7" s="304"/>
      <c r="C7" s="132"/>
      <c r="D7" s="315" t="s">
        <v>136</v>
      </c>
      <c r="E7" s="315"/>
      <c r="F7" s="315" t="s">
        <v>137</v>
      </c>
      <c r="G7" s="315"/>
      <c r="H7" s="315" t="s">
        <v>136</v>
      </c>
      <c r="I7" s="316"/>
      <c r="J7" s="129"/>
      <c r="K7" s="129"/>
      <c r="L7" s="303"/>
      <c r="M7" s="303"/>
      <c r="N7" s="303"/>
      <c r="O7" s="303"/>
      <c r="P7" s="303"/>
      <c r="Q7" s="303"/>
      <c r="R7" s="303"/>
      <c r="S7" s="303"/>
      <c r="V7" s="303"/>
      <c r="W7" s="303"/>
      <c r="X7" s="303"/>
      <c r="Y7" s="303"/>
      <c r="Z7" s="303"/>
    </row>
    <row r="8" spans="1:26" s="44" customFormat="1" ht="30" customHeight="1" x14ac:dyDescent="0.35">
      <c r="B8" s="50" t="s">
        <v>2</v>
      </c>
      <c r="C8" s="130" t="s">
        <v>80</v>
      </c>
      <c r="D8" s="318">
        <f t="array" aca="1" ref="D8" ca="1">INDEX(INDIRECT("'"&amp;$B8&amp;"'!$B$6:$F$15"),MATCH("DMO "&amp;FY&amp;" price ($ pa, inc GST)",INDIRECT("'"&amp;$B8&amp;"'!$B$6:$B$15"),0),MATCH(D$6&amp;D$7,INDIRECT("'"&amp;$B8&amp;"'!$B$6:$E$6")&amp;INDIRECT("'"&amp;$B8&amp;"'!$B$7:$E$7"),0))</f>
        <v>1512</v>
      </c>
      <c r="E8" s="318"/>
      <c r="F8" s="318">
        <f t="array" aca="1" ref="F8" ca="1">INDEX(INDIRECT("'"&amp;$B8&amp;"'!$B$6:$F$15"),MATCH("DMO "&amp;FY&amp;" price ($ pa, inc GST)",INDIRECT("'"&amp;$B8&amp;"'!$B$6:$B$15"),0),MATCH(F$6&amp;F$7,INDIRECT("'"&amp;$B8&amp;"'!$B$6:$E$6")&amp;INDIRECT("'"&amp;$B8&amp;"'!$B$7:$E$7"),0))</f>
        <v>2122</v>
      </c>
      <c r="G8" s="318"/>
      <c r="H8" s="318">
        <f t="array" aca="1" ref="H8" ca="1">INDEX(INDIRECT("'"&amp;$B8&amp;"'!$B$6:$F$15"),MATCH("DMO "&amp;FY&amp;" price ($ pa, inc GST)",INDIRECT("'"&amp;$B8&amp;"'!$B$6:$B$15"),0),MATCH(H$6&amp;H$7,INDIRECT("'"&amp;$B8&amp;"'!$B$6:$E$6")&amp;INDIRECT("'"&amp;$B8&amp;"'!$B$7:$E$7"),0))</f>
        <v>4360</v>
      </c>
      <c r="I8" s="328"/>
      <c r="J8" s="175"/>
      <c r="K8" s="175"/>
      <c r="L8" s="5" t="str">
        <f>T8&amp;" "&amp;U8</f>
        <v>Residential without CL</v>
      </c>
      <c r="M8" s="19"/>
      <c r="N8" s="19"/>
      <c r="O8" s="164"/>
      <c r="P8" s="164"/>
      <c r="Q8" s="164"/>
      <c r="R8" s="164"/>
      <c r="S8" s="164"/>
      <c r="T8" s="201" t="s">
        <v>6</v>
      </c>
      <c r="U8" s="201" t="s">
        <v>136</v>
      </c>
      <c r="V8" s="5" t="str">
        <f>L8</f>
        <v>Residential without CL</v>
      </c>
      <c r="W8" s="19"/>
      <c r="X8" s="19"/>
      <c r="Y8" s="164"/>
      <c r="Z8" s="164"/>
    </row>
    <row r="9" spans="1:26" ht="12.65" customHeight="1" x14ac:dyDescent="0.35">
      <c r="B9" s="71" t="s">
        <v>2</v>
      </c>
      <c r="C9" s="321" t="s">
        <v>158</v>
      </c>
      <c r="D9" s="317" t="str">
        <f t="array" aca="1" ref="D9" ca="1">INDEX(INDIRECT("'"&amp;$B8&amp;"'!$B$6:$F$15"),MATCH("Annual usage (kWh)",INDIRECT("'"&amp;$B8&amp;"'!$B$6:$B$15"),0),MATCH(D$6&amp;D$7,INDIRECT("'"&amp;$B8&amp;"'!$B$6:$E$6")&amp;INDIRECT("'"&amp;$B8&amp;"'!$B$7:$E$7"),0))&amp;" kWh"</f>
        <v>3900 kWh</v>
      </c>
      <c r="E9" s="317"/>
      <c r="F9" s="319" t="str">
        <f t="array" aca="1" ref="F9" ca="1">"Flat rate "&amp;INDEX(INDIRECT("'"&amp;$B8&amp;"'!$B$6:$F$15"),MATCH("Flat rate usage (kWh)",INDIRECT("'"&amp;$B8&amp;"'!$B$6:$B$15"),0),MATCH(F$6&amp;F$7,INDIRECT("'"&amp;$B8&amp;"'!$B$6:$E$6")&amp;INDIRECT("'"&amp;$B8&amp;"'!$B$7:$E$7"),0))&amp;" kWh"</f>
        <v>Flat rate 4800 kWh</v>
      </c>
      <c r="G9" s="320"/>
      <c r="H9" s="317" t="str">
        <f t="array" aca="1" ref="H9" ca="1">INDEX(INDIRECT("'"&amp;$B8&amp;"'!$B$6:$F$15"),MATCH("Annual usage (kWh)",INDIRECT("'"&amp;$B8&amp;"'!$B$6:$B$15"),0),MATCH(H$6&amp;H$7,INDIRECT("'"&amp;$B8&amp;"'!$B$6:$E$6")&amp;INDIRECT("'"&amp;$B8&amp;"'!$B$7:$E$7"),0))&amp;" kWh"</f>
        <v>10000 kWh</v>
      </c>
      <c r="I9" s="325"/>
      <c r="L9" s="3" t="s">
        <v>2</v>
      </c>
      <c r="M9" s="210">
        <f t="array" aca="1" ref="M9" ca="1">INDEX(INDIRECT("'"&amp;$L9&amp;"'!F23:AJ38"),MATCH(M$6,INDIRECT("'"&amp;$L9&amp;"'!F23:F38"),0),MATCH($T9&amp;$U9&amp;"Change",INDIRECT("'"&amp;$L9&amp;"'!F23:AJ23")&amp;INDIRECT("'"&amp;$L9&amp;"'!F24:AJ24")&amp;INDIRECT("'"&amp;$L9&amp;"'!F30:AJ30"),0))</f>
        <v>-3.2730818927638516E-2</v>
      </c>
      <c r="N9" s="210">
        <f t="array" aca="1" ref="N9" ca="1">INDEX(INDIRECT("'"&amp;$L9&amp;"'!F23:AJ38"),MATCH(N$6,INDIRECT("'"&amp;$L9&amp;"'!F23:F38"),0),MATCH($T9&amp;$U9&amp;"Change",INDIRECT("'"&amp;$L9&amp;"'!F23:AJ23")&amp;INDIRECT("'"&amp;$L9&amp;"'!F24:AJ24")&amp;INDIRECT("'"&amp;$L9&amp;"'!F30:AJ30"),0))</f>
        <v>0.38992494882874684</v>
      </c>
      <c r="O9" s="210" cm="1">
        <f t="array" aca="1" ref="O9" ca="1">INDEX(INDIRECT("'"&amp;$L9&amp;"'!F23:AJ38"),MATCH(O$6,INDIRECT("'"&amp;$L9&amp;"'!F23:F38"),0),MATCH($T9&amp;$U9&amp;"Change",INDIRECT("'"&amp;$L9&amp;"'!F23:AJ23")&amp;INDIRECT("'"&amp;$L9&amp;"'!F24:AJ24")&amp;INDIRECT("'"&amp;$L9&amp;"'!F30:AJ30"),0))</f>
        <v>7.8768909754825422E-2</v>
      </c>
      <c r="P9" s="210" cm="1">
        <f t="array" aca="1" ref="P9" ca="1">INDEX(INDIRECT("'"&amp;$L9&amp;"'!F23:AJ38"),MATCH(P$6,INDIRECT("'"&amp;$L9&amp;"'!F23:F38"),0),MATCH($T9&amp;$U9&amp;"Change",INDIRECT("'"&amp;$L9&amp;"'!F23:AJ23")&amp;INDIRECT("'"&amp;$L9&amp;"'!F24:AJ24")&amp;INDIRECT("'"&amp;$L9&amp;"'!F30:AJ30"),0))</f>
        <v>-1</v>
      </c>
      <c r="Q9" s="210" t="str" cm="1">
        <f t="array" aca="1" ref="Q9" ca="1">INDEX(INDIRECT("'"&amp;$L9&amp;"'!F23:AJ38"),MATCH(Q$6,INDIRECT("'"&amp;$L9&amp;"'!F23:F38"),0),MATCH($T9&amp;$U9&amp;"Change",INDIRECT("'"&amp;$L9&amp;"'!F23:AJ23")&amp;INDIRECT("'"&amp;$L9&amp;"'!F24:AJ24")&amp;INDIRECT("'"&amp;$L9&amp;"'!F30:AJ30"),0))</f>
        <v>New cost component</v>
      </c>
      <c r="R9" s="210" t="str" cm="1">
        <f t="array" aca="1" ref="R9" ca="1">INDEX(INDIRECT("'"&amp;$L9&amp;"'!F23:AJ38"),MATCH(R$6,INDIRECT("'"&amp;$L9&amp;"'!F23:F38"),0),MATCH($T9&amp;$U9&amp;"Change",INDIRECT("'"&amp;$L9&amp;"'!F23:AJ23")&amp;INDIRECT("'"&amp;$L9&amp;"'!F24:AJ24")&amp;INDIRECT("'"&amp;$L9&amp;"'!F30:AJ30"),0))</f>
        <v>New cost component</v>
      </c>
      <c r="S9" s="147">
        <f t="array" aca="1" ref="S9" ca="1">INDEX(INDIRECT("'"&amp;$L9&amp;"'!$B$6:$F$16"),MATCH("Change from DMO "&amp;PY&amp;" price (%)",INDIRECT("'"&amp;$L9&amp;"'!$B$6:$B$16"),0),MATCH($T9&amp;$U9,INDIRECT("'"&amp;$L9&amp;"'!$B$6:$E$6")&amp;INDIRECT("'"&amp;$L9&amp;"'!$B$7:$E$7"),0))</f>
        <v>8.5427135678391997E-2</v>
      </c>
      <c r="T9" s="70" t="str">
        <f t="shared" ref="T9:U13" si="0">T8</f>
        <v>Residential</v>
      </c>
      <c r="U9" s="70" t="str">
        <f t="shared" si="0"/>
        <v>without CL</v>
      </c>
      <c r="V9" s="3" t="s">
        <v>2</v>
      </c>
      <c r="W9" s="182">
        <f t="array" aca="1" ref="W9" ca="1">INDEX(INDIRECT("'"&amp;$V9&amp;"'!F23:AJ38"),MATCH(W$6,INDIRECT("'"&amp;$V9&amp;"'!F23:F38"),0),MATCH($T9&amp;$U9&amp;"Proportion",INDIRECT("'"&amp;$V9&amp;"'!F23:AJ23")&amp;INDIRECT("'"&amp;$V9&amp;"'!F24:AJ24")&amp;INDIRECT("'"&amp;$V9&amp;"'!F30:AJ30"),0))</f>
        <v>0.39959860301507538</v>
      </c>
      <c r="X9" s="182">
        <f t="array" aca="1" ref="X9" ca="1">INDEX(INDIRECT("'"&amp;$V9&amp;"'!F23:AJ38"),MATCH(X$6,INDIRECT("'"&amp;$V9&amp;"'!F23:F38"),0),MATCH($T9&amp;$U9&amp;"Proportion",INDIRECT("'"&amp;$V9&amp;"'!F23:AJ23")&amp;INDIRECT("'"&amp;$V9&amp;"'!F24:AJ24")&amp;INDIRECT("'"&amp;$V9&amp;"'!F30:AJ30"),0))</f>
        <v>0.27082742282842787</v>
      </c>
      <c r="Y9" s="182">
        <f t="array" aca="1" ref="Y9" ca="1">INDEX(INDIRECT("'"&amp;$V9&amp;"'!F23:AJ38"),MATCH(Y$6,INDIRECT("'"&amp;$V9&amp;"'!F23:F38"),0),MATCH($T9&amp;$U9&amp;"Proportion",INDIRECT("'"&amp;$V9&amp;"'!F23:AJ23")&amp;INDIRECT("'"&amp;$V9&amp;"'!F24:AJ24")&amp;INDIRECT("'"&amp;$V9&amp;"'!F30:AJ30"),0))</f>
        <v>5.9037544867193106E-2</v>
      </c>
      <c r="Z9" s="182">
        <f t="array" aca="1" ref="Z9" ca="1">INDEX(INDIRECT("'"&amp;$V9&amp;"'!F23:AJ38"),MATCH(Z$6,INDIRECT("'"&amp;$V9&amp;"'!F23:F38"),0),MATCH($T9&amp;$U9&amp;"Proportion",INDIRECT("'"&amp;$V9&amp;"'!F23:AJ23")&amp;INDIRECT("'"&amp;$V9&amp;"'!F24:AJ24")&amp;INDIRECT("'"&amp;$V9&amp;"'!F30:AJ30"),0))</f>
        <v>0.27053642928930366</v>
      </c>
    </row>
    <row r="10" spans="1:26" ht="12.65" customHeight="1" x14ac:dyDescent="0.35">
      <c r="B10" s="71"/>
      <c r="C10" s="321"/>
      <c r="D10" s="133"/>
      <c r="E10" s="134"/>
      <c r="F10" s="319" t="str">
        <f t="array" aca="1" ref="F10" ca="1">"+ CL "&amp;INDEX(INDIRECT("'"&amp;$B8&amp;"'!$B$6:$F$15"),MATCH("Controlled load usage (kWh)",INDIRECT("'"&amp;$B8&amp;"'!$B$6:$B$15"),0),MATCH(F$6&amp;F$7,INDIRECT("'"&amp;$B8&amp;"'!$B$6:$E$6")&amp;INDIRECT("'"&amp;$B8&amp;"'!$B$7:$E$7"),0))&amp;" kWh"</f>
        <v>+ CL 2000 kWh</v>
      </c>
      <c r="G10" s="320"/>
      <c r="H10" s="133"/>
      <c r="I10" s="124"/>
      <c r="L10" s="3" t="s">
        <v>4</v>
      </c>
      <c r="M10" s="210">
        <f t="array" aca="1" ref="M10" ca="1">INDEX(INDIRECT("'"&amp;$L10&amp;"'!F23:AJ38"),MATCH(M$6,INDIRECT("'"&amp;$L10&amp;"'!F23:F38"),0),MATCH($T10&amp;$U10&amp;"Change",INDIRECT("'"&amp;$L10&amp;"'!F23:AJ23")&amp;INDIRECT("'"&amp;$L10&amp;"'!F24:AJ24")&amp;INDIRECT("'"&amp;$L10&amp;"'!F30:AJ30"),0))</f>
        <v>4.9623279003153886E-2</v>
      </c>
      <c r="N10" s="210">
        <f t="array" aca="1" ref="N10" ca="1">INDEX(INDIRECT("'"&amp;$L10&amp;"'!F23:AJ38"),MATCH(N$6,INDIRECT("'"&amp;$L10&amp;"'!F23:F38"),0),MATCH($T10&amp;$U10&amp;"Change",INDIRECT("'"&amp;$L10&amp;"'!F23:AJ23")&amp;INDIRECT("'"&amp;$L10&amp;"'!F24:AJ24")&amp;INDIRECT("'"&amp;$L10&amp;"'!F30:AJ30"),0))</f>
        <v>0.40761300555114999</v>
      </c>
      <c r="O10" s="210">
        <f t="array" aca="1" ref="O10" ca="1">INDEX(INDIRECT("'"&amp;$L10&amp;"'!F23:AJ38"),MATCH(O$6,INDIRECT("'"&amp;$L10&amp;"'!F23:F38"),0),MATCH($T10&amp;$U10&amp;"Change",INDIRECT("'"&amp;$L10&amp;"'!F23:AJ23")&amp;INDIRECT("'"&amp;$L10&amp;"'!F24:AJ24")&amp;INDIRECT("'"&amp;$L10&amp;"'!F30:AJ30"),0))</f>
        <v>7.8197824961160123E-2</v>
      </c>
      <c r="P10" s="210" cm="1">
        <f t="array" aca="1" ref="P10" ca="1">INDEX(INDIRECT("'"&amp;$L10&amp;"'!F23:AJ38"),MATCH(P$6,INDIRECT("'"&amp;$L10&amp;"'!F23:F38"),0),MATCH($T10&amp;$U10&amp;"Change",INDIRECT("'"&amp;$L10&amp;"'!F23:AJ23")&amp;INDIRECT("'"&amp;$L10&amp;"'!F24:AJ24")&amp;INDIRECT("'"&amp;$L10&amp;"'!F30:AJ30"),0))</f>
        <v>-1</v>
      </c>
      <c r="Q10" s="210" t="str" cm="1">
        <f t="array" aca="1" ref="Q10" ca="1">INDEX(INDIRECT("'"&amp;$L10&amp;"'!F23:AJ38"),MATCH(Q$6,INDIRECT("'"&amp;$L10&amp;"'!F23:F38"),0),MATCH($T10&amp;$U10&amp;"Change",INDIRECT("'"&amp;$L10&amp;"'!F23:AJ23")&amp;INDIRECT("'"&amp;$L10&amp;"'!F24:AJ24")&amp;INDIRECT("'"&amp;$L10&amp;"'!F30:AJ30"),0))</f>
        <v>New cost component</v>
      </c>
      <c r="R10" s="210" t="str" cm="1">
        <f t="array" aca="1" ref="R10" ca="1">INDEX(INDIRECT("'"&amp;$L10&amp;"'!F23:AJ38"),MATCH(R$6,INDIRECT("'"&amp;$L10&amp;"'!F23:F38"),0),MATCH($T10&amp;$U10&amp;"Change",INDIRECT("'"&amp;$L10&amp;"'!F23:AJ23")&amp;INDIRECT("'"&amp;$L10&amp;"'!F24:AJ24")&amp;INDIRECT("'"&amp;$L10&amp;"'!F30:AJ30"),0))</f>
        <v>New cost component</v>
      </c>
      <c r="S10" s="147">
        <f t="array" aca="1" ref="S10" ca="1">INDEX(INDIRECT("'"&amp;$L10&amp;"'!$B$6:$F$16"),MATCH("Change from DMO "&amp;PY&amp;" price (%)",INDIRECT("'"&amp;$L10&amp;"'!$B$6:$B$16"),0),MATCH($T10&amp;$U10,INDIRECT("'"&amp;$L10&amp;"'!$B$6:$E$6")&amp;INDIRECT("'"&amp;$L10&amp;"'!$B$7:$E$7"),0))</f>
        <v>0.14108141702921073</v>
      </c>
      <c r="T10" s="70" t="str">
        <f t="shared" si="0"/>
        <v>Residential</v>
      </c>
      <c r="U10" s="70" t="str">
        <f t="shared" si="0"/>
        <v>without CL</v>
      </c>
      <c r="V10" s="3" t="s">
        <v>4</v>
      </c>
      <c r="W10" s="182">
        <f t="array" aca="1" ref="W10" ca="1">INDEX(INDIRECT("'"&amp;$V10&amp;"'!F23:AJ38"),MATCH(W$6,INDIRECT("'"&amp;$V10&amp;"'!F23:F38"),0),MATCH($T10&amp;$U10&amp;"Proportion",INDIRECT("'"&amp;$V10&amp;"'!F23:AJ23")&amp;INDIRECT("'"&amp;$V10&amp;"'!F24:AJ24")&amp;INDIRECT("'"&amp;$V10&amp;"'!F30:AJ30"),0))</f>
        <v>0.38705896208825358</v>
      </c>
      <c r="X10" s="182">
        <f t="array" aca="1" ref="X10" ca="1">INDEX(INDIRECT("'"&amp;$V10&amp;"'!F23:AJ38"),MATCH(X$6,INDIRECT("'"&amp;$V10&amp;"'!F23:F38"),0),MATCH($T10&amp;$U10&amp;"Proportion",INDIRECT("'"&amp;$V10&amp;"'!F23:AJ23")&amp;INDIRECT("'"&amp;$V10&amp;"'!F24:AJ24")&amp;INDIRECT("'"&amp;$V10&amp;"'!F30:AJ30"),0))</f>
        <v>0.29569627097576134</v>
      </c>
      <c r="Y10" s="182">
        <f t="array" aca="1" ref="Y10" ca="1">INDEX(INDIRECT("'"&amp;$V10&amp;"'!F23:AJ38"),MATCH(Y$6,INDIRECT("'"&amp;$V10&amp;"'!F23:F38"),0),MATCH($T10&amp;$U10&amp;"Proportion",INDIRECT("'"&amp;$V10&amp;"'!F23:AJ23")&amp;INDIRECT("'"&amp;$V10&amp;"'!F24:AJ24")&amp;INDIRECT("'"&amp;$V10&amp;"'!F30:AJ30"),0))</f>
        <v>6.4686699813548784E-2</v>
      </c>
      <c r="Z10" s="182">
        <f t="array" aca="1" ref="Z10" ca="1">INDEX(INDIRECT("'"&amp;$V10&amp;"'!F23:AJ38"),MATCH(Z$6,INDIRECT("'"&amp;$V10&amp;"'!F23:F38"),0),MATCH($T10&amp;$U10&amp;"Proportion",INDIRECT("'"&amp;$V10&amp;"'!F23:AJ23")&amp;INDIRECT("'"&amp;$V10&amp;"'!F24:AJ24")&amp;INDIRECT("'"&amp;$V10&amp;"'!F30:AJ30"),0))</f>
        <v>0.25255806712243628</v>
      </c>
    </row>
    <row r="11" spans="1:26" ht="12.65" customHeight="1" x14ac:dyDescent="0.35">
      <c r="B11" s="71"/>
      <c r="C11" s="153"/>
      <c r="D11" s="157"/>
      <c r="E11" s="159"/>
      <c r="F11" s="151"/>
      <c r="G11" s="152"/>
      <c r="H11" s="157"/>
      <c r="I11" s="158"/>
      <c r="L11" s="3" t="s">
        <v>3</v>
      </c>
      <c r="M11" s="210">
        <f t="array" aca="1" ref="M11" ca="1">INDEX(INDIRECT("'"&amp;$L11&amp;"'!F23:AJ38"),MATCH(M$6,INDIRECT("'"&amp;$L11&amp;"'!F23:F38"),0),MATCH($T11&amp;$U11&amp;"Change",INDIRECT("'"&amp;$L11&amp;"'!F23:AJ23")&amp;INDIRECT("'"&amp;$L11&amp;"'!F24:AJ24")&amp;INDIRECT("'"&amp;$L11&amp;"'!F30:AJ30"),0))</f>
        <v>2.9437903869101945E-2</v>
      </c>
      <c r="N11" s="210">
        <f t="array" aca="1" ref="N11" ca="1">INDEX(INDIRECT("'"&amp;$L11&amp;"'!F23:AJ38"),MATCH(N$6,INDIRECT("'"&amp;$L11&amp;"'!F23:F38"),0),MATCH($T11&amp;$U11&amp;"Change",INDIRECT("'"&amp;$L11&amp;"'!F23:AJ23")&amp;INDIRECT("'"&amp;$L11&amp;"'!F24:AJ24")&amp;INDIRECT("'"&amp;$L11&amp;"'!F30:AJ30"),0))</f>
        <v>0.44349016679113751</v>
      </c>
      <c r="O11" s="210">
        <f t="array" aca="1" ref="O11" ca="1">INDEX(INDIRECT("'"&amp;$L11&amp;"'!F23:AJ38"),MATCH(O$6,INDIRECT("'"&amp;$L11&amp;"'!F23:F38"),0),MATCH($T11&amp;$U11&amp;"Change",INDIRECT("'"&amp;$L11&amp;"'!F23:AJ23")&amp;INDIRECT("'"&amp;$L11&amp;"'!F24:AJ24")&amp;INDIRECT("'"&amp;$L11&amp;"'!F30:AJ30"),0))</f>
        <v>7.4054621848739455E-2</v>
      </c>
      <c r="P11" s="210" cm="1">
        <f t="array" aca="1" ref="P11" ca="1">INDEX(INDIRECT("'"&amp;$L11&amp;"'!F23:AJ38"),MATCH(P$6,INDIRECT("'"&amp;$L11&amp;"'!F23:F38"),0),MATCH($T11&amp;$U11&amp;"Change",INDIRECT("'"&amp;$L11&amp;"'!F23:AJ23")&amp;INDIRECT("'"&amp;$L11&amp;"'!F24:AJ24")&amp;INDIRECT("'"&amp;$L11&amp;"'!F30:AJ30"),0))</f>
        <v>-1</v>
      </c>
      <c r="Q11" s="210" t="str" cm="1">
        <f t="array" aca="1" ref="Q11" ca="1">INDEX(INDIRECT("'"&amp;$L11&amp;"'!F23:AJ38"),MATCH(Q$6,INDIRECT("'"&amp;$L11&amp;"'!F23:F38"),0),MATCH($T11&amp;$U11&amp;"Change",INDIRECT("'"&amp;$L11&amp;"'!F23:AJ23")&amp;INDIRECT("'"&amp;$L11&amp;"'!F24:AJ24")&amp;INDIRECT("'"&amp;$L11&amp;"'!F30:AJ30"),0))</f>
        <v>New cost component</v>
      </c>
      <c r="R11" s="210" t="str" cm="1">
        <f t="array" aca="1" ref="R11" ca="1">INDEX(INDIRECT("'"&amp;$L11&amp;"'!F23:AJ38"),MATCH(R$6,INDIRECT("'"&amp;$L11&amp;"'!F23:F38"),0),MATCH($T11&amp;$U11&amp;"Change",INDIRECT("'"&amp;$L11&amp;"'!F23:AJ23")&amp;INDIRECT("'"&amp;$L11&amp;"'!F24:AJ24")&amp;INDIRECT("'"&amp;$L11&amp;"'!F30:AJ30"),0))</f>
        <v>New cost component</v>
      </c>
      <c r="S11" s="147">
        <f t="array" aca="1" ref="S11" ca="1">INDEX(INDIRECT("'"&amp;$L11&amp;"'!$B$6:$F$16"),MATCH("Change from DMO "&amp;PY&amp;" price (%)",INDIRECT("'"&amp;$L11&amp;"'!$B$6:$B$16"),0),MATCH($T11&amp;$U11,INDIRECT("'"&amp;$L11&amp;"'!$B$6:$E$6")&amp;INDIRECT("'"&amp;$L11&amp;"'!$B$7:$E$7"),0))</f>
        <v>9.7011012060828516E-2</v>
      </c>
      <c r="T11" s="70" t="str">
        <f t="shared" si="0"/>
        <v>Residential</v>
      </c>
      <c r="U11" s="70" t="str">
        <f t="shared" si="0"/>
        <v>without CL</v>
      </c>
      <c r="V11" s="3" t="s">
        <v>3</v>
      </c>
      <c r="W11" s="182">
        <f t="array" aca="1" ref="W11" ca="1">INDEX(INDIRECT("'"&amp;$V11&amp;"'!F23:AJ38"),MATCH(W$6,INDIRECT("'"&amp;$V11&amp;"'!F23:F38"),0),MATCH($T11&amp;$U11&amp;"Proportion",INDIRECT("'"&amp;$V11&amp;"'!F23:AJ23")&amp;INDIRECT("'"&amp;$V11&amp;"'!F24:AJ24")&amp;INDIRECT("'"&amp;$V11&amp;"'!F30:AJ30"),0))</f>
        <v>0.49924148925013107</v>
      </c>
      <c r="X11" s="182">
        <f t="array" aca="1" ref="X11" ca="1">INDEX(INDIRECT("'"&amp;$V11&amp;"'!F23:AJ38"),MATCH(X$6,INDIRECT("'"&amp;$V11&amp;"'!F23:F38"),0),MATCH($T11&amp;$U11&amp;"Proportion",INDIRECT("'"&amp;$V11&amp;"'!F23:AJ23")&amp;INDIRECT("'"&amp;$V11&amp;"'!F24:AJ24")&amp;INDIRECT("'"&amp;$V11&amp;"'!F30:AJ30"),0))</f>
        <v>0.21317273203985318</v>
      </c>
      <c r="Y11" s="182">
        <f t="array" aca="1" ref="Y11" ca="1">INDEX(INDIRECT("'"&amp;$V11&amp;"'!F23:AJ38"),MATCH(Y$6,INDIRECT("'"&amp;$V11&amp;"'!F23:F38"),0),MATCH($T11&amp;$U11&amp;"Proportion",INDIRECT("'"&amp;$V11&amp;"'!F23:AJ23")&amp;INDIRECT("'"&amp;$V11&amp;"'!F24:AJ24")&amp;INDIRECT("'"&amp;$V11&amp;"'!F30:AJ30"),0))</f>
        <v>5.052039853172522E-2</v>
      </c>
      <c r="Z11" s="182">
        <f t="array" aca="1" ref="Z11" ca="1">INDEX(INDIRECT("'"&amp;$V11&amp;"'!F23:AJ38"),MATCH(Z$6,INDIRECT("'"&amp;$V11&amp;"'!F23:F38"),0),MATCH($T11&amp;$U11&amp;"Proportion",INDIRECT("'"&amp;$V11&amp;"'!F23:AJ23")&amp;INDIRECT("'"&amp;$V11&amp;"'!F24:AJ24")&amp;INDIRECT("'"&amp;$V11&amp;"'!F30:AJ30"),0))</f>
        <v>0.2370653801782906</v>
      </c>
    </row>
    <row r="12" spans="1:26" ht="12.65" customHeight="1" x14ac:dyDescent="0.35">
      <c r="B12" s="71"/>
      <c r="C12" s="141" t="s">
        <v>144</v>
      </c>
      <c r="D12" s="142">
        <f t="array" aca="1" ref="D12" ca="1">INDEX(INDIRECT("'"&amp;$B8&amp;"'!$B$6:$F$16"),MATCH("Change from DMO "&amp;PY&amp;" price ($)",INDIRECT("'"&amp;$B8&amp;"'!$B$6:$B$16"),0),MATCH(D$6&amp;D$7,INDIRECT("'"&amp;$B8&amp;"'!$B$6:$E$6")&amp;INDIRECT("'"&amp;$B8&amp;"'!$B$7:$E$7"),0))</f>
        <v>119</v>
      </c>
      <c r="E12" s="143" t="str">
        <f t="array" aca="1" ref="E12" ca="1">"("&amp;ROUND(INDEX(INDIRECT("'"&amp;$B8&amp;"'!$B$6:$F$16"),MATCH("Change from DMO "&amp;PY&amp;" price (%)",INDIRECT("'"&amp;$B8&amp;"'!$B$6:$B$16"),0),MATCH(D$6&amp;D$7,INDIRECT("'"&amp;$B8&amp;"'!$B$6:$E$6")&amp;INDIRECT("'"&amp;$B8&amp;"'!$B$7:$E$7"),0))*100,1)&amp;"%)"</f>
        <v>(8.5%)</v>
      </c>
      <c r="F12" s="142">
        <f t="array" aca="1" ref="F12" ca="1">INDEX(INDIRECT("'"&amp;$B8&amp;"'!$B$6:$F$16"),MATCH("Change from DMO "&amp;PY&amp;" price ($)",INDIRECT("'"&amp;$B8&amp;"'!$B$6:$B$16"),0),MATCH(F$6&amp;F$7,INDIRECT("'"&amp;$B8&amp;"'!$B$6:$E$6")&amp;INDIRECT("'"&amp;$B8&amp;"'!$B$7:$E$7"),0))</f>
        <v>210</v>
      </c>
      <c r="G12" s="143" t="str">
        <f t="array" aca="1" ref="G12" ca="1">"("&amp;ROUND(INDEX(INDIRECT("'"&amp;$B8&amp;"'!$B$6:$F$16"),MATCH("Change from DMO "&amp;PY&amp;" price (%)",INDIRECT("'"&amp;$B8&amp;"'!$B$6:$B$16"),0),MATCH(F$6&amp;F$7,INDIRECT("'"&amp;$B8&amp;"'!$B$6:$E$6")&amp;INDIRECT("'"&amp;$B8&amp;"'!$B$7:$E$7"),0))*100,1)&amp;"%)"</f>
        <v>(11%)</v>
      </c>
      <c r="H12" s="208"/>
      <c r="I12" s="209"/>
      <c r="L12" s="3" t="s">
        <v>0</v>
      </c>
      <c r="M12" s="210">
        <f t="array" aca="1" ref="M12" ca="1">INDEX(INDIRECT("'"&amp;$L12&amp;"'!F23:AJ38"),MATCH(M$6,INDIRECT("'"&amp;$L12&amp;"'!F23:F38"),0),MATCH($T12&amp;$U12&amp;"Change",INDIRECT("'"&amp;$L12&amp;"'!F23:AJ23")&amp;INDIRECT("'"&amp;$L12&amp;"'!F24:AJ24")&amp;INDIRECT("'"&amp;$L12&amp;"'!F30:AJ30"),0))</f>
        <v>-7.3634972580959634E-2</v>
      </c>
      <c r="N12" s="210">
        <f t="array" aca="1" ref="N12" ca="1">INDEX(INDIRECT("'"&amp;$L12&amp;"'!F23:AJ38"),MATCH(N$6,INDIRECT("'"&amp;$L12&amp;"'!F23:F38"),0),MATCH($T12&amp;$U12&amp;"Change",INDIRECT("'"&amp;$L12&amp;"'!F23:AJ23")&amp;INDIRECT("'"&amp;$L12&amp;"'!F24:AJ24")&amp;INDIRECT("'"&amp;$L12&amp;"'!F30:AJ30"),0))</f>
        <v>0.49304336079967559</v>
      </c>
      <c r="O12" s="210">
        <f t="array" aca="1" ref="O12" ca="1">INDEX(INDIRECT("'"&amp;$L12&amp;"'!F23:AJ38"),MATCH(O$6,INDIRECT("'"&amp;$L12&amp;"'!F23:F38"),0),MATCH($T12&amp;$U12&amp;"Change",INDIRECT("'"&amp;$L12&amp;"'!F23:AJ23")&amp;INDIRECT("'"&amp;$L12&amp;"'!F24:AJ24")&amp;INDIRECT("'"&amp;$L12&amp;"'!F30:AJ30"),0))</f>
        <v>2.0895522388059806E-2</v>
      </c>
      <c r="P12" s="210" cm="1">
        <f t="array" aca="1" ref="P12" ca="1">INDEX(INDIRECT("'"&amp;$L12&amp;"'!F23:AJ38"),MATCH(P$6,INDIRECT("'"&amp;$L12&amp;"'!F23:F38"),0),MATCH($T12&amp;$U12&amp;"Change",INDIRECT("'"&amp;$L12&amp;"'!F23:AJ23")&amp;INDIRECT("'"&amp;$L12&amp;"'!F24:AJ24")&amp;INDIRECT("'"&amp;$L12&amp;"'!F30:AJ30"),0))</f>
        <v>-1</v>
      </c>
      <c r="Q12" s="210" t="str" cm="1">
        <f t="array" aca="1" ref="Q12" ca="1">INDEX(INDIRECT("'"&amp;$L12&amp;"'!F23:AJ38"),MATCH(Q$6,INDIRECT("'"&amp;$L12&amp;"'!F23:F38"),0),MATCH($T12&amp;$U12&amp;"Change",INDIRECT("'"&amp;$L12&amp;"'!F23:AJ23")&amp;INDIRECT("'"&amp;$L12&amp;"'!F24:AJ24")&amp;INDIRECT("'"&amp;$L12&amp;"'!F30:AJ30"),0))</f>
        <v>New cost component</v>
      </c>
      <c r="R12" s="210" t="str" cm="1">
        <f t="array" aca="1" ref="R12" ca="1">INDEX(INDIRECT("'"&amp;$L12&amp;"'!F23:AJ38"),MATCH(R$6,INDIRECT("'"&amp;$L12&amp;"'!F23:F38"),0),MATCH($T12&amp;$U12&amp;"Change",INDIRECT("'"&amp;$L12&amp;"'!F23:AJ23")&amp;INDIRECT("'"&amp;$L12&amp;"'!F24:AJ24")&amp;INDIRECT("'"&amp;$L12&amp;"'!F30:AJ30"),0))</f>
        <v>New cost component</v>
      </c>
      <c r="S12" s="147">
        <f t="array" aca="1" ref="S12" ca="1">INDEX(INDIRECT("'"&amp;$L12&amp;"'!$B$6:$F$16"),MATCH("Change from DMO "&amp;PY&amp;" price (%)",INDIRECT("'"&amp;$L12&amp;"'!$B$6:$B$16"),0),MATCH($T12&amp;$U12,INDIRECT("'"&amp;$L12&amp;"'!$B$6:$E$6")&amp;INDIRECT("'"&amp;$L12&amp;"'!$B$7:$E$7"),0))</f>
        <v>0.11340206185567014</v>
      </c>
      <c r="T12" s="70" t="str">
        <f t="shared" si="0"/>
        <v>Residential</v>
      </c>
      <c r="U12" s="70" t="str">
        <f t="shared" si="0"/>
        <v>without CL</v>
      </c>
      <c r="V12" s="3" t="s">
        <v>0</v>
      </c>
      <c r="W12" s="182">
        <f t="array" aca="1" ref="W12" ca="1">INDEX(INDIRECT("'"&amp;$V12&amp;"'!F23:AJ38"),MATCH(W$6,INDIRECT("'"&amp;$V12&amp;"'!F23:F38"),0),MATCH($T12&amp;$U12&amp;"Proportion",INDIRECT("'"&amp;$V12&amp;"'!F23:AJ23")&amp;INDIRECT("'"&amp;$V12&amp;"'!F24:AJ24")&amp;INDIRECT("'"&amp;$V12&amp;"'!F30:AJ30"),0))</f>
        <v>0.46512188316151221</v>
      </c>
      <c r="X12" s="182">
        <f t="array" aca="1" ref="X12" ca="1">INDEX(INDIRECT("'"&amp;$V12&amp;"'!F23:AJ38"),MATCH(X$6,INDIRECT("'"&amp;$V12&amp;"'!F23:F38"),0),MATCH($T12&amp;$U12&amp;"Proportion",INDIRECT("'"&amp;$V12&amp;"'!F23:AJ23")&amp;INDIRECT("'"&amp;$V12&amp;"'!F24:AJ24")&amp;INDIRECT("'"&amp;$V12&amp;"'!F30:AJ30"),0))</f>
        <v>0.25745140893470791</v>
      </c>
      <c r="Y12" s="182">
        <f t="array" aca="1" ref="Y12" ca="1">INDEX(INDIRECT("'"&amp;$V12&amp;"'!F23:AJ38"),MATCH(Y$6,INDIRECT("'"&amp;$V12&amp;"'!F23:F38"),0),MATCH($T12&amp;$U12&amp;"Proportion",INDIRECT("'"&amp;$V12&amp;"'!F23:AJ23")&amp;INDIRECT("'"&amp;$V12&amp;"'!F24:AJ24")&amp;INDIRECT("'"&amp;$V12&amp;"'!F30:AJ30"),0))</f>
        <v>5.8250859106529204E-2</v>
      </c>
      <c r="Z12" s="182">
        <f t="array" aca="1" ref="Z12" ca="1">INDEX(INDIRECT("'"&amp;$V12&amp;"'!F23:AJ38"),MATCH(Z$6,INDIRECT("'"&amp;$V12&amp;"'!F23:F38"),0),MATCH($T12&amp;$U12&amp;"Proportion",INDIRECT("'"&amp;$V12&amp;"'!F23:AJ23")&amp;INDIRECT("'"&amp;$V12&amp;"'!F24:AJ24")&amp;INDIRECT("'"&amp;$V12&amp;"'!F30:AJ30"),0))</f>
        <v>0.21917584879725069</v>
      </c>
    </row>
    <row r="13" spans="1:26" x14ac:dyDescent="0.35">
      <c r="B13" s="71"/>
      <c r="C13" s="141"/>
      <c r="D13" s="142"/>
      <c r="E13" s="143"/>
      <c r="F13" s="142"/>
      <c r="G13" s="143"/>
      <c r="H13" s="142"/>
      <c r="I13" s="144"/>
      <c r="L13" s="3" t="s">
        <v>5</v>
      </c>
      <c r="M13" s="210">
        <f t="array" aca="1" ref="M13" ca="1">INDEX(INDIRECT("'"&amp;$L13&amp;"'!F23:AJ38"),MATCH(M$6,INDIRECT("'"&amp;$L13&amp;"'!F23:F38"),0),MATCH($T13&amp;$U13&amp;"Change",INDIRECT("'"&amp;$L13&amp;"'!F23:AJ23")&amp;INDIRECT("'"&amp;$L13&amp;"'!F24:AJ24")&amp;INDIRECT("'"&amp;$L13&amp;"'!F30:AJ30"),0))</f>
        <v>9.7007165714193544E-3</v>
      </c>
      <c r="N13" s="210">
        <f t="array" aca="1" ref="N13" ca="1">INDEX(INDIRECT("'"&amp;$L13&amp;"'!F23:AJ38"),MATCH(N$6,INDIRECT("'"&amp;$L13&amp;"'!F23:F38"),0),MATCH($T13&amp;$U13&amp;"Change",INDIRECT("'"&amp;$L13&amp;"'!F23:AJ23")&amp;INDIRECT("'"&amp;$L13&amp;"'!F24:AJ24")&amp;INDIRECT("'"&amp;$L13&amp;"'!F30:AJ30"),0))</f>
        <v>0.12605675064869848</v>
      </c>
      <c r="O13" s="210">
        <f t="array" aca="1" ref="O13" ca="1">INDEX(INDIRECT("'"&amp;$L13&amp;"'!F23:AJ38"),MATCH(O$6,INDIRECT("'"&amp;$L13&amp;"'!F23:F38"),0),MATCH($T13&amp;$U13&amp;"Change",INDIRECT("'"&amp;$L13&amp;"'!F23:AJ23")&amp;INDIRECT("'"&amp;$L13&amp;"'!F24:AJ24")&amp;INDIRECT("'"&amp;$L13&amp;"'!F30:AJ30"),0))</f>
        <v>-4.9043648847491017E-4</v>
      </c>
      <c r="P13" s="210" cm="1">
        <f t="array" aca="1" ref="P13" ca="1">INDEX(INDIRECT("'"&amp;$L13&amp;"'!F23:AJ38"),MATCH(P$6,INDIRECT("'"&amp;$L13&amp;"'!F23:F38"),0),MATCH($T13&amp;$U13&amp;"Change",INDIRECT("'"&amp;$L13&amp;"'!F23:AJ23")&amp;INDIRECT("'"&amp;$L13&amp;"'!F24:AJ24")&amp;INDIRECT("'"&amp;$L13&amp;"'!F30:AJ30"),0))</f>
        <v>-1</v>
      </c>
      <c r="Q13" s="210" t="str" cm="1">
        <f t="array" aca="1" ref="Q13" ca="1">INDEX(INDIRECT("'"&amp;$L13&amp;"'!F23:AJ38"),MATCH(Q$6,INDIRECT("'"&amp;$L13&amp;"'!F23:F38"),0),MATCH($T13&amp;$U13&amp;"Change",INDIRECT("'"&amp;$L13&amp;"'!F23:AJ23")&amp;INDIRECT("'"&amp;$L13&amp;"'!F24:AJ24")&amp;INDIRECT("'"&amp;$L13&amp;"'!F30:AJ30"),0))</f>
        <v>New cost component</v>
      </c>
      <c r="R13" s="210" t="str" cm="1">
        <f t="array" aca="1" ref="R13" ca="1">INDEX(INDIRECT("'"&amp;$L13&amp;"'!F23:AJ38"),MATCH(R$6,INDIRECT("'"&amp;$L13&amp;"'!F23:F38"),0),MATCH($T13&amp;$U13&amp;"Change",INDIRECT("'"&amp;$L13&amp;"'!F23:AJ23")&amp;INDIRECT("'"&amp;$L13&amp;"'!F24:AJ24")&amp;INDIRECT("'"&amp;$L13&amp;"'!F30:AJ30"),0))</f>
        <v>New cost component</v>
      </c>
      <c r="S13" s="147" cm="1">
        <f t="array" aca="1" ref="S13" ca="1">INDEX(INDIRECT("'"&amp;$L13&amp;"'!$B$6:$F$16"),MATCH("Change from DMO "&amp;PY&amp;" price (%)",INDIRECT("'"&amp;$L13&amp;"'!$B$6:$B$16"),0),MATCH($T13&amp;$U13,INDIRECT("'"&amp;$L13&amp;"'!$B$6:$E$6")&amp;INDIRECT("'"&amp;$L13&amp;"'!$B$7:$E$7"),0))</f>
        <v>7.2261072261072368E-2</v>
      </c>
      <c r="T13" s="70" t="str">
        <f t="shared" si="0"/>
        <v>Residential</v>
      </c>
      <c r="U13" s="70" t="str">
        <f t="shared" si="0"/>
        <v>without CL</v>
      </c>
      <c r="V13" s="3" t="s">
        <v>5</v>
      </c>
      <c r="W13" s="182">
        <f t="array" aca="1" ref="W13" ca="1">INDEX(INDIRECT("'"&amp;$V13&amp;"'!F23:AJ38"),MATCH(W$6,INDIRECT("'"&amp;$V13&amp;"'!F23:F38"),0),MATCH($T13&amp;$U13&amp;"Proportion",INDIRECT("'"&amp;$V13&amp;"'!F23:AJ23")&amp;INDIRECT("'"&amp;$V13&amp;"'!F24:AJ24")&amp;INDIRECT("'"&amp;$V13&amp;"'!F30:AJ30"),0))</f>
        <v>0.47716538461538466</v>
      </c>
      <c r="X13" s="182">
        <f t="array" aca="1" ref="X13" ca="1">INDEX(INDIRECT("'"&amp;$V13&amp;"'!F23:AJ38"),MATCH(X$6,INDIRECT("'"&amp;$V13&amp;"'!F23:F38"),0),MATCH($T13&amp;$U13&amp;"Proportion",INDIRECT("'"&amp;$V13&amp;"'!F23:AJ23")&amp;INDIRECT("'"&amp;$V13&amp;"'!F24:AJ24")&amp;INDIRECT("'"&amp;$V13&amp;"'!F30:AJ30"),0))</f>
        <v>0.30633333333333335</v>
      </c>
      <c r="Y13" s="182">
        <f t="array" aca="1" ref="Y13" ca="1">INDEX(INDIRECT("'"&amp;$V13&amp;"'!F23:AJ38"),MATCH(Y$6,INDIRECT("'"&amp;$V13&amp;"'!F23:F38"),0),MATCH($T13&amp;$U13&amp;"Proportion",INDIRECT("'"&amp;$V13&amp;"'!F23:AJ23")&amp;INDIRECT("'"&amp;$V13&amp;"'!F24:AJ24")&amp;INDIRECT("'"&amp;$V13&amp;"'!F30:AJ30"),0))</f>
        <v>5.2282051282051288E-2</v>
      </c>
      <c r="Z13" s="182">
        <f t="array" aca="1" ref="Z13" ca="1">INDEX(INDIRECT("'"&amp;$V13&amp;"'!F23:AJ38"),MATCH(Z$6,INDIRECT("'"&amp;$V13&amp;"'!F23:F38"),0),MATCH($T13&amp;$U13&amp;"Proportion",INDIRECT("'"&amp;$V13&amp;"'!F23:AJ23")&amp;INDIRECT("'"&amp;$V13&amp;"'!F24:AJ24")&amp;INDIRECT("'"&amp;$V13&amp;"'!F30:AJ30"),0))</f>
        <v>0.16421923076923084</v>
      </c>
    </row>
    <row r="14" spans="1:26" s="44" customFormat="1" ht="30" customHeight="1" x14ac:dyDescent="0.35">
      <c r="B14" s="73" t="s">
        <v>4</v>
      </c>
      <c r="C14" s="131" t="s">
        <v>80</v>
      </c>
      <c r="D14" s="310">
        <f t="array" aca="1" ref="D14" ca="1">INDEX(INDIRECT("'"&amp;$B14&amp;"'!$B$6:$F$16"),MATCH("DMO "&amp;FY&amp;" price ($ pa, inc GST)",INDIRECT("'"&amp;$B14&amp;"'!$B$6:$B$16"),0),MATCH(D$6&amp;D$7,INDIRECT("'"&amp;$B14&amp;"'!$B$6:$E$6")&amp;INDIRECT("'"&amp;$B14&amp;"'!$B$7:$E$7"),0))</f>
        <v>1836</v>
      </c>
      <c r="E14" s="311"/>
      <c r="F14" s="310">
        <f t="array" aca="1" ref="F14" ca="1">INDEX(INDIRECT("'"&amp;$B14&amp;"'!$B$6:$F$16"),MATCH("DMO "&amp;FY&amp;" price ($ pa, inc GST)",INDIRECT("'"&amp;$B14&amp;"'!$B$6:$B$16"),0),MATCH(F$6&amp;F$7,INDIRECT("'"&amp;$B14&amp;"'!$B$6:$E$6")&amp;INDIRECT("'"&amp;$B14&amp;"'!$B$7:$E$7"),0))</f>
        <v>2383</v>
      </c>
      <c r="G14" s="311"/>
      <c r="H14" s="310">
        <f t="array" aca="1" ref="H14" ca="1">INDEX(INDIRECT("'"&amp;$B14&amp;"'!$B$6:$F$16"),MATCH("DMO "&amp;FY&amp;" price ($ pa, inc GST)",INDIRECT("'"&amp;$B14&amp;"'!$B$6:$B$16"),0),MATCH(H$6&amp;H$7,INDIRECT("'"&amp;$B14&amp;"'!$B$6:$E$6")&amp;INDIRECT("'"&amp;$B14&amp;"'!$B$7:$E$7"),0))</f>
        <v>3782</v>
      </c>
      <c r="I14" s="312"/>
      <c r="J14" s="175"/>
      <c r="K14" s="175"/>
      <c r="L14" s="5" t="str">
        <f>T14&amp;" "&amp;U14</f>
        <v>Residential with CL</v>
      </c>
      <c r="M14" s="148"/>
      <c r="N14" s="148"/>
      <c r="O14" s="164"/>
      <c r="P14" s="164"/>
      <c r="Q14" s="213"/>
      <c r="R14" s="213"/>
      <c r="S14" s="164"/>
      <c r="T14" s="201" t="s">
        <v>6</v>
      </c>
      <c r="U14" s="201" t="s">
        <v>137</v>
      </c>
      <c r="V14" s="5" t="str">
        <f>L14</f>
        <v>Residential with CL</v>
      </c>
      <c r="W14" s="148"/>
      <c r="X14" s="148"/>
      <c r="Y14" s="164"/>
      <c r="Z14" s="178"/>
    </row>
    <row r="15" spans="1:26" ht="12.65" customHeight="1" x14ac:dyDescent="0.35">
      <c r="B15" s="74" t="s">
        <v>4</v>
      </c>
      <c r="C15" s="322" t="s">
        <v>158</v>
      </c>
      <c r="D15" s="308" t="str">
        <f t="array" aca="1" ref="D15" ca="1">INDEX(INDIRECT("'"&amp;$B14&amp;"'!$B$6:$F$15"),MATCH("Annual usage (kWh)",INDIRECT("'"&amp;$B14&amp;"'!$B$6:$B$15"),0),MATCH(D$6&amp;D$7,INDIRECT("'"&amp;$B14&amp;"'!$B$6:$E$6")&amp;INDIRECT("'"&amp;$B14&amp;"'!$B$7:$E$7"),0))&amp;" kWh"</f>
        <v>4900 kWh</v>
      </c>
      <c r="E15" s="324"/>
      <c r="F15" s="305" t="str">
        <f t="array" aca="1" ref="F15" ca="1">"Flat rate "&amp;INDEX(INDIRECT("'"&amp;$B14&amp;"'!$B$6:$F$15"),MATCH("Flat rate usage (kWh)",INDIRECT("'"&amp;$B14&amp;"'!$B$6:$B$15"),0),MATCH(F$6&amp;F$7,INDIRECT("'"&amp;$B14&amp;"'!$B$6:$E$6")&amp;INDIRECT("'"&amp;$B14&amp;"'!$B$7:$E$7"),0))&amp;" kWh"</f>
        <v>Flat rate 5200 kWh</v>
      </c>
      <c r="G15" s="306"/>
      <c r="H15" s="308" t="str">
        <f t="array" aca="1" ref="H15" ca="1">INDEX(INDIRECT("'"&amp;$B14&amp;"'!$B$6:$F$15"),MATCH("Annual usage (kWh)",INDIRECT("'"&amp;$B14&amp;"'!$B$6:$B$15"),0),MATCH(H$6&amp;H$7,INDIRECT("'"&amp;$B14&amp;"'!$B$6:$E$6")&amp;INDIRECT("'"&amp;$B14&amp;"'!$B$7:$E$7"),0))&amp;" kWh"</f>
        <v>10000 kWh</v>
      </c>
      <c r="I15" s="309"/>
      <c r="L15" s="3" t="s">
        <v>2</v>
      </c>
      <c r="M15" s="210">
        <f t="array" aca="1" ref="M15" ca="1">INDEX(INDIRECT("'"&amp;$L15&amp;"'!F23:AJ38"),MATCH(M$6,INDIRECT("'"&amp;$L15&amp;"'!F23:F38"),0),MATCH($T15&amp;$U15&amp;"Change",INDIRECT("'"&amp;$L15&amp;"'!F23:AJ23")&amp;INDIRECT("'"&amp;$L15&amp;"'!F24:AJ24")&amp;INDIRECT("'"&amp;$L15&amp;"'!F30:AJ30"),0))</f>
        <v>-3.1289795682663435E-2</v>
      </c>
      <c r="N15" s="210">
        <f t="array" aca="1" ref="N15" ca="1">INDEX(INDIRECT("'"&amp;$L15&amp;"'!F23:AJ38"),MATCH(N$6,INDIRECT("'"&amp;$L15&amp;"'!F23:F38"),0),MATCH($T15&amp;$U15&amp;"Change",INDIRECT("'"&amp;$L15&amp;"'!F23:AJ23")&amp;INDIRECT("'"&amp;$L15&amp;"'!F24:AJ24")&amp;INDIRECT("'"&amp;$L15&amp;"'!F30:AJ30"),0))</f>
        <v>0.4103540679124591</v>
      </c>
      <c r="O15" s="210">
        <f t="array" aca="1" ref="O15" ca="1">INDEX(INDIRECT("'"&amp;$L15&amp;"'!F23:AJ38"),MATCH(O$6,INDIRECT("'"&amp;$L15&amp;"'!F23:F38"),0),MATCH($T15&amp;$U15&amp;"Change",INDIRECT("'"&amp;$L15&amp;"'!F23:AJ23")&amp;INDIRECT("'"&amp;$L15&amp;"'!F24:AJ24")&amp;INDIRECT("'"&amp;$L15&amp;"'!F30:AJ30"),0))</f>
        <v>7.8861838474274748E-2</v>
      </c>
      <c r="P15" s="210" cm="1">
        <f t="array" aca="1" ref="P15" ca="1">INDEX(INDIRECT("'"&amp;$L15&amp;"'!F23:AJ38"),MATCH(P$6,INDIRECT("'"&amp;$L15&amp;"'!F23:F38"),0),MATCH($T15&amp;$U15&amp;"Change",INDIRECT("'"&amp;$L15&amp;"'!F23:AJ23")&amp;INDIRECT("'"&amp;$L15&amp;"'!F24:AJ24")&amp;INDIRECT("'"&amp;$L15&amp;"'!F30:AJ30"),0))</f>
        <v>-1</v>
      </c>
      <c r="Q15" s="210" t="str" cm="1">
        <f t="array" aca="1" ref="Q15" ca="1">INDEX(INDIRECT("'"&amp;$L15&amp;"'!F23:AJ38"),MATCH(Q$6,INDIRECT("'"&amp;$L15&amp;"'!F23:F38"),0),MATCH($T15&amp;$U15&amp;"Change",INDIRECT("'"&amp;$L15&amp;"'!F23:AJ23")&amp;INDIRECT("'"&amp;$L15&amp;"'!F24:AJ24")&amp;INDIRECT("'"&amp;$L15&amp;"'!F30:AJ30"),0))</f>
        <v>New cost component</v>
      </c>
      <c r="R15" s="210" t="str" cm="1">
        <f t="array" aca="1" ref="R15" ca="1">INDEX(INDIRECT("'"&amp;$L15&amp;"'!F23:AJ38"),MATCH(R$6,INDIRECT("'"&amp;$L15&amp;"'!F23:F38"),0),MATCH($T15&amp;$U15&amp;"Change",INDIRECT("'"&amp;$L15&amp;"'!F23:AJ23")&amp;INDIRECT("'"&amp;$L15&amp;"'!F24:AJ24")&amp;INDIRECT("'"&amp;$L15&amp;"'!F30:AJ30"),0))</f>
        <v>New cost component</v>
      </c>
      <c r="S15" s="147">
        <f t="array" aca="1" ref="S15" ca="1">INDEX(INDIRECT("'"&amp;$L15&amp;"'!$B$6:$F$16"),MATCH("Change from DMO "&amp;PY&amp;" price (%)",INDIRECT("'"&amp;$L15&amp;"'!$B$6:$B$16"),0),MATCH($T15&amp;$U15,INDIRECT("'"&amp;$L15&amp;"'!$B$6:$E$6")&amp;INDIRECT("'"&amp;$L15&amp;"'!$B$7:$E$7"),0))</f>
        <v>0.10983263598326354</v>
      </c>
      <c r="T15" s="70" t="str">
        <f t="shared" ref="T15:U19" si="1">T14</f>
        <v>Residential</v>
      </c>
      <c r="U15" s="70" t="str">
        <f t="shared" si="1"/>
        <v>with CL</v>
      </c>
      <c r="V15" s="3" t="s">
        <v>2</v>
      </c>
      <c r="W15" s="182">
        <f t="array" aca="1" ref="W15" ca="1">INDEX(INDIRECT("'"&amp;$V15&amp;"'!F23:AJ38"),MATCH(W$6,INDIRECT("'"&amp;$V15&amp;"'!F23:F38"),0),MATCH($T15&amp;$U15&amp;"Proportion",INDIRECT("'"&amp;$V15&amp;"'!F23:AJ23")&amp;INDIRECT("'"&amp;$V15&amp;"'!F24:AJ24")&amp;INDIRECT("'"&amp;$V15&amp;"'!F30:AJ30"),0))</f>
        <v>0.38160325779027204</v>
      </c>
      <c r="X15" s="182">
        <f t="array" aca="1" ref="X15" ca="1">INDEX(INDIRECT("'"&amp;$V15&amp;"'!F23:AJ38"),MATCH(X$6,INDIRECT("'"&amp;$V15&amp;"'!F23:F38"),0),MATCH($T15&amp;$U15&amp;"Proportion",INDIRECT("'"&amp;$V15&amp;"'!F23:AJ23")&amp;INDIRECT("'"&amp;$V15&amp;"'!F24:AJ24")&amp;INDIRECT("'"&amp;$V15&amp;"'!F30:AJ30"),0))</f>
        <v>0.31126306485355643</v>
      </c>
      <c r="Y15" s="182">
        <f t="array" aca="1" ref="Y15" ca="1">INDEX(INDIRECT("'"&amp;$V15&amp;"'!F23:AJ38"),MATCH(Y$6,INDIRECT("'"&amp;$V15&amp;"'!F23:F38"),0),MATCH($T15&amp;$U15&amp;"Proportion",INDIRECT("'"&amp;$V15&amp;"'!F23:AJ23")&amp;INDIRECT("'"&amp;$V15&amp;"'!F24:AJ24")&amp;INDIRECT("'"&amp;$V15&amp;"'!F30:AJ30"),0))</f>
        <v>7.5053138075313816E-2</v>
      </c>
      <c r="Z15" s="182">
        <f t="array" aca="1" ref="Z15" ca="1">INDEX(INDIRECT("'"&amp;$V15&amp;"'!F23:AJ38"),MATCH(Z$6,INDIRECT("'"&amp;$V15&amp;"'!F23:F38"),0),MATCH($T15&amp;$U15&amp;"Proportion",INDIRECT("'"&amp;$V15&amp;"'!F23:AJ23")&amp;INDIRECT("'"&amp;$V15&amp;"'!F24:AJ24")&amp;INDIRECT("'"&amp;$V15&amp;"'!F30:AJ30"),0))</f>
        <v>0.23208053928085762</v>
      </c>
    </row>
    <row r="16" spans="1:26" ht="12.65" customHeight="1" x14ac:dyDescent="0.35">
      <c r="B16" s="74"/>
      <c r="C16" s="323"/>
      <c r="D16" s="135"/>
      <c r="E16" s="136"/>
      <c r="F16" s="305" t="str">
        <f t="array" aca="1" ref="F16" ca="1">"+ CL "&amp;INDEX(INDIRECT("'"&amp;$B14&amp;"'!$B$6:$F$15"),MATCH("Controlled load usage (kWh)",INDIRECT("'"&amp;$B14&amp;"'!$B$6:$B$15"),0),MATCH(F$6&amp;F$7,INDIRECT("'"&amp;$B14&amp;"'!$B$6:$E$6")&amp;INDIRECT("'"&amp;$B14&amp;"'!$B$7:$E$7"),0))&amp;" kWh"</f>
        <v>+ CL 2200 kWh</v>
      </c>
      <c r="G16" s="306"/>
      <c r="H16" s="135"/>
      <c r="I16" s="125"/>
      <c r="L16" s="3" t="s">
        <v>4</v>
      </c>
      <c r="M16" s="210">
        <f t="array" aca="1" ref="M16" ca="1">INDEX(INDIRECT("'"&amp;$L16&amp;"'!F23:AJ38"),MATCH(M$6,INDIRECT("'"&amp;$L16&amp;"'!F23:F38"),0),MATCH($T16&amp;$U16&amp;"Change",INDIRECT("'"&amp;$L16&amp;"'!F23:AJ23")&amp;INDIRECT("'"&amp;$L16&amp;"'!F24:AJ24")&amp;INDIRECT("'"&amp;$L16&amp;"'!F30:AJ30"),0))</f>
        <v>5.8333258422941014E-2</v>
      </c>
      <c r="N16" s="210">
        <f t="array" aca="1" ref="N16" ca="1">INDEX(INDIRECT("'"&amp;$L16&amp;"'!F23:AJ38"),MATCH(N$6,INDIRECT("'"&amp;$L16&amp;"'!F23:F38"),0),MATCH($T16&amp;$U16&amp;"Change",INDIRECT("'"&amp;$L16&amp;"'!F23:AJ23")&amp;INDIRECT("'"&amp;$L16&amp;"'!F24:AJ24")&amp;INDIRECT("'"&amp;$L16&amp;"'!F30:AJ30"),0))</f>
        <v>0.39822683661299019</v>
      </c>
      <c r="O16" s="210">
        <f t="array" aca="1" ref="O16" ca="1">INDEX(INDIRECT("'"&amp;$L16&amp;"'!F23:AJ38"),MATCH(O$6,INDIRECT("'"&amp;$L16&amp;"'!F23:F38"),0),MATCH($T16&amp;$U16&amp;"Change",INDIRECT("'"&amp;$L16&amp;"'!F23:AJ23")&amp;INDIRECT("'"&amp;$L16&amp;"'!F24:AJ24")&amp;INDIRECT("'"&amp;$L16&amp;"'!F30:AJ30"),0))</f>
        <v>7.8197824961159901E-2</v>
      </c>
      <c r="P16" s="210" cm="1">
        <f t="array" aca="1" ref="P16" ca="1">INDEX(INDIRECT("'"&amp;$L16&amp;"'!F23:AJ38"),MATCH(P$6,INDIRECT("'"&amp;$L16&amp;"'!F23:F38"),0),MATCH($T16&amp;$U16&amp;"Change",INDIRECT("'"&amp;$L16&amp;"'!F23:AJ23")&amp;INDIRECT("'"&amp;$L16&amp;"'!F24:AJ24")&amp;INDIRECT("'"&amp;$L16&amp;"'!F30:AJ30"),0))</f>
        <v>-1</v>
      </c>
      <c r="Q16" s="210" t="str" cm="1">
        <f t="array" aca="1" ref="Q16" ca="1">INDEX(INDIRECT("'"&amp;$L16&amp;"'!F23:AJ38"),MATCH(Q$6,INDIRECT("'"&amp;$L16&amp;"'!F23:F38"),0),MATCH($T16&amp;$U16&amp;"Change",INDIRECT("'"&amp;$L16&amp;"'!F23:AJ23")&amp;INDIRECT("'"&amp;$L16&amp;"'!F24:AJ24")&amp;INDIRECT("'"&amp;$L16&amp;"'!F30:AJ30"),0))</f>
        <v>New cost component</v>
      </c>
      <c r="R16" s="210" t="str" cm="1">
        <f t="array" aca="1" ref="R16" ca="1">INDEX(INDIRECT("'"&amp;$L16&amp;"'!F23:AJ38"),MATCH(R$6,INDIRECT("'"&amp;$L16&amp;"'!F23:F38"),0),MATCH($T16&amp;$U16&amp;"Change",INDIRECT("'"&amp;$L16&amp;"'!F23:AJ23")&amp;INDIRECT("'"&amp;$L16&amp;"'!F24:AJ24")&amp;INDIRECT("'"&amp;$L16&amp;"'!F30:AJ30"),0))</f>
        <v>New cost component</v>
      </c>
      <c r="S16" s="147">
        <f t="array" aca="1" ref="S16" ca="1">INDEX(INDIRECT("'"&amp;$L16&amp;"'!$B$6:$F$16"),MATCH("Change from DMO "&amp;PY&amp;" price (%)",INDIRECT("'"&amp;$L16&amp;"'!$B$6:$B$16"),0),MATCH($T16&amp;$U16,INDIRECT("'"&amp;$L16&amp;"'!$B$6:$E$6")&amp;INDIRECT("'"&amp;$L16&amp;"'!$B$7:$E$7"),0))</f>
        <v>0.18321747765640506</v>
      </c>
      <c r="T16" s="70" t="str">
        <f t="shared" si="1"/>
        <v>Residential</v>
      </c>
      <c r="U16" s="70" t="str">
        <f t="shared" si="1"/>
        <v>with CL</v>
      </c>
      <c r="V16" s="3" t="s">
        <v>4</v>
      </c>
      <c r="W16" s="182">
        <f t="array" aca="1" ref="W16" ca="1">INDEX(INDIRECT("'"&amp;$V16&amp;"'!F23:AJ38"),MATCH(W$6,INDIRECT("'"&amp;$V16&amp;"'!F23:F38"),0),MATCH($T16&amp;$U16&amp;"Proportion",INDIRECT("'"&amp;$V16&amp;"'!F23:AJ23")&amp;INDIRECT("'"&amp;$V16&amp;"'!F24:AJ24")&amp;INDIRECT("'"&amp;$V16&amp;"'!F30:AJ30"),0))</f>
        <v>0.36139393664349556</v>
      </c>
      <c r="X16" s="182">
        <f t="array" aca="1" ref="X16" ca="1">INDEX(INDIRECT("'"&amp;$V16&amp;"'!F23:AJ38"),MATCH(X$6,INDIRECT("'"&amp;$V16&amp;"'!F23:F38"),0),MATCH($T16&amp;$U16&amp;"Proportion",INDIRECT("'"&amp;$V16&amp;"'!F23:AJ23")&amp;INDIRECT("'"&amp;$V16&amp;"'!F24:AJ24")&amp;INDIRECT("'"&amp;$V16&amp;"'!F30:AJ30"),0))</f>
        <v>0.35077765640516384</v>
      </c>
      <c r="Y16" s="182">
        <f t="array" aca="1" ref="Y16" ca="1">INDEX(INDIRECT("'"&amp;$V16&amp;"'!F23:AJ38"),MATCH(Y$6,INDIRECT("'"&amp;$V16&amp;"'!F23:F38"),0),MATCH($T16&amp;$U16&amp;"Proportion",INDIRECT("'"&amp;$V16&amp;"'!F23:AJ23")&amp;INDIRECT("'"&amp;$V16&amp;"'!F24:AJ24")&amp;INDIRECT("'"&amp;$V16&amp;"'!F30:AJ30"),0))</f>
        <v>7.804538232373387E-2</v>
      </c>
      <c r="Z16" s="182">
        <f t="array" aca="1" ref="Z16" ca="1">INDEX(INDIRECT("'"&amp;$V16&amp;"'!F23:AJ38"),MATCH(Z$6,INDIRECT("'"&amp;$V16&amp;"'!F23:F38"),0),MATCH($T16&amp;$U16&amp;"Proportion",INDIRECT("'"&amp;$V16&amp;"'!F23:AJ23")&amp;INDIRECT("'"&amp;$V16&amp;"'!F24:AJ24")&amp;INDIRECT("'"&amp;$V16&amp;"'!F30:AJ30"),0))</f>
        <v>0.20978302462760665</v>
      </c>
    </row>
    <row r="17" spans="2:26" ht="12.65" customHeight="1" x14ac:dyDescent="0.35">
      <c r="B17" s="74"/>
      <c r="C17" s="154"/>
      <c r="D17" s="155"/>
      <c r="E17" s="156"/>
      <c r="F17" s="160"/>
      <c r="G17" s="161"/>
      <c r="H17" s="155"/>
      <c r="I17" s="162"/>
      <c r="L17" s="3" t="s">
        <v>3</v>
      </c>
      <c r="M17" s="210">
        <f t="array" aca="1" ref="M17" ca="1">INDEX(INDIRECT("'"&amp;$L17&amp;"'!F23:AJ38"),MATCH(M$6,INDIRECT("'"&amp;$L17&amp;"'!F23:F38"),0),MATCH($T17&amp;$U17&amp;"Change",INDIRECT("'"&amp;$L17&amp;"'!F23:AJ23")&amp;INDIRECT("'"&amp;$L17&amp;"'!F24:AJ24")&amp;INDIRECT("'"&amp;$L17&amp;"'!F30:AJ30"),0))</f>
        <v>2.9023991233947832E-2</v>
      </c>
      <c r="N17" s="210">
        <f t="array" aca="1" ref="N17" ca="1">INDEX(INDIRECT("'"&amp;$L17&amp;"'!F23:AJ38"),MATCH(N$6,INDIRECT("'"&amp;$L17&amp;"'!F23:F38"),0),MATCH($T17&amp;$U17&amp;"Change",INDIRECT("'"&amp;$L17&amp;"'!F23:AJ23")&amp;INDIRECT("'"&amp;$L17&amp;"'!F24:AJ24")&amp;INDIRECT("'"&amp;$L17&amp;"'!F30:AJ30"),0))</f>
        <v>0.40514197761046034</v>
      </c>
      <c r="O17" s="210">
        <f t="array" aca="1" ref="O17" ca="1">INDEX(INDIRECT("'"&amp;$L17&amp;"'!F23:AJ38"),MATCH(O$6,INDIRECT("'"&amp;$L17&amp;"'!F23:F38"),0),MATCH($T17&amp;$U17&amp;"Change",INDIRECT("'"&amp;$L17&amp;"'!F23:AJ23")&amp;INDIRECT("'"&amp;$L17&amp;"'!F24:AJ24")&amp;INDIRECT("'"&amp;$L17&amp;"'!F30:AJ30"),0))</f>
        <v>7.4054621848739455E-2</v>
      </c>
      <c r="P17" s="210" cm="1">
        <f t="array" aca="1" ref="P17" ca="1">INDEX(INDIRECT("'"&amp;$L17&amp;"'!F23:AJ38"),MATCH(P$6,INDIRECT("'"&amp;$L17&amp;"'!F23:F38"),0),MATCH($T17&amp;$U17&amp;"Change",INDIRECT("'"&amp;$L17&amp;"'!F23:AJ23")&amp;INDIRECT("'"&amp;$L17&amp;"'!F24:AJ24")&amp;INDIRECT("'"&amp;$L17&amp;"'!F30:AJ30"),0))</f>
        <v>-1</v>
      </c>
      <c r="Q17" s="210" t="str" cm="1">
        <f t="array" aca="1" ref="Q17" ca="1">INDEX(INDIRECT("'"&amp;$L17&amp;"'!F23:AJ38"),MATCH(Q$6,INDIRECT("'"&amp;$L17&amp;"'!F23:F38"),0),MATCH($T17&amp;$U17&amp;"Change",INDIRECT("'"&amp;$L17&amp;"'!F23:AJ23")&amp;INDIRECT("'"&amp;$L17&amp;"'!F24:AJ24")&amp;INDIRECT("'"&amp;$L17&amp;"'!F30:AJ30"),0))</f>
        <v>New cost component</v>
      </c>
      <c r="R17" s="210" t="str" cm="1">
        <f t="array" aca="1" ref="R17" ca="1">INDEX(INDIRECT("'"&amp;$L17&amp;"'!F23:AJ38"),MATCH(R$6,INDIRECT("'"&amp;$L17&amp;"'!F23:F38"),0),MATCH($T17&amp;$U17&amp;"Change",INDIRECT("'"&amp;$L17&amp;"'!F23:AJ23")&amp;INDIRECT("'"&amp;$L17&amp;"'!F24:AJ24")&amp;INDIRECT("'"&amp;$L17&amp;"'!F30:AJ30"),0))</f>
        <v>New cost component</v>
      </c>
      <c r="S17" s="147">
        <f t="array" aca="1" ref="S17" ca="1">INDEX(INDIRECT("'"&amp;$L17&amp;"'!$B$6:$F$16"),MATCH("Change from DMO "&amp;PY&amp;" price (%)",INDIRECT("'"&amp;$L17&amp;"'!$B$6:$B$16"),0),MATCH($T17&amp;$U17,INDIRECT("'"&amp;$L17&amp;"'!$B$6:$E$6")&amp;INDIRECT("'"&amp;$L17&amp;"'!$B$7:$E$7"),0))</f>
        <v>9.643328929986783E-2</v>
      </c>
      <c r="T17" s="70" t="str">
        <f t="shared" si="1"/>
        <v>Residential</v>
      </c>
      <c r="U17" s="70" t="str">
        <f t="shared" si="1"/>
        <v>with CL</v>
      </c>
      <c r="V17" s="3" t="s">
        <v>3</v>
      </c>
      <c r="W17" s="182">
        <f t="array" aca="1" ref="W17" ca="1">INDEX(INDIRECT("'"&amp;$V17&amp;"'!F23:AJ38"),MATCH(W$6,INDIRECT("'"&amp;$V17&amp;"'!F23:F38"),0),MATCH($T17&amp;$U17&amp;"Proportion",INDIRECT("'"&amp;$V17&amp;"'!F23:AJ23")&amp;INDIRECT("'"&amp;$V17&amp;"'!F24:AJ24")&amp;INDIRECT("'"&amp;$V17&amp;"'!F30:AJ30"),0))</f>
        <v>0.47089627300748571</v>
      </c>
      <c r="X17" s="182">
        <f t="array" aca="1" ref="X17" ca="1">INDEX(INDIRECT("'"&amp;$V17&amp;"'!F23:AJ38"),MATCH(X$6,INDIRECT("'"&amp;$V17&amp;"'!F23:F38"),0),MATCH($T17&amp;$U17&amp;"Proportion",INDIRECT("'"&amp;$V17&amp;"'!F23:AJ23")&amp;INDIRECT("'"&amp;$V17&amp;"'!F24:AJ24")&amp;INDIRECT("'"&amp;$V17&amp;"'!F30:AJ30"),0))</f>
        <v>0.2442009687362395</v>
      </c>
      <c r="Y17" s="182">
        <f t="array" aca="1" ref="Y17" ca="1">INDEX(INDIRECT("'"&amp;$V17&amp;"'!F23:AJ38"),MATCH(Y$6,INDIRECT("'"&amp;$V17&amp;"'!F23:F38"),0),MATCH($T17&amp;$U17&amp;"Proportion",INDIRECT("'"&amp;$V17&amp;"'!F23:AJ23")&amp;INDIRECT("'"&amp;$V17&amp;"'!F24:AJ24")&amp;INDIRECT("'"&amp;$V17&amp;"'!F30:AJ30"),0))</f>
        <v>6.0867635402906212E-2</v>
      </c>
      <c r="Z17" s="182">
        <f t="array" aca="1" ref="Z17" ca="1">INDEX(INDIRECT("'"&amp;$V17&amp;"'!F23:AJ38"),MATCH(Z$6,INDIRECT("'"&amp;$V17&amp;"'!F23:F38"),0),MATCH($T17&amp;$U17&amp;"Proportion",INDIRECT("'"&amp;$V17&amp;"'!F23:AJ23")&amp;INDIRECT("'"&amp;$V17&amp;"'!F24:AJ24")&amp;INDIRECT("'"&amp;$V17&amp;"'!F30:AJ30"),0))</f>
        <v>0.22403512285336866</v>
      </c>
    </row>
    <row r="18" spans="2:26" ht="12.65" customHeight="1" x14ac:dyDescent="0.35">
      <c r="B18" s="74"/>
      <c r="C18" s="137" t="s">
        <v>144</v>
      </c>
      <c r="D18" s="138">
        <f t="array" aca="1" ref="D18" ca="1">INDEX(INDIRECT("'"&amp;$B14&amp;"'!$B$6:$F$16"),MATCH("Change from DMO "&amp;PY&amp;" price ($)",INDIRECT("'"&amp;$B14&amp;"'!$B$6:$B$16"),0),MATCH(D$6&amp;D$7,INDIRECT("'"&amp;$B14&amp;"'!$B$6:$E$6")&amp;INDIRECT("'"&amp;$B14&amp;"'!$B$7:$E$7"),0))</f>
        <v>227</v>
      </c>
      <c r="E18" s="139" t="str">
        <f t="array" aca="1" ref="E18" ca="1">"("&amp;ROUND(INDEX(INDIRECT("'"&amp;$B14&amp;"'!$B$6:$F$16"),MATCH("Change from DMO "&amp;PY&amp;" price (%)",INDIRECT("'"&amp;$B14&amp;"'!$B$6:$B$16"),0),MATCH(D$6&amp;D$7,INDIRECT("'"&amp;$B14&amp;"'!$B$6:$E$6")&amp;INDIRECT("'"&amp;$B14&amp;"'!$B$7:$E$7"),0))*100,1)&amp;"%)"</f>
        <v>(14.1%)</v>
      </c>
      <c r="F18" s="138">
        <f t="array" aca="1" ref="F18" ca="1">INDEX(INDIRECT("'"&amp;$B14&amp;"'!$B$6:$F$16"),MATCH("Change from DMO "&amp;PY&amp;" price ($)",INDIRECT("'"&amp;$B14&amp;"'!$B$6:$B$16"),0),MATCH(F$6&amp;F$7,INDIRECT("'"&amp;$B14&amp;"'!$B$6:$E$6")&amp;INDIRECT("'"&amp;$B14&amp;"'!$B$7:$E$7"),0))</f>
        <v>369</v>
      </c>
      <c r="G18" s="139" t="str">
        <f t="array" aca="1" ref="G18" ca="1">"("&amp;ROUND(INDEX(INDIRECT("'"&amp;$B14&amp;"'!$B$6:$F$16"),MATCH("Change from DMO "&amp;PY&amp;" price (%)",INDIRECT("'"&amp;$B14&amp;"'!$B$6:$B$16"),0),MATCH(F$6&amp;F$7,INDIRECT("'"&amp;$B14&amp;"'!$B$6:$E$6")&amp;INDIRECT("'"&amp;$B14&amp;"'!$B$7:$E$7"),0))*100,1)&amp;"%)"</f>
        <v>(18.3%)</v>
      </c>
      <c r="H18" s="206"/>
      <c r="I18" s="207"/>
      <c r="L18" s="3" t="s">
        <v>0</v>
      </c>
      <c r="M18" s="210">
        <f t="array" aca="1" ref="M18" ca="1">INDEX(INDIRECT("'"&amp;$L18&amp;"'!F23:AJ38"),MATCH(M$6,INDIRECT("'"&amp;$L18&amp;"'!F23:F38"),0),MATCH($T18&amp;$U18&amp;"Change",INDIRECT("'"&amp;$L18&amp;"'!F23:AJ23")&amp;INDIRECT("'"&amp;$L18&amp;"'!F24:AJ24")&amp;INDIRECT("'"&amp;$L18&amp;"'!F30:AJ30"),0))</f>
        <v>-7.6439452878956149E-2</v>
      </c>
      <c r="N18" s="210">
        <f t="array" aca="1" ref="N18" ca="1">INDEX(INDIRECT("'"&amp;$L18&amp;"'!F23:AJ38"),MATCH(N$6,INDIRECT("'"&amp;$L18&amp;"'!F23:F38"),0),MATCH($T18&amp;$U18&amp;"Change",INDIRECT("'"&amp;$L18&amp;"'!F23:AJ23")&amp;INDIRECT("'"&amp;$L18&amp;"'!F24:AJ24")&amp;INDIRECT("'"&amp;$L18&amp;"'!F30:AJ30"),0))</f>
        <v>0.49804892232917752</v>
      </c>
      <c r="O18" s="210">
        <f t="array" aca="1" ref="O18" ca="1">INDEX(INDIRECT("'"&amp;$L18&amp;"'!F23:AJ38"),MATCH(O$6,INDIRECT("'"&amp;$L18&amp;"'!F23:F38"),0),MATCH($T18&amp;$U18&amp;"Change",INDIRECT("'"&amp;$L18&amp;"'!F23:AJ23")&amp;INDIRECT("'"&amp;$L18&amp;"'!F24:AJ24")&amp;INDIRECT("'"&amp;$L18&amp;"'!F30:AJ30"),0))</f>
        <v>2.0895522388059806E-2</v>
      </c>
      <c r="P18" s="210" cm="1">
        <f t="array" aca="1" ref="P18" ca="1">INDEX(INDIRECT("'"&amp;$L18&amp;"'!F23:AJ38"),MATCH(P$6,INDIRECT("'"&amp;$L18&amp;"'!F23:F38"),0),MATCH($T18&amp;$U18&amp;"Change",INDIRECT("'"&amp;$L18&amp;"'!F23:AJ23")&amp;INDIRECT("'"&amp;$L18&amp;"'!F24:AJ24")&amp;INDIRECT("'"&amp;$L18&amp;"'!F30:AJ30"),0))</f>
        <v>-1</v>
      </c>
      <c r="Q18" s="210" t="str" cm="1">
        <f t="array" aca="1" ref="Q18" ca="1">INDEX(INDIRECT("'"&amp;$L18&amp;"'!F23:AJ38"),MATCH(Q$6,INDIRECT("'"&amp;$L18&amp;"'!F23:F38"),0),MATCH($T18&amp;$U18&amp;"Change",INDIRECT("'"&amp;$L18&amp;"'!F23:AJ23")&amp;INDIRECT("'"&amp;$L18&amp;"'!F24:AJ24")&amp;INDIRECT("'"&amp;$L18&amp;"'!F30:AJ30"),0))</f>
        <v>New cost component</v>
      </c>
      <c r="R18" s="210" t="str" cm="1">
        <f t="array" aca="1" ref="R18" ca="1">INDEX(INDIRECT("'"&amp;$L18&amp;"'!F23:AJ38"),MATCH(R$6,INDIRECT("'"&amp;$L18&amp;"'!F23:F38"),0),MATCH($T18&amp;$U18&amp;"Change",INDIRECT("'"&amp;$L18&amp;"'!F23:AJ23")&amp;INDIRECT("'"&amp;$L18&amp;"'!F24:AJ24")&amp;INDIRECT("'"&amp;$L18&amp;"'!F30:AJ30"),0))</f>
        <v>New cost component</v>
      </c>
      <c r="S18" s="147">
        <f t="array" aca="1" ref="S18" ca="1">INDEX(INDIRECT("'"&amp;$L18&amp;"'!$B$6:$F$16"),MATCH("Change from DMO "&amp;PY&amp;" price (%)",INDIRECT("'"&amp;$L18&amp;"'!$B$6:$B$16"),0),MATCH($T18&amp;$U18,INDIRECT("'"&amp;$L18&amp;"'!$B$6:$E$6")&amp;INDIRECT("'"&amp;$L18&amp;"'!$B$7:$E$7"),0))</f>
        <v>0.12636415852958072</v>
      </c>
      <c r="T18" s="70" t="str">
        <f t="shared" si="1"/>
        <v>Residential</v>
      </c>
      <c r="U18" s="70" t="str">
        <f t="shared" si="1"/>
        <v>with CL</v>
      </c>
      <c r="V18" s="3" t="s">
        <v>0</v>
      </c>
      <c r="W18" s="182">
        <f t="array" aca="1" ref="W18" ca="1">INDEX(INDIRECT("'"&amp;$V18&amp;"'!F23:AJ38"),MATCH(W$6,INDIRECT("'"&amp;$V18&amp;"'!F23:F38"),0),MATCH($T18&amp;$U18&amp;"Proportion",INDIRECT("'"&amp;$V18&amp;"'!F23:AJ23")&amp;INDIRECT("'"&amp;$V18&amp;"'!F24:AJ24")&amp;INDIRECT("'"&amp;$V18&amp;"'!F30:AJ30"),0))</f>
        <v>0.44060847501435962</v>
      </c>
      <c r="X18" s="182">
        <f t="array" aca="1" ref="X18" ca="1">INDEX(INDIRECT("'"&amp;$V18&amp;"'!F23:AJ38"),MATCH(X$6,INDIRECT("'"&amp;$V18&amp;"'!F23:F38"),0),MATCH($T18&amp;$U18&amp;"Proportion",INDIRECT("'"&amp;$V18&amp;"'!F23:AJ23")&amp;INDIRECT("'"&amp;$V18&amp;"'!F24:AJ24")&amp;INDIRECT("'"&amp;$V18&amp;"'!F30:AJ30"),0))</f>
        <v>0.27843373118897186</v>
      </c>
      <c r="Y18" s="182">
        <f t="array" aca="1" ref="Y18" ca="1">INDEX(INDIRECT("'"&amp;$V18&amp;"'!F23:AJ38"),MATCH(Y$6,INDIRECT("'"&amp;$V18&amp;"'!F23:F38"),0),MATCH($T18&amp;$U18&amp;"Proportion",INDIRECT("'"&amp;$V18&amp;"'!F23:AJ23")&amp;INDIRECT("'"&amp;$V18&amp;"'!F24:AJ24")&amp;INDIRECT("'"&amp;$V18&amp;"'!F30:AJ30"),0))</f>
        <v>6.6672889144170008E-2</v>
      </c>
      <c r="Z18" s="182">
        <f t="array" aca="1" ref="Z18" ca="1">INDEX(INDIRECT("'"&amp;$V18&amp;"'!F23:AJ38"),MATCH(Z$6,INDIRECT("'"&amp;$V18&amp;"'!F23:F38"),0),MATCH($T18&amp;$U18&amp;"Proportion",INDIRECT("'"&amp;$V18&amp;"'!F23:AJ23")&amp;INDIRECT("'"&amp;$V18&amp;"'!F24:AJ24")&amp;INDIRECT("'"&amp;$V18&amp;"'!F30:AJ30"),0))</f>
        <v>0.21428490465249844</v>
      </c>
    </row>
    <row r="19" spans="2:26" ht="12.65" customHeight="1" x14ac:dyDescent="0.35">
      <c r="B19" s="74"/>
      <c r="C19" s="137"/>
      <c r="D19" s="138"/>
      <c r="E19" s="139"/>
      <c r="F19" s="138"/>
      <c r="G19" s="139"/>
      <c r="H19" s="138"/>
      <c r="I19" s="140"/>
      <c r="L19" s="114" t="s">
        <v>5</v>
      </c>
      <c r="M19" s="211">
        <f t="array" aca="1" ref="M19" ca="1">INDEX(INDIRECT("'"&amp;$L19&amp;"'!F23:AJ38"),MATCH(M$6,INDIRECT("'"&amp;$L19&amp;"'!F23:F38"),0),MATCH($T19&amp;$U19&amp;"Change",INDIRECT("'"&amp;$L19&amp;"'!F23:AJ23")&amp;INDIRECT("'"&amp;$L19&amp;"'!F24:AJ24")&amp;INDIRECT("'"&amp;$L19&amp;"'!F30:AJ30"),0))</f>
        <v>7.5940556686500127E-3</v>
      </c>
      <c r="N19" s="211">
        <f t="array" aca="1" ref="N19" ca="1">INDEX(INDIRECT("'"&amp;$L19&amp;"'!F23:AJ38"),MATCH(N$6,INDIRECT("'"&amp;$L19&amp;"'!F23:F38"),0),MATCH($T19&amp;$U19&amp;"Change",INDIRECT("'"&amp;$L19&amp;"'!F23:AJ23")&amp;INDIRECT("'"&amp;$L19&amp;"'!F24:AJ24")&amp;INDIRECT("'"&amp;$L19&amp;"'!F30:AJ30"),0))</f>
        <v>0.10193884806826259</v>
      </c>
      <c r="O19" s="211">
        <f t="array" aca="1" ref="O19" ca="1">INDEX(INDIRECT("'"&amp;$L19&amp;"'!F23:AJ38"),MATCH(O$6,INDIRECT("'"&amp;$L19&amp;"'!F23:F38"),0),MATCH($T19&amp;$U19&amp;"Change",INDIRECT("'"&amp;$L19&amp;"'!F23:AJ23")&amp;INDIRECT("'"&amp;$L19&amp;"'!F24:AJ24")&amp;INDIRECT("'"&amp;$L19&amp;"'!F30:AJ30"),0))</f>
        <v>-4.9043648847479915E-4</v>
      </c>
      <c r="P19" s="211" cm="1">
        <f t="array" aca="1" ref="P19" ca="1">INDEX(INDIRECT("'"&amp;$L19&amp;"'!F23:AJ38"),MATCH(P$6,INDIRECT("'"&amp;$L19&amp;"'!F23:F38"),0),MATCH($T19&amp;$U19&amp;"Change",INDIRECT("'"&amp;$L19&amp;"'!F23:AJ23")&amp;INDIRECT("'"&amp;$L19&amp;"'!F24:AJ24")&amp;INDIRECT("'"&amp;$L19&amp;"'!F30:AJ30"),0))</f>
        <v>-1</v>
      </c>
      <c r="Q19" s="211" t="str" cm="1">
        <f t="array" aca="1" ref="Q19" ca="1">INDEX(INDIRECT("'"&amp;$L19&amp;"'!F23:AJ38"),MATCH(Q$6,INDIRECT("'"&amp;$L19&amp;"'!F23:F38"),0),MATCH($T19&amp;$U19&amp;"Change",INDIRECT("'"&amp;$L19&amp;"'!F23:AJ23")&amp;INDIRECT("'"&amp;$L19&amp;"'!F24:AJ24")&amp;INDIRECT("'"&amp;$L19&amp;"'!F30:AJ30"),0))</f>
        <v>New cost component</v>
      </c>
      <c r="R19" s="211" t="str" cm="1">
        <f t="array" aca="1" ref="R19" ca="1">INDEX(INDIRECT("'"&amp;$L19&amp;"'!F23:AJ38"),MATCH(R$6,INDIRECT("'"&amp;$L19&amp;"'!F23:F38"),0),MATCH($T19&amp;$U19&amp;"Change",INDIRECT("'"&amp;$L19&amp;"'!F23:AJ23")&amp;INDIRECT("'"&amp;$L19&amp;"'!F24:AJ24")&amp;INDIRECT("'"&amp;$L19&amp;"'!F30:AJ30"),0))</f>
        <v>New cost component</v>
      </c>
      <c r="S19" s="150">
        <f t="array" aca="1" ref="S19" ca="1">INDEX(INDIRECT("'"&amp;$L19&amp;"'!$B$6:$F$16"),MATCH("Change from DMO "&amp;PY&amp;" price (%)",INDIRECT("'"&amp;$L19&amp;"'!$B$6:$B$16"),0),MATCH($T19&amp;$U19,INDIRECT("'"&amp;$L19&amp;"'!$B$6:$E$6")&amp;INDIRECT("'"&amp;$L19&amp;"'!$B$7:$E$7"),0))</f>
        <v>9.5329802599903646E-2</v>
      </c>
      <c r="T19" s="70" t="str">
        <f t="shared" si="1"/>
        <v>Residential</v>
      </c>
      <c r="U19" s="70" t="str">
        <f t="shared" si="1"/>
        <v>with CL</v>
      </c>
      <c r="V19" s="114" t="s">
        <v>5</v>
      </c>
      <c r="W19" s="183">
        <f t="array" aca="1" ref="W19" ca="1">INDEX(INDIRECT("'"&amp;$V19&amp;"'!F23:AJ38"),MATCH(W$6,INDIRECT("'"&amp;$V19&amp;"'!F23:F38"),0),MATCH($T19&amp;$U19&amp;"Proportion",INDIRECT("'"&amp;$V19&amp;"'!F23:AJ23")&amp;INDIRECT("'"&amp;$V19&amp;"'!F24:AJ24")&amp;INDIRECT("'"&amp;$V19&amp;"'!F30:AJ30"),0))</f>
        <v>0.48546066441983632</v>
      </c>
      <c r="X19" s="183">
        <f t="array" aca="1" ref="X19" ca="1">INDEX(INDIRECT("'"&amp;$V19&amp;"'!F23:AJ38"),MATCH(X$6,INDIRECT("'"&amp;$V19&amp;"'!F23:F38"),0),MATCH($T19&amp;$U19&amp;"Proportion",INDIRECT("'"&amp;$V19&amp;"'!F23:AJ23")&amp;INDIRECT("'"&amp;$V19&amp;"'!F24:AJ24")&amp;INDIRECT("'"&amp;$V19&amp;"'!F30:AJ30"),0))</f>
        <v>0.3351636976408281</v>
      </c>
      <c r="Y19" s="183">
        <f t="array" aca="1" ref="Y19" ca="1">INDEX(INDIRECT("'"&amp;$V19&amp;"'!F23:AJ38"),MATCH(Y$6,INDIRECT("'"&amp;$V19&amp;"'!F23:F38"),0),MATCH($T19&amp;$U19&amp;"Proportion",INDIRECT("'"&amp;$V19&amp;"'!F23:AJ23")&amp;INDIRECT("'"&amp;$V19&amp;"'!F24:AJ24")&amp;INDIRECT("'"&amp;$V19&amp;"'!F30:AJ30"),0))</f>
        <v>6.4792489167067896E-2</v>
      </c>
      <c r="Z19" s="183">
        <f t="array" aca="1" ref="Z19" ca="1">INDEX(INDIRECT("'"&amp;$V19&amp;"'!F23:AJ38"),MATCH(Z$6,INDIRECT("'"&amp;$V19&amp;"'!F23:F38"),0),MATCH($T19&amp;$U19&amp;"Proportion",INDIRECT("'"&amp;$V19&amp;"'!F23:AJ23")&amp;INDIRECT("'"&amp;$V19&amp;"'!F24:AJ24")&amp;INDIRECT("'"&amp;$V19&amp;"'!F30:AJ30"),0))</f>
        <v>0.11458314877226769</v>
      </c>
    </row>
    <row r="20" spans="2:26" s="44" customFormat="1" ht="30" customHeight="1" x14ac:dyDescent="0.35">
      <c r="B20" s="50" t="s">
        <v>3</v>
      </c>
      <c r="C20" s="130" t="s">
        <v>80</v>
      </c>
      <c r="D20" s="328">
        <f t="array" aca="1" ref="D20" ca="1">INDEX(INDIRECT("'"&amp;$B20&amp;"'!$B$6:$F$16"),MATCH("DMO "&amp;FY&amp;" price ($ pa, inc GST)",INDIRECT("'"&amp;$B20&amp;"'!$B$6:$B$16"),0),MATCH(D$6&amp;D$7,INDIRECT("'"&amp;$B20&amp;"'!$B$6:$E$6")&amp;INDIRECT("'"&amp;$B20&amp;"'!$B$7:$E$7"),0))</f>
        <v>2092</v>
      </c>
      <c r="E20" s="330"/>
      <c r="F20" s="328">
        <f t="array" aca="1" ref="F20" ca="1">INDEX(INDIRECT("'"&amp;$B20&amp;"'!$B$6:$F$16"),MATCH("DMO "&amp;FY&amp;" price ($ pa, inc GST)",INDIRECT("'"&amp;$B20&amp;"'!$B$6:$B$16"),0),MATCH(F$6&amp;F$7,INDIRECT("'"&amp;$B20&amp;"'!$B$6:$E$6")&amp;INDIRECT("'"&amp;$B20&amp;"'!$B$7:$E$7"),0))</f>
        <v>2490</v>
      </c>
      <c r="G20" s="330"/>
      <c r="H20" s="328">
        <f t="array" aca="1" ref="H20" ca="1">INDEX(INDIRECT("'"&amp;$B20&amp;"'!$B$6:$F$16"),MATCH("DMO "&amp;FY&amp;" price ($ pa, inc GST)",INDIRECT("'"&amp;$B20&amp;"'!$B$6:$B$16"),0),MATCH(H$6&amp;H$7,INDIRECT("'"&amp;$B20&amp;"'!$B$6:$E$6")&amp;INDIRECT("'"&amp;$B20&amp;"'!$B$7:$E$7"),0))</f>
        <v>4901</v>
      </c>
      <c r="I20" s="329"/>
      <c r="J20" s="175"/>
      <c r="K20" s="175"/>
      <c r="L20" s="165" t="s">
        <v>197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2.65" customHeight="1" x14ac:dyDescent="0.35">
      <c r="B21" s="71" t="s">
        <v>3</v>
      </c>
      <c r="C21" s="321" t="s">
        <v>158</v>
      </c>
      <c r="D21" s="325" t="str">
        <f t="array" aca="1" ref="D21" ca="1">INDEX(INDIRECT("'"&amp;$B20&amp;"'!$B$6:$F$16"),MATCH("Annual usage (kWh)",INDIRECT("'"&amp;$B20&amp;"'!$B$6:$B$16"),0),MATCH(D$6&amp;D$7,INDIRECT("'"&amp;$B20&amp;"'!$B$6:$E$6")&amp;INDIRECT("'"&amp;$B20&amp;"'!$B$7:$E$7"),0))&amp;" kWh"</f>
        <v>4600 kWh</v>
      </c>
      <c r="E21" s="327"/>
      <c r="F21" s="319" t="str">
        <f t="array" aca="1" ref="F21" ca="1">"Flat rate "&amp;INDEX(INDIRECT("'"&amp;$B20&amp;"'!$B$6:$F$15"),MATCH("Flat rate usage (kWh)",INDIRECT("'"&amp;$B20&amp;"'!$B$6:$B$15"),0),MATCH(F$6&amp;F$7,INDIRECT("'"&amp;$B20&amp;"'!$B$6:$E$6")&amp;INDIRECT("'"&amp;$B20&amp;"'!$B$7:$E$7"),0))&amp;" kWh"</f>
        <v>Flat rate 4600 kWh</v>
      </c>
      <c r="G21" s="320"/>
      <c r="H21" s="325" t="str">
        <f t="array" aca="1" ref="H21" ca="1">INDEX(INDIRECT("'"&amp;$B20&amp;"'!$B$6:$F$16"),MATCH("Annual usage (kWh)",INDIRECT("'"&amp;$B20&amp;"'!$B$6:$B$16"),0),MATCH(H$6&amp;H$7,INDIRECT("'"&amp;$B20&amp;"'!$B$6:$E$6")&amp;INDIRECT("'"&amp;$B20&amp;"'!$B$7:$E$7"),0))&amp;" kWh"</f>
        <v>10000 kWh</v>
      </c>
      <c r="I21" s="326"/>
    </row>
    <row r="22" spans="2:26" ht="12.65" customHeight="1" x14ac:dyDescent="0.35">
      <c r="B22" s="71"/>
      <c r="C22" s="323"/>
      <c r="D22" s="133"/>
      <c r="E22" s="134"/>
      <c r="F22" s="319" t="str">
        <f t="array" aca="1" ref="F22" ca="1">"+ CL "&amp;INDEX(INDIRECT("'"&amp;$B20&amp;"'!$B$6:$F$15"),MATCH("Controlled load usage (kWh)",INDIRECT("'"&amp;$B20&amp;"'!$B$6:$B$15"),0),MATCH(F$6&amp;F$7,INDIRECT("'"&amp;$B20&amp;"'!$B$6:$E$6")&amp;INDIRECT("'"&amp;$B20&amp;"'!$B$7:$E$7"),0))&amp;" kWh"</f>
        <v>+ CL 2000 kWh</v>
      </c>
      <c r="G22" s="320"/>
      <c r="H22" s="133"/>
      <c r="I22" s="124"/>
    </row>
    <row r="23" spans="2:26" ht="12.65" customHeight="1" x14ac:dyDescent="0.35">
      <c r="B23" s="71"/>
      <c r="C23" s="163"/>
      <c r="D23" s="157"/>
      <c r="E23" s="159"/>
      <c r="F23" s="151"/>
      <c r="G23" s="152"/>
      <c r="H23" s="157"/>
      <c r="I23" s="158"/>
    </row>
    <row r="24" spans="2:26" ht="12.65" customHeight="1" x14ac:dyDescent="0.35">
      <c r="B24" s="71"/>
      <c r="C24" s="141" t="s">
        <v>144</v>
      </c>
      <c r="D24" s="142">
        <f t="array" aca="1" ref="D24" ca="1">INDEX(INDIRECT("'"&amp;$B20&amp;"'!$B$6:$F$16"),MATCH("Change from DMO "&amp;PY&amp;" price ($)",INDIRECT("'"&amp;$B20&amp;"'!$B$6:$B$16"),0),MATCH(D$6&amp;D$7,INDIRECT("'"&amp;$B20&amp;"'!$B$6:$E$6")&amp;INDIRECT("'"&amp;$B20&amp;"'!$B$7:$E$7"),0))</f>
        <v>185</v>
      </c>
      <c r="E24" s="143" t="str">
        <f t="array" aca="1" ref="E24" ca="1">"("&amp;ROUND(INDEX(INDIRECT("'"&amp;$B20&amp;"'!$B$6:$F$16"),MATCH("Change from DMO "&amp;PY&amp;" price (%)",INDIRECT("'"&amp;$B20&amp;"'!$B$6:$B$16"),0),MATCH(D$6&amp;D$7,INDIRECT("'"&amp;$B20&amp;"'!$B$6:$E$6")&amp;INDIRECT("'"&amp;$B20&amp;"'!$B$7:$E$7"),0))*100,1)&amp;"%)"</f>
        <v>(9.7%)</v>
      </c>
      <c r="F24" s="142">
        <f t="array" aca="1" ref="F24" ca="1">INDEX(INDIRECT("'"&amp;$B20&amp;"'!$B$6:$F$16"),MATCH("Change from DMO "&amp;PY&amp;" price ($)",INDIRECT("'"&amp;$B20&amp;"'!$B$6:$B$16"),0),MATCH(F$6&amp;F$7,INDIRECT("'"&amp;$B20&amp;"'!$B$6:$E$6")&amp;INDIRECT("'"&amp;$B20&amp;"'!$B$7:$E$7"),0))</f>
        <v>219</v>
      </c>
      <c r="G24" s="143" t="str">
        <f t="array" aca="1" ref="G24" ca="1">"("&amp;ROUND(INDEX(INDIRECT("'"&amp;$B20&amp;"'!$B$6:$F$16"),MATCH("Change from DMO "&amp;PY&amp;" price (%)",INDIRECT("'"&amp;$B20&amp;"'!$B$6:$B$16"),0),MATCH(F$6&amp;F$7,INDIRECT("'"&amp;$B20&amp;"'!$B$6:$E$6")&amp;INDIRECT("'"&amp;$B20&amp;"'!$B$7:$E$7"),0))*100,1)&amp;"%)"</f>
        <v>(9.6%)</v>
      </c>
      <c r="H24" s="208"/>
      <c r="I24" s="209"/>
    </row>
    <row r="25" spans="2:26" ht="12.65" customHeight="1" x14ac:dyDescent="0.35">
      <c r="B25" s="71"/>
      <c r="C25" s="141"/>
      <c r="D25" s="142"/>
      <c r="E25" s="143"/>
      <c r="F25" s="142"/>
      <c r="G25" s="143"/>
      <c r="H25" s="142"/>
      <c r="I25" s="144"/>
    </row>
    <row r="26" spans="2:26" s="44" customFormat="1" ht="30" customHeight="1" x14ac:dyDescent="0.35">
      <c r="B26" s="73" t="s">
        <v>0</v>
      </c>
      <c r="C26" s="131" t="s">
        <v>80</v>
      </c>
      <c r="D26" s="310">
        <f t="array" aca="1" ref="D26" ca="1">INDEX(INDIRECT("'"&amp;$B27&amp;"'!$B$6:$F$16"),MATCH("DMO "&amp;FY&amp;" price ($ pa, inc GST)",INDIRECT("'"&amp;$B27&amp;"'!$B$6:$B$16"),0),MATCH(D$6&amp;D$7,INDIRECT("'"&amp;$B27&amp;"'!$B$6:$E$6")&amp;INDIRECT("'"&amp;$B27&amp;"'!$B$7:$E$7"),0))</f>
        <v>1620</v>
      </c>
      <c r="E26" s="311"/>
      <c r="F26" s="310">
        <f t="array" aca="1" ref="F26" ca="1">INDEX(INDIRECT("'"&amp;$B27&amp;"'!$B$6:$F$16"),MATCH("DMO "&amp;FY&amp;" price ($ pa, inc GST)",INDIRECT("'"&amp;$B27&amp;"'!$B$6:$B$16"),0),MATCH(F$6&amp;F$7,INDIRECT("'"&amp;$B27&amp;"'!$B$6:$E$6")&amp;INDIRECT("'"&amp;$B27&amp;"'!$B$7:$E$7"),0))</f>
        <v>1961</v>
      </c>
      <c r="G26" s="311"/>
      <c r="H26" s="310">
        <f t="array" aca="1" ref="H26" ca="1">INDEX(INDIRECT("'"&amp;$B27&amp;"'!$B$6:$F$16"),MATCH("DMO "&amp;FY&amp;" price ($ pa, inc GST)",INDIRECT("'"&amp;$B27&amp;"'!$B$6:$B$16"),0),MATCH(H$6&amp;H$7,INDIRECT("'"&amp;$B27&amp;"'!$B$6:$E$6")&amp;INDIRECT("'"&amp;$B27&amp;"'!$B$7:$E$7"),0))</f>
        <v>3446</v>
      </c>
      <c r="I26" s="312"/>
      <c r="J26" s="175"/>
      <c r="K26" s="175"/>
      <c r="M26" s="148"/>
      <c r="N26" s="148"/>
      <c r="O26" s="148"/>
      <c r="P26" s="148"/>
      <c r="Q26" s="148"/>
      <c r="R26" s="148"/>
      <c r="S26" s="149"/>
    </row>
    <row r="27" spans="2:26" ht="12.65" customHeight="1" x14ac:dyDescent="0.35">
      <c r="B27" s="74" t="s">
        <v>0</v>
      </c>
      <c r="C27" s="322" t="s">
        <v>158</v>
      </c>
      <c r="D27" s="308" t="str">
        <f t="array" aca="1" ref="D27" ca="1">INDEX(INDIRECT("'"&amp;$B27&amp;"'!$B$6:$F$16"),MATCH("Annual usage (kWh)",INDIRECT("'"&amp;$B27&amp;"'!$B$6:$B$16"),0),MATCH(D$6&amp;D$7,INDIRECT("'"&amp;$B27&amp;"'!$B$6:$E$6")&amp;INDIRECT("'"&amp;$B27&amp;"'!$B$7:$E$7"),0))&amp;" kWh"</f>
        <v>4600 kWh</v>
      </c>
      <c r="E27" s="324"/>
      <c r="F27" s="305" t="str">
        <f t="array" aca="1" ref="F27" ca="1">"Flat rate "&amp;INDEX(INDIRECT("'"&amp;$B26&amp;"'!$B$6:$F$15"),MATCH("Flat rate usage (kWh)",INDIRECT("'"&amp;$B26&amp;"'!$B$6:$B$15"),0),MATCH(F$6&amp;F$7,INDIRECT("'"&amp;$B26&amp;"'!$B$6:$E$6")&amp;INDIRECT("'"&amp;$B26&amp;"'!$B$7:$E$7"),0))&amp;" kWh"</f>
        <v>Flat rate 4400 kWh</v>
      </c>
      <c r="G27" s="306"/>
      <c r="H27" s="308" t="str">
        <f t="array" aca="1" ref="H27" ca="1">INDEX(INDIRECT("'"&amp;$B27&amp;"'!$B$6:$F$16"),MATCH("Annual usage (kWh)",INDIRECT("'"&amp;$B27&amp;"'!$B$6:$B$16"),0),MATCH(H$6&amp;H$7,INDIRECT("'"&amp;$B27&amp;"'!$B$6:$E$6")&amp;INDIRECT("'"&amp;$B27&amp;"'!$B$7:$E$7"),0))&amp;" kWh"</f>
        <v>10000 kWh</v>
      </c>
      <c r="I27" s="309"/>
    </row>
    <row r="28" spans="2:26" ht="12.65" customHeight="1" x14ac:dyDescent="0.35">
      <c r="B28" s="74"/>
      <c r="C28" s="323"/>
      <c r="D28" s="135"/>
      <c r="E28" s="136"/>
      <c r="F28" s="305" t="str">
        <f t="array" aca="1" ref="F28" ca="1">"+ CL "&amp;INDEX(INDIRECT("'"&amp;$B26&amp;"'!$B$6:$F$15"),MATCH("Controlled load usage (kWh)",INDIRECT("'"&amp;$B26&amp;"'!$B$6:$B$15"),0),MATCH(F$6&amp;F$7,INDIRECT("'"&amp;$B26&amp;"'!$B$6:$E$6")&amp;INDIRECT("'"&amp;$B26&amp;"'!$B$7:$E$7"),0))&amp;" kWh"</f>
        <v>+ CL 1900 kWh</v>
      </c>
      <c r="G28" s="306"/>
      <c r="H28" s="135"/>
      <c r="I28" s="125"/>
    </row>
    <row r="29" spans="2:26" ht="12.65" customHeight="1" x14ac:dyDescent="0.35">
      <c r="B29" s="74"/>
      <c r="C29" s="154"/>
      <c r="D29" s="155"/>
      <c r="E29" s="156"/>
      <c r="F29" s="160"/>
      <c r="G29" s="161"/>
      <c r="H29" s="155"/>
      <c r="I29" s="162"/>
    </row>
    <row r="30" spans="2:26" ht="12.65" customHeight="1" x14ac:dyDescent="0.35">
      <c r="B30" s="74"/>
      <c r="C30" s="137" t="s">
        <v>144</v>
      </c>
      <c r="D30" s="138">
        <f t="array" aca="1" ref="D30" ca="1">INDEX(INDIRECT("'"&amp;$B26&amp;"'!$B$6:$F$16"),MATCH("Change from DMO "&amp;PY&amp;" price ($)",INDIRECT("'"&amp;$B26&amp;"'!$B$6:$B$16"),0),MATCH(D$6&amp;D$7,INDIRECT("'"&amp;$B26&amp;"'!$B$6:$E$6")&amp;INDIRECT("'"&amp;$B26&amp;"'!$B$7:$E$7"),0))</f>
        <v>165</v>
      </c>
      <c r="E30" s="139" t="str">
        <f t="array" aca="1" ref="E30" ca="1">"("&amp;ROUND(INDEX(INDIRECT("'"&amp;$B26&amp;"'!$B$6:$F$16"),MATCH("Change from DMO "&amp;PY&amp;" price (%)",INDIRECT("'"&amp;$B26&amp;"'!$B$6:$B$16"),0),MATCH(D$6&amp;D$7,INDIRECT("'"&amp;$B26&amp;"'!$B$6:$E$6")&amp;INDIRECT("'"&amp;$B26&amp;"'!$B$7:$E$7"),0))*100,1)&amp;"%)"</f>
        <v>(11.3%)</v>
      </c>
      <c r="F30" s="138">
        <f t="array" aca="1" ref="F30" ca="1">INDEX(INDIRECT("'"&amp;$B26&amp;"'!$B$6:$F$16"),MATCH("Change from DMO "&amp;PY&amp;" price ($)",INDIRECT("'"&amp;$B26&amp;"'!$B$6:$B$16"),0),MATCH(F$6&amp;F$7,INDIRECT("'"&amp;$B26&amp;"'!$B$6:$E$6")&amp;INDIRECT("'"&amp;$B26&amp;"'!$B$7:$E$7"),0))</f>
        <v>220</v>
      </c>
      <c r="G30" s="139" t="str">
        <f t="array" aca="1" ref="G30" ca="1">"("&amp;ROUND(INDEX(INDIRECT("'"&amp;$B26&amp;"'!$B$6:$F$16"),MATCH("Change from DMO "&amp;PY&amp;" price (%)",INDIRECT("'"&amp;$B26&amp;"'!$B$6:$B$16"),0),MATCH(F$6&amp;F$7,INDIRECT("'"&amp;$B26&amp;"'!$B$6:$E$6")&amp;INDIRECT("'"&amp;$B26&amp;"'!$B$7:$E$7"),0))*100,1)&amp;"%)"</f>
        <v>(12.6%)</v>
      </c>
      <c r="H30" s="206"/>
      <c r="I30" s="207"/>
      <c r="M30" s="146"/>
      <c r="N30" s="146"/>
      <c r="O30" s="146"/>
      <c r="P30" s="146"/>
      <c r="Q30" s="146"/>
      <c r="R30" s="146"/>
      <c r="S30" s="147"/>
    </row>
    <row r="31" spans="2:26" ht="12.65" customHeight="1" x14ac:dyDescent="0.35">
      <c r="B31" s="74"/>
      <c r="C31" s="137"/>
      <c r="D31" s="138"/>
      <c r="E31" s="139"/>
      <c r="F31" s="138"/>
      <c r="G31" s="139"/>
      <c r="H31" s="138"/>
      <c r="I31" s="140"/>
    </row>
    <row r="32" spans="2:26" s="44" customFormat="1" ht="30" customHeight="1" x14ac:dyDescent="0.35">
      <c r="B32" s="50" t="s">
        <v>5</v>
      </c>
      <c r="C32" s="130" t="s">
        <v>80</v>
      </c>
      <c r="D32" s="328">
        <f t="array" aca="1" ref="D32" ca="1">INDEX(INDIRECT("'"&amp;$B32&amp;"'!$B$6:$F$16"),MATCH("DMO "&amp;FY&amp;" price ($ pa, inc GST)",INDIRECT("'"&amp;$B32&amp;"'!$B$6:$B$16"),0),MATCH(D$6&amp;D$7,INDIRECT("'"&amp;$B32&amp;"'!$B$6:$E$6")&amp;INDIRECT("'"&amp;$B32&amp;"'!$B$7:$E$7"),0))</f>
        <v>1840</v>
      </c>
      <c r="E32" s="330"/>
      <c r="F32" s="328">
        <f t="array" aca="1" ref="F32" ca="1">INDEX(INDIRECT("'"&amp;$B32&amp;"'!$B$6:$F$16"),MATCH("DMO "&amp;FY&amp;" price ($ pa, inc GST)",INDIRECT("'"&amp;$B32&amp;"'!$B$6:$B$16"),0),MATCH(F$6&amp;F$7,INDIRECT("'"&amp;$B32&amp;"'!$B$6:$E$6")&amp;INDIRECT("'"&amp;$B32&amp;"'!$B$7:$E$7"),0))</f>
        <v>2275</v>
      </c>
      <c r="G32" s="330"/>
      <c r="H32" s="328">
        <f t="array" aca="1" ref="H32" ca="1">INDEX(INDIRECT("'"&amp;$B32&amp;"'!$B$6:$F$16"),MATCH("DMO "&amp;FY&amp;" price ($ pa, inc GST)",INDIRECT("'"&amp;$B32&amp;"'!$B$6:$B$16"),0),MATCH(H$6&amp;H$7,INDIRECT("'"&amp;$B32&amp;"'!$B$6:$E$6")&amp;INDIRECT("'"&amp;$B32&amp;"'!$B$7:$E$7"),0))</f>
        <v>4539</v>
      </c>
      <c r="I32" s="329"/>
      <c r="J32" s="181"/>
      <c r="K32" s="181"/>
      <c r="L32" s="3"/>
      <c r="M32" s="146"/>
      <c r="N32" s="146"/>
      <c r="O32" s="146"/>
      <c r="P32" s="146"/>
      <c r="Q32" s="146"/>
      <c r="R32" s="146"/>
      <c r="S32" s="147"/>
    </row>
    <row r="33" spans="2:20" ht="12.65" customHeight="1" x14ac:dyDescent="0.35">
      <c r="B33" s="71" t="s">
        <v>5</v>
      </c>
      <c r="C33" s="321" t="s">
        <v>158</v>
      </c>
      <c r="D33" s="325" t="str">
        <f t="array" aca="1" ref="D33" ca="1">INDEX(INDIRECT("'"&amp;$B32&amp;"'!$B$6:$F$16"),MATCH("Annual usage (kWh)",INDIRECT("'"&amp;$B32&amp;"'!$B$6:$B$16"),0),MATCH(D$6&amp;D$7,INDIRECT("'"&amp;$B32&amp;"'!$B$6:$E$6")&amp;INDIRECT("'"&amp;$B32&amp;"'!$B$7:$E$7"),0))&amp;" kWh"</f>
        <v>4000 kWh</v>
      </c>
      <c r="E33" s="327"/>
      <c r="F33" s="319" t="str">
        <f t="array" aca="1" ref="F33" ca="1">"Flat rate "&amp;INDEX(INDIRECT("'"&amp;$B32&amp;"'!$B$6:$F$15"),MATCH("Flat rate usage (kWh)",INDIRECT("'"&amp;$B32&amp;"'!$B$6:$B$15"),0),MATCH(F$6&amp;F$7,INDIRECT("'"&amp;$B32&amp;"'!$B$6:$E$6")&amp;INDIRECT("'"&amp;$B32&amp;"'!$B$7:$E$7"),0))&amp;" kWh"</f>
        <v>Flat rate 4200 kWh</v>
      </c>
      <c r="G33" s="320"/>
      <c r="H33" s="325" t="str">
        <f t="array" aca="1" ref="H33" ca="1">INDEX(INDIRECT("'"&amp;$B32&amp;"'!$B$6:$F$16"),MATCH("Annual usage (kWh)",INDIRECT("'"&amp;$B32&amp;"'!$B$6:$B$16"),0),MATCH(H$6&amp;H$7,INDIRECT("'"&amp;$B32&amp;"'!$B$6:$E$6")&amp;INDIRECT("'"&amp;$B32&amp;"'!$B$7:$E$7"),0))&amp;" kWh"</f>
        <v>10000 kWh</v>
      </c>
      <c r="I33" s="326"/>
    </row>
    <row r="34" spans="2:20" ht="12.65" customHeight="1" x14ac:dyDescent="0.35">
      <c r="B34" s="71"/>
      <c r="C34" s="323"/>
      <c r="D34" s="133"/>
      <c r="E34" s="134"/>
      <c r="F34" s="319" t="str">
        <f t="array" aca="1" ref="F34" ca="1">"+ CL "&amp;INDEX(INDIRECT("'"&amp;$B32&amp;"'!$B$6:$F$15"),MATCH("Controlled load usage (kWh)",INDIRECT("'"&amp;$B32&amp;"'!$B$6:$B$15"),0),MATCH(F$6&amp;F$7,INDIRECT("'"&amp;$B32&amp;"'!$B$6:$E$6")&amp;INDIRECT("'"&amp;$B32&amp;"'!$B$7:$E$7"),0))&amp;" kWh"</f>
        <v>+ CL 1800 kWh</v>
      </c>
      <c r="G34" s="320"/>
      <c r="H34" s="133"/>
      <c r="I34" s="124"/>
    </row>
    <row r="35" spans="2:20" ht="12.65" customHeight="1" x14ac:dyDescent="0.35">
      <c r="B35" s="71"/>
      <c r="C35" s="163"/>
      <c r="D35" s="166"/>
      <c r="E35" s="159"/>
      <c r="F35" s="151"/>
      <c r="G35" s="152"/>
      <c r="H35" s="157"/>
      <c r="I35" s="158"/>
    </row>
    <row r="36" spans="2:20" ht="12.65" customHeight="1" x14ac:dyDescent="0.35">
      <c r="B36" s="71"/>
      <c r="C36" s="141" t="s">
        <v>144</v>
      </c>
      <c r="D36" s="142">
        <f t="array" aca="1" ref="D36" ca="1">INDEX(INDIRECT("'"&amp;$B32&amp;"'!$B$6:$F$16"),MATCH("Change from DMO "&amp;PY&amp;" price ($)",INDIRECT("'"&amp;$B32&amp;"'!$B$6:$B$16"),0),MATCH(D$6&amp;D$7,INDIRECT("'"&amp;$B32&amp;"'!$B$6:$E$6")&amp;INDIRECT("'"&amp;$B32&amp;"'!$B$7:$E$7"),0))</f>
        <v>124</v>
      </c>
      <c r="E36" s="143" t="str">
        <f t="array" aca="1" ref="E36" ca="1">"("&amp;ROUND(INDEX(INDIRECT("'"&amp;$B32&amp;"'!$B$6:$F$16"),MATCH("Change from DMO "&amp;PY&amp;" price (%)",INDIRECT("'"&amp;$B32&amp;"'!$B$6:$B$16"),0),MATCH(D$6&amp;D$7,INDIRECT("'"&amp;$B32&amp;"'!$B$6:$E$6")&amp;INDIRECT("'"&amp;$B32&amp;"'!$B$7:$E$7"),0))*100,1)&amp;"%)"</f>
        <v>(7.2%)</v>
      </c>
      <c r="F36" s="142">
        <f t="array" aca="1" ref="F36" ca="1">INDEX(INDIRECT("'"&amp;$B32&amp;"'!$B$6:$F$16"),MATCH("Change from DMO "&amp;PY&amp;" price ($)",INDIRECT("'"&amp;$B32&amp;"'!$B$6:$B$16"),0),MATCH(F$6&amp;F$7,INDIRECT("'"&amp;$B32&amp;"'!$B$6:$E$6")&amp;INDIRECT("'"&amp;$B32&amp;"'!$B$7:$E$7"),0))</f>
        <v>198</v>
      </c>
      <c r="G36" s="169" t="str">
        <f t="array" aca="1" ref="G36" ca="1">"("&amp;ROUND(INDEX(INDIRECT("'"&amp;$B32&amp;"'!$B$6:$F$16"),MATCH("Change from DMO "&amp;PY&amp;" price (%)",INDIRECT("'"&amp;$B32&amp;"'!$B$6:$B$16"),0),MATCH(F$6&amp;F$7,INDIRECT("'"&amp;$B32&amp;"'!$B$6:$E$6")&amp;INDIRECT("'"&amp;$B32&amp;"'!$B$7:$E$7"),0))*100,1)&amp;"%)"</f>
        <v>(9.5%)</v>
      </c>
      <c r="H36" s="208"/>
      <c r="I36" s="212"/>
    </row>
    <row r="37" spans="2:20" ht="12.65" customHeight="1" thickBot="1" x14ac:dyDescent="0.4">
      <c r="B37" s="75"/>
      <c r="C37" s="170"/>
      <c r="D37" s="171"/>
      <c r="E37" s="172"/>
      <c r="F37" s="171"/>
      <c r="G37" s="173"/>
      <c r="H37" s="171"/>
      <c r="I37" s="145"/>
    </row>
    <row r="47" spans="2:20" ht="42" customHeight="1" x14ac:dyDescent="0.35">
      <c r="B47" s="174"/>
      <c r="C47" s="174"/>
      <c r="D47" s="174"/>
      <c r="E47" s="174"/>
      <c r="F47" s="174"/>
      <c r="G47" s="174"/>
      <c r="H47" s="174"/>
      <c r="I47" s="174"/>
      <c r="L47" s="174"/>
      <c r="M47" s="174"/>
      <c r="N47" s="174"/>
      <c r="O47" s="174"/>
      <c r="P47" s="174"/>
      <c r="Q47" s="174"/>
      <c r="R47" s="174"/>
      <c r="S47" s="174"/>
      <c r="T47" s="174"/>
    </row>
    <row r="48" spans="2:20" ht="25.4" customHeight="1" x14ac:dyDescent="0.35">
      <c r="B48" s="174"/>
      <c r="C48" s="174"/>
      <c r="D48" s="174"/>
      <c r="E48" s="174"/>
      <c r="F48" s="174"/>
      <c r="G48" s="174"/>
      <c r="H48" s="174"/>
      <c r="I48" s="174"/>
      <c r="L48" s="174"/>
      <c r="M48" s="174"/>
      <c r="N48" s="174"/>
      <c r="O48" s="174"/>
      <c r="P48" s="174"/>
      <c r="Q48" s="174"/>
      <c r="R48" s="174"/>
      <c r="S48" s="174"/>
      <c r="T48" s="174"/>
    </row>
    <row r="49" spans="2:20" ht="25.4" customHeight="1" x14ac:dyDescent="0.35">
      <c r="D49" s="174"/>
      <c r="E49" s="174"/>
      <c r="F49" s="174"/>
      <c r="G49" s="174"/>
      <c r="H49" s="174"/>
      <c r="I49" s="174"/>
      <c r="L49" s="174"/>
      <c r="M49" s="174"/>
      <c r="N49" s="174"/>
      <c r="O49" s="174"/>
      <c r="P49" s="174"/>
      <c r="Q49" s="174"/>
      <c r="R49" s="174"/>
      <c r="S49" s="174"/>
      <c r="T49" s="174"/>
    </row>
    <row r="50" spans="2:20" ht="25.4" customHeight="1" x14ac:dyDescent="0.35">
      <c r="D50" s="174"/>
      <c r="E50" s="174"/>
      <c r="F50" s="174"/>
      <c r="G50" s="174"/>
      <c r="H50" s="174"/>
      <c r="I50" s="174"/>
      <c r="L50" s="174"/>
      <c r="M50" s="174"/>
      <c r="N50" s="174"/>
      <c r="O50" s="174"/>
      <c r="P50" s="174"/>
      <c r="Q50" s="174"/>
      <c r="R50" s="174"/>
      <c r="S50" s="174"/>
      <c r="T50" s="174"/>
    </row>
    <row r="51" spans="2:20" ht="25.4" customHeight="1" x14ac:dyDescent="0.35">
      <c r="D51" s="174"/>
      <c r="E51" s="174"/>
      <c r="F51" s="174"/>
      <c r="G51" s="174"/>
      <c r="H51" s="174"/>
      <c r="I51" s="174"/>
      <c r="L51" s="174"/>
      <c r="M51" s="174"/>
      <c r="N51" s="174"/>
      <c r="O51" s="174"/>
      <c r="P51" s="174"/>
      <c r="Q51" s="174"/>
      <c r="R51" s="174"/>
      <c r="S51" s="174"/>
      <c r="T51" s="174"/>
    </row>
    <row r="52" spans="2:20" ht="25.4" customHeight="1" x14ac:dyDescent="0.35">
      <c r="D52" s="174"/>
      <c r="E52" s="174"/>
      <c r="F52" s="174"/>
      <c r="G52" s="174"/>
      <c r="H52" s="174"/>
      <c r="I52" s="174"/>
      <c r="L52" s="174"/>
      <c r="M52" s="174"/>
      <c r="N52" s="174"/>
      <c r="O52" s="174"/>
      <c r="P52" s="174"/>
      <c r="Q52" s="174"/>
      <c r="R52" s="174"/>
      <c r="S52" s="174"/>
      <c r="T52" s="174"/>
    </row>
    <row r="53" spans="2:20" ht="25.4" customHeight="1" x14ac:dyDescent="0.35">
      <c r="D53" s="174"/>
      <c r="E53" s="174"/>
      <c r="F53" s="174"/>
      <c r="G53" s="174"/>
      <c r="H53" s="174"/>
      <c r="I53" s="174"/>
      <c r="L53" s="174"/>
      <c r="M53" s="174"/>
      <c r="N53" s="174"/>
      <c r="O53" s="174"/>
      <c r="P53" s="174"/>
      <c r="Q53" s="174"/>
      <c r="R53" s="174"/>
      <c r="S53" s="174"/>
      <c r="T53" s="174"/>
    </row>
    <row r="54" spans="2:20" ht="25.4" customHeight="1" x14ac:dyDescent="0.35">
      <c r="B54" s="174"/>
      <c r="C54" s="174"/>
      <c r="D54" s="174"/>
      <c r="E54" s="174"/>
      <c r="F54" s="174"/>
      <c r="G54" s="174"/>
      <c r="H54" s="174"/>
      <c r="I54" s="174"/>
      <c r="L54" s="174"/>
      <c r="M54" s="174"/>
      <c r="N54" s="174"/>
      <c r="O54" s="174"/>
      <c r="P54" s="174"/>
      <c r="Q54" s="174"/>
      <c r="R54" s="174"/>
      <c r="S54" s="174"/>
      <c r="T54" s="174"/>
    </row>
    <row r="55" spans="2:20" ht="25.4" customHeight="1" x14ac:dyDescent="0.35">
      <c r="D55" s="174"/>
      <c r="E55" s="174"/>
      <c r="F55" s="174"/>
      <c r="G55" s="174"/>
      <c r="H55" s="174"/>
      <c r="I55" s="174"/>
      <c r="L55" s="174"/>
      <c r="M55" s="174"/>
      <c r="N55" s="174"/>
      <c r="O55" s="174"/>
      <c r="P55" s="174"/>
      <c r="Q55" s="174"/>
      <c r="R55" s="174"/>
      <c r="S55" s="174"/>
      <c r="T55" s="174"/>
    </row>
    <row r="56" spans="2:20" ht="25.4" customHeight="1" x14ac:dyDescent="0.35">
      <c r="D56" s="174"/>
      <c r="E56" s="174"/>
      <c r="F56" s="174"/>
      <c r="G56" s="174"/>
      <c r="H56" s="174"/>
      <c r="I56" s="174"/>
      <c r="L56" s="174"/>
      <c r="M56" s="174"/>
      <c r="N56" s="174"/>
      <c r="O56" s="174"/>
      <c r="P56" s="174"/>
      <c r="Q56" s="174"/>
      <c r="R56" s="174"/>
      <c r="S56" s="174"/>
      <c r="T56" s="174"/>
    </row>
    <row r="57" spans="2:20" ht="25.4" customHeight="1" x14ac:dyDescent="0.35">
      <c r="D57" s="174"/>
      <c r="E57" s="174"/>
      <c r="F57" s="174"/>
      <c r="G57" s="174"/>
      <c r="H57" s="174"/>
      <c r="I57" s="174"/>
      <c r="L57" s="174"/>
      <c r="M57" s="174"/>
      <c r="N57" s="174"/>
      <c r="O57" s="174"/>
      <c r="P57" s="174"/>
      <c r="Q57" s="174"/>
      <c r="R57" s="174"/>
      <c r="S57" s="174"/>
      <c r="T57" s="174"/>
    </row>
    <row r="58" spans="2:20" ht="25.4" customHeight="1" x14ac:dyDescent="0.35">
      <c r="D58" s="174"/>
      <c r="E58" s="174"/>
      <c r="F58" s="174"/>
      <c r="G58" s="174"/>
      <c r="H58" s="174"/>
      <c r="I58" s="174"/>
      <c r="L58" s="174"/>
      <c r="M58" s="174"/>
      <c r="N58" s="174"/>
      <c r="O58" s="174"/>
      <c r="P58" s="174"/>
      <c r="Q58" s="174"/>
      <c r="R58" s="174"/>
      <c r="S58" s="174"/>
      <c r="T58" s="174"/>
    </row>
    <row r="59" spans="2:20" ht="25.4" customHeight="1" x14ac:dyDescent="0.35">
      <c r="D59" s="174"/>
      <c r="E59" s="174"/>
      <c r="F59" s="174"/>
      <c r="G59" s="174"/>
      <c r="H59" s="174"/>
      <c r="I59" s="174"/>
      <c r="L59" s="174"/>
      <c r="M59" s="174"/>
      <c r="N59" s="174"/>
      <c r="O59" s="174"/>
      <c r="P59" s="174"/>
      <c r="Q59" s="174"/>
      <c r="R59" s="174"/>
      <c r="S59" s="174"/>
      <c r="T59" s="174"/>
    </row>
    <row r="60" spans="2:20" ht="25.4" customHeight="1" x14ac:dyDescent="0.35">
      <c r="B60" s="174"/>
      <c r="C60" s="174"/>
      <c r="D60" s="174"/>
      <c r="E60" s="174"/>
      <c r="F60" s="174"/>
      <c r="G60" s="174"/>
      <c r="H60" s="174"/>
      <c r="I60" s="174"/>
      <c r="L60" s="174"/>
      <c r="M60" s="174"/>
      <c r="N60" s="174"/>
      <c r="O60" s="174"/>
      <c r="P60" s="174"/>
      <c r="Q60" s="174"/>
      <c r="R60" s="174"/>
      <c r="S60" s="174"/>
      <c r="T60" s="174"/>
    </row>
    <row r="61" spans="2:20" ht="25.4" customHeight="1" x14ac:dyDescent="0.35">
      <c r="D61" s="174"/>
      <c r="E61" s="174"/>
      <c r="F61" s="174"/>
      <c r="G61" s="174"/>
      <c r="H61" s="174"/>
      <c r="I61" s="174"/>
      <c r="L61" s="174"/>
      <c r="M61" s="174"/>
      <c r="N61" s="174"/>
      <c r="O61" s="174"/>
      <c r="P61" s="174"/>
      <c r="Q61" s="174"/>
      <c r="R61" s="174"/>
      <c r="S61" s="174"/>
      <c r="T61" s="174"/>
    </row>
    <row r="62" spans="2:20" ht="25.4" customHeight="1" x14ac:dyDescent="0.35">
      <c r="D62" s="174"/>
      <c r="E62" s="174"/>
      <c r="F62" s="174"/>
      <c r="G62" s="174"/>
      <c r="H62" s="174"/>
      <c r="I62" s="174"/>
      <c r="L62" s="174"/>
      <c r="M62" s="174"/>
      <c r="N62" s="174"/>
      <c r="O62" s="174"/>
      <c r="P62" s="174"/>
      <c r="Q62" s="174"/>
      <c r="R62" s="174"/>
      <c r="S62" s="174"/>
      <c r="T62" s="174"/>
    </row>
    <row r="63" spans="2:20" ht="25.4" customHeight="1" x14ac:dyDescent="0.35">
      <c r="D63" s="174"/>
      <c r="E63" s="174"/>
      <c r="F63" s="174"/>
      <c r="G63" s="174"/>
      <c r="H63" s="174"/>
      <c r="I63" s="174"/>
      <c r="L63" s="174"/>
      <c r="M63" s="174"/>
      <c r="N63" s="174"/>
      <c r="O63" s="174"/>
      <c r="P63" s="174"/>
      <c r="Q63" s="174"/>
      <c r="R63" s="174"/>
      <c r="S63" s="174"/>
      <c r="T63" s="174"/>
    </row>
    <row r="64" spans="2:20" ht="25.4" customHeight="1" x14ac:dyDescent="0.35">
      <c r="D64" s="174"/>
      <c r="E64" s="174"/>
      <c r="F64" s="174"/>
      <c r="G64" s="174"/>
      <c r="H64" s="174"/>
      <c r="I64" s="174"/>
      <c r="L64" s="174"/>
      <c r="M64" s="174"/>
      <c r="N64" s="174"/>
      <c r="O64" s="174"/>
      <c r="P64" s="174"/>
      <c r="Q64" s="174"/>
      <c r="R64" s="174"/>
      <c r="S64" s="174"/>
      <c r="T64" s="174"/>
    </row>
    <row r="65" spans="4:20" ht="25.4" customHeight="1" x14ac:dyDescent="0.35">
      <c r="D65" s="174"/>
      <c r="E65" s="174"/>
      <c r="F65" s="174"/>
      <c r="G65" s="174"/>
      <c r="H65" s="174"/>
      <c r="I65" s="174"/>
      <c r="L65" s="174"/>
      <c r="M65" s="174"/>
      <c r="N65" s="174"/>
      <c r="O65" s="174"/>
      <c r="P65" s="174"/>
      <c r="Q65" s="174"/>
      <c r="R65" s="174"/>
      <c r="S65" s="174"/>
      <c r="T65" s="174"/>
    </row>
  </sheetData>
  <mergeCells count="61">
    <mergeCell ref="R6:R7"/>
    <mergeCell ref="P6:P7"/>
    <mergeCell ref="Z6:Z7"/>
    <mergeCell ref="V6:V7"/>
    <mergeCell ref="W6:W7"/>
    <mergeCell ref="X6:X7"/>
    <mergeCell ref="Y6:Y7"/>
    <mergeCell ref="F9:G9"/>
    <mergeCell ref="H8:I8"/>
    <mergeCell ref="H9:I9"/>
    <mergeCell ref="D6:E6"/>
    <mergeCell ref="D7:E7"/>
    <mergeCell ref="F6:G6"/>
    <mergeCell ref="F7:G7"/>
    <mergeCell ref="H20:I20"/>
    <mergeCell ref="F20:G20"/>
    <mergeCell ref="D20:E20"/>
    <mergeCell ref="D26:E26"/>
    <mergeCell ref="F26:G26"/>
    <mergeCell ref="H26:I26"/>
    <mergeCell ref="F21:G21"/>
    <mergeCell ref="F22:G22"/>
    <mergeCell ref="H32:I32"/>
    <mergeCell ref="F32:G32"/>
    <mergeCell ref="D32:E32"/>
    <mergeCell ref="D27:E27"/>
    <mergeCell ref="H27:I27"/>
    <mergeCell ref="F27:G27"/>
    <mergeCell ref="F28:G28"/>
    <mergeCell ref="F33:G33"/>
    <mergeCell ref="S6:S7"/>
    <mergeCell ref="Q6:Q7"/>
    <mergeCell ref="F34:G34"/>
    <mergeCell ref="C9:C10"/>
    <mergeCell ref="C15:C16"/>
    <mergeCell ref="C21:C22"/>
    <mergeCell ref="C27:C28"/>
    <mergeCell ref="C33:C34"/>
    <mergeCell ref="D15:E15"/>
    <mergeCell ref="H33:I33"/>
    <mergeCell ref="D33:E33"/>
    <mergeCell ref="D21:E21"/>
    <mergeCell ref="H21:I21"/>
    <mergeCell ref="F10:G10"/>
    <mergeCell ref="F15:G15"/>
    <mergeCell ref="O6:O7"/>
    <mergeCell ref="B6:B7"/>
    <mergeCell ref="F16:G16"/>
    <mergeCell ref="A1:B1"/>
    <mergeCell ref="L6:L7"/>
    <mergeCell ref="M6:M7"/>
    <mergeCell ref="N6:N7"/>
    <mergeCell ref="H15:I15"/>
    <mergeCell ref="D14:E14"/>
    <mergeCell ref="F14:G14"/>
    <mergeCell ref="H14:I14"/>
    <mergeCell ref="H6:I6"/>
    <mergeCell ref="H7:I7"/>
    <mergeCell ref="D9:E9"/>
    <mergeCell ref="D8:E8"/>
    <mergeCell ref="F8:G8"/>
  </mergeCells>
  <conditionalFormatting sqref="L8:S19">
    <cfRule type="expression" dxfId="1694" priority="6">
      <formula>MOD(ROW(),2)=0</formula>
    </cfRule>
  </conditionalFormatting>
  <conditionalFormatting sqref="V8:Z19">
    <cfRule type="expression" dxfId="1693" priority="1">
      <formula>MOD(ROW(),2)=0</formula>
    </cfRule>
  </conditionalFormatting>
  <hyperlinks>
    <hyperlink ref="A1" location="Index!A1" display="&lt;&lt;Back to Index" xr:uid="{00000000-0004-0000-0500-000000000000}"/>
  </hyperlinks>
  <pageMargins left="0.7" right="0.7" top="0.75" bottom="0.75" header="0.3" footer="0.3"/>
  <pageSetup paperSize="9" orientation="portrait" r:id="rId1"/>
  <ignoredErrors>
    <ignoredError sqref="E12:G12 H32:I33 H26:I27 H20:I21 D33:E33 D27:E27 D32:E32 D21:E21 D26:E26 D20:E20 D18:E18 D24:E24 D30:E30 D36:G36 F9 F30:G30 F24:G24 F18:G18 F20:G20 F26:G26 F32:G32 F15:G15 F33:G33 F27:G27 F21:G21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6C7C"/>
  </sheetPr>
  <dimension ref="F9:F14"/>
  <sheetViews>
    <sheetView workbookViewId="0">
      <selection activeCell="I51" sqref="I51"/>
    </sheetView>
  </sheetViews>
  <sheetFormatPr defaultColWidth="8.81640625" defaultRowHeight="14.5" x14ac:dyDescent="0.35"/>
  <cols>
    <col min="1" max="16384" width="8.81640625" style="3"/>
  </cols>
  <sheetData>
    <row r="9" spans="6:6" ht="36" x14ac:dyDescent="0.35">
      <c r="F9" s="2" t="s">
        <v>181</v>
      </c>
    </row>
    <row r="10" spans="6:6" ht="36" x14ac:dyDescent="0.35">
      <c r="F10" s="2" t="str">
        <f>"DMO "&amp;FY</f>
        <v>DMO 2022-23</v>
      </c>
    </row>
    <row r="11" spans="6:6" ht="23.5" x14ac:dyDescent="0.35">
      <c r="F11" s="4" t="s">
        <v>168</v>
      </c>
    </row>
    <row r="12" spans="6:6" ht="23.5" x14ac:dyDescent="0.35">
      <c r="F12" s="4"/>
    </row>
    <row r="13" spans="6:6" x14ac:dyDescent="0.35">
      <c r="F13" s="5"/>
    </row>
    <row r="14" spans="6:6" x14ac:dyDescent="0.35">
      <c r="F14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6C7C"/>
  </sheetPr>
  <dimension ref="A1:T84"/>
  <sheetViews>
    <sheetView topLeftCell="A25" zoomScaleNormal="100" workbookViewId="0">
      <selection activeCell="H50" sqref="H50"/>
    </sheetView>
  </sheetViews>
  <sheetFormatPr defaultColWidth="8.81640625" defaultRowHeight="14.5" x14ac:dyDescent="0.35"/>
  <cols>
    <col min="1" max="1" width="3.1796875" style="3" customWidth="1"/>
    <col min="2" max="2" width="10.1796875" style="3" bestFit="1" customWidth="1"/>
    <col min="3" max="3" width="17.453125" style="3" bestFit="1" customWidth="1"/>
    <col min="4" max="4" width="9" style="3" bestFit="1" customWidth="1"/>
    <col min="5" max="5" width="14.1796875" style="3" bestFit="1" customWidth="1"/>
    <col min="6" max="6" width="16" style="3" bestFit="1" customWidth="1"/>
    <col min="7" max="7" width="19.54296875" style="3" bestFit="1" customWidth="1"/>
    <col min="8" max="8" width="9.81640625" style="3" bestFit="1" customWidth="1"/>
    <col min="9" max="9" width="11.453125" style="3" bestFit="1" customWidth="1"/>
    <col min="10" max="10" width="16.453125" style="3" bestFit="1" customWidth="1"/>
    <col min="11" max="11" width="9" style="3" bestFit="1" customWidth="1"/>
    <col min="12" max="12" width="8.81640625" style="3" bestFit="1" customWidth="1"/>
    <col min="13" max="25" width="10.81640625" style="3" customWidth="1"/>
    <col min="26" max="26" width="12" style="3" customWidth="1"/>
    <col min="27" max="16384" width="8.81640625" style="3"/>
  </cols>
  <sheetData>
    <row r="1" spans="1:2" ht="10.4" customHeight="1" x14ac:dyDescent="0.35">
      <c r="A1" s="302" t="s">
        <v>20</v>
      </c>
      <c r="B1" s="307"/>
    </row>
    <row r="2" spans="1:2" s="13" customFormat="1" ht="22.5" customHeight="1" x14ac:dyDescent="0.35">
      <c r="A2" s="14" t="s">
        <v>153</v>
      </c>
      <c r="B2" s="14"/>
    </row>
    <row r="3" spans="1:2" x14ac:dyDescent="0.35">
      <c r="B3" s="107" t="s">
        <v>138</v>
      </c>
    </row>
    <row r="41" spans="1:20" x14ac:dyDescent="0.35">
      <c r="B41" s="117" t="s">
        <v>135</v>
      </c>
    </row>
    <row r="44" spans="1:20" s="5" customFormat="1" x14ac:dyDescent="0.35">
      <c r="B44" s="115" t="s">
        <v>6</v>
      </c>
      <c r="C44" s="116" t="s">
        <v>136</v>
      </c>
      <c r="D44" s="278" t="str">
        <f>PY</f>
        <v>2021-22</v>
      </c>
      <c r="E44" s="278" t="s">
        <v>58</v>
      </c>
      <c r="F44" s="278" t="s">
        <v>59</v>
      </c>
      <c r="G44" s="278" t="s">
        <v>60</v>
      </c>
      <c r="H44" s="278" t="s">
        <v>196</v>
      </c>
      <c r="I44" s="278" t="s">
        <v>193</v>
      </c>
      <c r="J44" s="278" t="s">
        <v>195</v>
      </c>
      <c r="K44" s="278" t="str">
        <f>FY</f>
        <v>2022-23</v>
      </c>
      <c r="L44" s="279" t="s">
        <v>22</v>
      </c>
      <c r="N44" s="122"/>
    </row>
    <row r="45" spans="1:20" x14ac:dyDescent="0.35">
      <c r="A45" s="70" t="str">
        <f>B45&amp;" "&amp;$B$44&amp;" "&amp;$C$44&amp;" $"</f>
        <v>Ausgrid Residential without CL $</v>
      </c>
      <c r="B45" s="110" t="s">
        <v>2</v>
      </c>
      <c r="C45" s="111" t="s">
        <v>169</v>
      </c>
      <c r="D45" s="280">
        <v>0</v>
      </c>
      <c r="E45" s="280">
        <f ca="1">IF($L46&lt;0,SUM(D45:D51)+$L46,SUM(D45:D51))</f>
        <v>1374.7806889999999</v>
      </c>
      <c r="F45" s="280">
        <f ca="1">IF($L47&lt;0,IF($L46&lt;0,E45+$L47,E45+$L46+$L47),IF($L46&lt;0,E45,E45+$L46))</f>
        <v>1374.7806889999999</v>
      </c>
      <c r="G45" s="280">
        <f ca="1">IF($L48&lt;0,IF($L47&lt;0,F45+$L48,F45+$L47+$L48),IF($L47&lt;0,F45,F45+$L47))</f>
        <v>1521.884789</v>
      </c>
      <c r="H45" s="280">
        <f ca="1">IF($L49&lt;0,IF($L48&lt;0,G45+$L49,G45+$L48+$L49),IF($L48&lt;0,G45,G45+$L48))</f>
        <v>1151.505443</v>
      </c>
      <c r="I45" s="280">
        <f ca="1">IF($L50&lt;0,IF($L49&lt;0,H45+$L50,H45+$L49+$L50),IF($L49&lt;0,H45,H45+$L49))</f>
        <v>1151.505443</v>
      </c>
      <c r="J45" s="280">
        <f ca="1">IF($L51&lt;0,IF($L50&lt;0,I45+$L51,I45+$L50+$L51),IF($L50&lt;0,I45,I45+$L50))</f>
        <v>1360.6047587152091</v>
      </c>
      <c r="K45" s="280">
        <v>0</v>
      </c>
      <c r="L45" s="281"/>
      <c r="N45" s="36"/>
      <c r="O45" s="36"/>
      <c r="P45" s="36"/>
      <c r="Q45" s="36"/>
      <c r="R45" s="36"/>
      <c r="S45" s="36"/>
      <c r="T45" s="36"/>
    </row>
    <row r="46" spans="1:20" x14ac:dyDescent="0.35">
      <c r="A46" s="70"/>
      <c r="B46" s="112" t="str">
        <f>B45</f>
        <v>Ausgrid</v>
      </c>
      <c r="C46" s="32" t="s">
        <v>58</v>
      </c>
      <c r="D46" s="282" cm="1">
        <f t="array" aca="1" ref="D46" ca="1">INDEX(INDIRECT("'"&amp;$B46&amp;"'!$F$23:$AJ$39"),MATCH($C46,INDIRECT("'"&amp;$B46&amp;"'!$F$23:$F$39"),0),MATCH($B$44&amp;$C$44&amp;D$44&amp;"Cost",INDIRECT("'"&amp;$B46&amp;"'!$F$23:$AJ$23")&amp;INDIRECT("'"&amp;$B46&amp;"'!$F$24:$AJ$24")&amp;INDIRECT("'"&amp;$B46&amp;"'!$F$25:$AJ$25")&amp;INDIRECT("'"&amp;$B46&amp;"'!$F$30:$AJ$30"),0))</f>
        <v>556.64085399999999</v>
      </c>
      <c r="E46" s="283">
        <f ca="1">ABS($K46-$D46)</f>
        <v>18.219311000000062</v>
      </c>
      <c r="F46" s="283"/>
      <c r="G46" s="283"/>
      <c r="H46" s="283"/>
      <c r="I46" s="283"/>
      <c r="J46" s="283"/>
      <c r="K46" s="282">
        <f t="array" aca="1" ref="K46" ca="1">INDEX(INDIRECT("'"&amp;$B46&amp;"'!$F$23:$AJ$39"),MATCH($C46,INDIRECT("'"&amp;$B46&amp;"'!$F$23:$F$39"),0),MATCH($B$44&amp;$C$44&amp;K$44&amp;"Cost",INDIRECT("'"&amp;$B46&amp;"'!$F$23:$AJ$23")&amp;INDIRECT("'"&amp;$B46&amp;"'!$F$24:$AJ$24")&amp;INDIRECT("'"&amp;$B46&amp;"'!$F$25:$AJ$25")&amp;INDIRECT("'"&amp;$B46&amp;"'!$F$30:$AJ$30"),0))</f>
        <v>538.42154299999993</v>
      </c>
      <c r="L46" s="284">
        <f t="shared" ref="L46:L51" ca="1" si="0">K46-D46</f>
        <v>-18.219311000000062</v>
      </c>
      <c r="M46" s="109"/>
      <c r="N46" s="36"/>
      <c r="O46" s="36"/>
      <c r="P46" s="36"/>
      <c r="Q46" s="36"/>
      <c r="R46" s="36"/>
      <c r="S46" s="36"/>
      <c r="T46" s="36"/>
    </row>
    <row r="47" spans="1:20" x14ac:dyDescent="0.35">
      <c r="A47" s="70"/>
      <c r="B47" s="112" t="str">
        <f>B46</f>
        <v>Ausgrid</v>
      </c>
      <c r="C47" s="32" t="s">
        <v>59</v>
      </c>
      <c r="D47" s="282" cm="1">
        <f t="array" aca="1" ref="D47" ca="1">INDEX(INDIRECT("'"&amp;$B47&amp;"'!$F$23:$AJ$39"),MATCH($C47,INDIRECT("'"&amp;$B47&amp;"'!$F$23:$F$39"),0),MATCH($B$44&amp;$C$44&amp;D$44&amp;"Cost",INDIRECT("'"&amp;$B47&amp;"'!$F$23:$AJ$23")&amp;INDIRECT("'"&amp;$B47&amp;"'!$F$24:$AJ$24")&amp;INDIRECT("'"&amp;$B47&amp;"'!$F$25:$AJ$25")&amp;INDIRECT("'"&amp;$B47&amp;"'!$F$30:$AJ$30"),0))</f>
        <v>377.26260000000002</v>
      </c>
      <c r="E47" s="283"/>
      <c r="F47" s="283">
        <f ca="1">ABS($K47-$D47)</f>
        <v>147.10410000000002</v>
      </c>
      <c r="G47" s="283"/>
      <c r="H47" s="283"/>
      <c r="I47" s="283"/>
      <c r="J47" s="283"/>
      <c r="K47" s="282">
        <f t="array" aca="1" ref="K47" ca="1">INDEX(INDIRECT("'"&amp;$B47&amp;"'!$F$23:$AJ$39"),MATCH($C47,INDIRECT("'"&amp;$B47&amp;"'!$F$23:$F$39"),0),MATCH($B$44&amp;$C$44&amp;K$44&amp;"Cost",INDIRECT("'"&amp;$B47&amp;"'!$F$23:$AJ$23")&amp;INDIRECT("'"&amp;$B47&amp;"'!$F$24:$AJ$24")&amp;INDIRECT("'"&amp;$B47&amp;"'!$F$25:$AJ$25")&amp;INDIRECT("'"&amp;$B47&amp;"'!$F$30:$AJ$30"),0))</f>
        <v>524.36670000000004</v>
      </c>
      <c r="L47" s="284">
        <f t="shared" ca="1" si="0"/>
        <v>147.10410000000002</v>
      </c>
      <c r="N47" s="36"/>
      <c r="O47" s="36"/>
      <c r="P47" s="36"/>
      <c r="Q47" s="36"/>
      <c r="R47" s="36"/>
      <c r="S47" s="36"/>
      <c r="T47" s="36"/>
    </row>
    <row r="48" spans="1:20" x14ac:dyDescent="0.35">
      <c r="A48" s="70"/>
      <c r="B48" s="112" t="str">
        <f>B47</f>
        <v>Ausgrid</v>
      </c>
      <c r="C48" s="32" t="s">
        <v>60</v>
      </c>
      <c r="D48" s="282">
        <f t="array" aca="1" ref="D48" ca="1">INDEX(INDIRECT("'"&amp;$B48&amp;"'!$F$23:$AJ$39"),MATCH($C48,INDIRECT("'"&amp;$B48&amp;"'!$F$23:$F$39"),0),MATCH($B$44&amp;$C$44&amp;D$44&amp;"Cost",INDIRECT("'"&amp;$B48&amp;"'!$F$23:$AJ$23")&amp;INDIRECT("'"&amp;$B48&amp;"'!$F$24:$AJ$24")&amp;INDIRECT("'"&amp;$B48&amp;"'!$F$25:$AJ$25")&amp;INDIRECT("'"&amp;$B48&amp;"'!$F$30:$AJ$30"),0))</f>
        <v>82.2393</v>
      </c>
      <c r="E48" s="283"/>
      <c r="F48" s="283"/>
      <c r="G48" s="283">
        <f ca="1">ABS($K48-$D48)</f>
        <v>6.4779000000000053</v>
      </c>
      <c r="H48" s="283"/>
      <c r="I48" s="283"/>
      <c r="J48" s="283"/>
      <c r="K48" s="282">
        <f t="array" aca="1" ref="K48" ca="1">INDEX(INDIRECT("'"&amp;$B48&amp;"'!$F$23:$AJ$39"),MATCH($C48,INDIRECT("'"&amp;$B48&amp;"'!$F$23:$F$39"),0),MATCH($B$44&amp;$C$44&amp;K$44&amp;"Cost",INDIRECT("'"&amp;$B48&amp;"'!$F$23:$AJ$23")&amp;INDIRECT("'"&amp;$B48&amp;"'!$F$24:$AJ$24")&amp;INDIRECT("'"&amp;$B48&amp;"'!$F$25:$AJ$25")&amp;INDIRECT("'"&amp;$B48&amp;"'!$F$30:$AJ$30"),0))</f>
        <v>88.717200000000005</v>
      </c>
      <c r="L48" s="284">
        <f t="shared" ca="1" si="0"/>
        <v>6.4779000000000053</v>
      </c>
      <c r="N48" s="36"/>
      <c r="O48" s="36"/>
      <c r="P48" s="36"/>
      <c r="Q48" s="36"/>
      <c r="R48" s="36"/>
      <c r="S48" s="36"/>
      <c r="T48" s="36"/>
    </row>
    <row r="49" spans="1:20" x14ac:dyDescent="0.35">
      <c r="A49" s="70"/>
      <c r="B49" s="112" t="str">
        <f>B47</f>
        <v>Ausgrid</v>
      </c>
      <c r="C49" s="32" t="s">
        <v>196</v>
      </c>
      <c r="D49" s="282">
        <f t="array" aca="1" ref="D49" ca="1">INDEX(INDIRECT("'"&amp;$B49&amp;"'!$F$23:$AJ$39"),MATCH($C49,INDIRECT("'"&amp;$B49&amp;"'!$F$23:$F$39"),0),MATCH($B$44&amp;$C$44&amp;D$44&amp;"Cost",INDIRECT("'"&amp;$B49&amp;"'!$F$23:$AJ$23")&amp;INDIRECT("'"&amp;$B49&amp;"'!$F$24:$AJ$24")&amp;INDIRECT("'"&amp;$B49&amp;"'!$F$25:$AJ$25")&amp;INDIRECT("'"&amp;$B49&amp;"'!$F$30:$AJ$30"),0))</f>
        <v>376.85724600000003</v>
      </c>
      <c r="E49" s="283"/>
      <c r="F49" s="283"/>
      <c r="G49" s="283"/>
      <c r="H49" s="283">
        <f ca="1">ABS($K49-$D49)</f>
        <v>376.85724600000003</v>
      </c>
      <c r="I49" s="252"/>
      <c r="J49" s="283"/>
      <c r="K49" s="282">
        <f t="array" aca="1" ref="K49" ca="1">INDEX(INDIRECT("'"&amp;$B49&amp;"'!$F$23:$AJ$39"),MATCH($C49,INDIRECT("'"&amp;$B49&amp;"'!$F$23:$F$39"),0),MATCH($B$44&amp;$C$44&amp;K$44&amp;"Cost",INDIRECT("'"&amp;$B49&amp;"'!$F$23:$AJ$23")&amp;INDIRECT("'"&amp;$B49&amp;"'!$F$24:$AJ$24")&amp;INDIRECT("'"&amp;$B49&amp;"'!$F$25:$AJ$25")&amp;INDIRECT("'"&amp;$B49&amp;"'!$F$30:$AJ$30"),0))</f>
        <v>0</v>
      </c>
      <c r="L49" s="284">
        <f t="shared" ca="1" si="0"/>
        <v>-376.85724600000003</v>
      </c>
      <c r="N49" s="36"/>
      <c r="O49" s="36"/>
      <c r="P49" s="36"/>
      <c r="Q49" s="36"/>
      <c r="R49" s="36"/>
      <c r="S49" s="36"/>
      <c r="T49" s="36"/>
    </row>
    <row r="50" spans="1:20" x14ac:dyDescent="0.35">
      <c r="A50" s="70"/>
      <c r="B50" s="112" t="str">
        <f>B48</f>
        <v>Ausgrid</v>
      </c>
      <c r="C50" s="32" t="s">
        <v>193</v>
      </c>
      <c r="D50" s="282">
        <f t="array" aca="1" ref="D50" ca="1">INDEX(INDIRECT("'"&amp;$B50&amp;"'!$F$23:$AJ$39"),MATCH($C50,INDIRECT("'"&amp;$B50&amp;"'!$F$23:$F$39"),0),MATCH($B$44&amp;$C$44&amp;D$44&amp;"Cost",INDIRECT("'"&amp;$B50&amp;"'!$F$23:$AJ$23")&amp;INDIRECT("'"&amp;$B50&amp;"'!$F$24:$AJ$24")&amp;INDIRECT("'"&amp;$B50&amp;"'!$F$25:$AJ$25")&amp;INDIRECT("'"&amp;$B50&amp;"'!$F$30:$AJ$30"),0))</f>
        <v>0</v>
      </c>
      <c r="E50" s="283"/>
      <c r="F50" s="283"/>
      <c r="G50" s="283"/>
      <c r="H50" s="283"/>
      <c r="I50" s="283">
        <f ca="1">ABS($K50-$D50)</f>
        <v>209.099315715209</v>
      </c>
      <c r="J50" s="283"/>
      <c r="K50" s="282">
        <f t="array" aca="1" ref="K50" ca="1">INDEX(INDIRECT("'"&amp;$B50&amp;"'!$F$23:$AJ$39"),MATCH($C50,INDIRECT("'"&amp;$B50&amp;"'!$F$23:$F$39"),0),MATCH($B$44&amp;$C$44&amp;K$44&amp;"Cost",INDIRECT("'"&amp;$B50&amp;"'!$F$23:$AJ$23")&amp;INDIRECT("'"&amp;$B50&amp;"'!$F$24:$AJ$24")&amp;INDIRECT("'"&amp;$B50&amp;"'!$F$25:$AJ$25")&amp;INDIRECT("'"&amp;$B50&amp;"'!$F$30:$AJ$30"),0))</f>
        <v>209.099315715209</v>
      </c>
      <c r="L50" s="284">
        <f t="shared" ca="1" si="0"/>
        <v>209.099315715209</v>
      </c>
      <c r="N50" s="36"/>
      <c r="O50" s="36"/>
      <c r="P50" s="36"/>
      <c r="Q50" s="36"/>
      <c r="R50" s="36"/>
      <c r="S50" s="36"/>
      <c r="T50" s="36"/>
    </row>
    <row r="51" spans="1:20" x14ac:dyDescent="0.35">
      <c r="A51" s="70"/>
      <c r="B51" s="112" t="str">
        <f>B49</f>
        <v>Ausgrid</v>
      </c>
      <c r="C51" s="32" t="s">
        <v>195</v>
      </c>
      <c r="D51" s="282">
        <f t="array" aca="1" ref="D51" ca="1">INDEX(INDIRECT("'"&amp;$B51&amp;"'!$F$23:$AJ$39"),MATCH($C51,INDIRECT("'"&amp;$B51&amp;"'!$F$23:$F$39"),0),MATCH($B$44&amp;$C$44&amp;D$44&amp;"Cost",INDIRECT("'"&amp;$B51&amp;"'!$F$23:$AJ$23")&amp;INDIRECT("'"&amp;$B51&amp;"'!$F$24:$AJ$24")&amp;INDIRECT("'"&amp;$B51&amp;"'!$F$25:$AJ$25")&amp;INDIRECT("'"&amp;$B51&amp;"'!$F$30:$AJ$30"),0))</f>
        <v>0</v>
      </c>
      <c r="E51" s="283"/>
      <c r="F51" s="283"/>
      <c r="G51" s="283"/>
      <c r="H51" s="283"/>
      <c r="I51" s="283"/>
      <c r="J51" s="283">
        <f ca="1">ABS($K51-$D51)</f>
        <v>151.17830652391217</v>
      </c>
      <c r="K51" s="282">
        <f t="array" aca="1" ref="K51" ca="1">INDEX(INDIRECT("'"&amp;$B51&amp;"'!$F$23:$AJ$39"),MATCH($C51,INDIRECT("'"&amp;$B51&amp;"'!$F$23:$F$39"),0),MATCH($B$44&amp;$C$44&amp;K$44&amp;"Cost",INDIRECT("'"&amp;$B51&amp;"'!$F$23:$AJ$23")&amp;INDIRECT("'"&amp;$B51&amp;"'!$F$24:$AJ$24")&amp;INDIRECT("'"&amp;$B51&amp;"'!$F$25:$AJ$25")&amp;INDIRECT("'"&amp;$B51&amp;"'!$F$30:$AJ$30"),0))</f>
        <v>151.17830652391217</v>
      </c>
      <c r="L51" s="284">
        <f t="shared" ca="1" si="0"/>
        <v>151.17830652391217</v>
      </c>
      <c r="N51" s="36"/>
      <c r="O51" s="36"/>
      <c r="P51" s="36"/>
      <c r="Q51" s="36"/>
      <c r="R51" s="36"/>
      <c r="S51" s="36"/>
      <c r="T51" s="36"/>
    </row>
    <row r="52" spans="1:20" x14ac:dyDescent="0.35">
      <c r="A52" s="70"/>
      <c r="B52" s="113" t="str">
        <f>B50</f>
        <v>Ausgrid</v>
      </c>
      <c r="C52" s="114" t="s">
        <v>124</v>
      </c>
      <c r="D52" s="285">
        <f ca="1">SUM(D45:D51)</f>
        <v>1393</v>
      </c>
      <c r="E52" s="285"/>
      <c r="F52" s="285"/>
      <c r="G52" s="285"/>
      <c r="H52" s="285"/>
      <c r="I52" s="285"/>
      <c r="J52" s="285"/>
      <c r="K52" s="285">
        <f ca="1">SUM(K45:K51)</f>
        <v>1511.7830652391212</v>
      </c>
      <c r="L52" s="286"/>
      <c r="N52" s="123"/>
      <c r="O52" s="36"/>
      <c r="P52" s="36"/>
      <c r="Q52" s="36"/>
      <c r="R52" s="36"/>
      <c r="S52" s="36"/>
      <c r="T52" s="36"/>
    </row>
    <row r="53" spans="1:20" x14ac:dyDescent="0.35">
      <c r="A53" s="70" t="str">
        <f>B53&amp;" "&amp;$B$44&amp;" "&amp;$C$44&amp;" $"</f>
        <v>Endeavour Residential without CL $</v>
      </c>
      <c r="B53" s="110" t="s">
        <v>4</v>
      </c>
      <c r="C53" s="111" t="s">
        <v>169</v>
      </c>
      <c r="D53" s="280">
        <v>0</v>
      </c>
      <c r="E53" s="280">
        <f ca="1">IF($L54&lt;0,SUM(D53:D59)+$L54,SUM(D53:D59))</f>
        <v>1609</v>
      </c>
      <c r="F53" s="280">
        <f ca="1">IF($L55&lt;0,IF($L54&lt;0,E53+$L55,E53+$L54+$L55),IF($L54&lt;0,E53,E53+$L54))</f>
        <v>1639.9042799999997</v>
      </c>
      <c r="G53" s="280">
        <f ca="1">IF($L56&lt;0,IF($L55&lt;0,F53+$L56,F53+$L55+$L56),IF($L55&lt;0,F53,F53+$L55))</f>
        <v>1833.8364799999999</v>
      </c>
      <c r="H53" s="280">
        <f ca="1">IF($L57&lt;0,IF($L56&lt;0,G53+$L57,G53+$L56+$L57),IF($L56&lt;0,G53,G53+$L56))</f>
        <v>1435.6094499999999</v>
      </c>
      <c r="I53" s="280">
        <f ca="1">IF($L58&lt;0,IF($L57&lt;0,H53+$L58,H53+$L57+$L58),IF($L57&lt;0,H53,H53+$L57))</f>
        <v>1435.6094499999999</v>
      </c>
      <c r="J53" s="280">
        <f ca="1">IF($L59&lt;0,IF($L58&lt;0,I53+$L59,I53+$L58+$L59),IF($L58&lt;0,I53,I53+$L58))</f>
        <v>1652.306443165209</v>
      </c>
      <c r="K53" s="280">
        <v>0</v>
      </c>
      <c r="L53" s="281"/>
      <c r="N53" s="119"/>
    </row>
    <row r="54" spans="1:20" x14ac:dyDescent="0.35">
      <c r="A54" s="70"/>
      <c r="B54" s="112" t="str">
        <f>B53</f>
        <v>Endeavour</v>
      </c>
      <c r="C54" s="32" t="s">
        <v>58</v>
      </c>
      <c r="D54" s="282">
        <f t="array" aca="1" ref="D54" ca="1">INDEX(INDIRECT("'"&amp;$B54&amp;"'!$F$23:$AJ$39"),MATCH($C54,INDIRECT("'"&amp;$B54&amp;"'!$F$23:$F$39"),0),MATCH($B$44&amp;$C$44&amp;D$44&amp;"Cost",INDIRECT("'"&amp;$B54&amp;"'!$F$23:$AJ$23")&amp;INDIRECT("'"&amp;$B54&amp;"'!$F$24:$AJ$24")&amp;INDIRECT("'"&amp;$B54&amp;"'!$F$25:$AJ$25")&amp;INDIRECT("'"&amp;$B54&amp;"'!$F$30:$AJ$30"),0))</f>
        <v>622.77787000000001</v>
      </c>
      <c r="E54" s="283">
        <f ca="1">ABS($K54-$D54)</f>
        <v>30.904279999999858</v>
      </c>
      <c r="F54" s="283"/>
      <c r="G54" s="283"/>
      <c r="H54" s="283"/>
      <c r="I54" s="283"/>
      <c r="J54" s="283"/>
      <c r="K54" s="282">
        <f t="array" aca="1" ref="K54" ca="1">INDEX(INDIRECT("'"&amp;$B54&amp;"'!$F$23:$AJ$39"),MATCH($C54,INDIRECT("'"&amp;$B54&amp;"'!$F$23:$F$39"),0),MATCH($B$44&amp;$C$44&amp;K$44&amp;"Cost",INDIRECT("'"&amp;$B54&amp;"'!$F$23:$AJ$23")&amp;INDIRECT("'"&amp;$B54&amp;"'!$F$24:$AJ$24")&amp;INDIRECT("'"&amp;$B54&amp;"'!$F$25:$AJ$25")&amp;INDIRECT("'"&amp;$B54&amp;"'!$F$30:$AJ$30"),0))</f>
        <v>653.68214999999987</v>
      </c>
      <c r="L54" s="284">
        <f t="shared" ref="L54:L59" ca="1" si="1">K54-D54</f>
        <v>30.904279999999858</v>
      </c>
      <c r="N54" s="119"/>
    </row>
    <row r="55" spans="1:20" x14ac:dyDescent="0.35">
      <c r="A55" s="70"/>
      <c r="B55" s="112" t="str">
        <f>B54</f>
        <v>Endeavour</v>
      </c>
      <c r="C55" s="32" t="s">
        <v>59</v>
      </c>
      <c r="D55" s="282">
        <f t="array" aca="1" ref="D55" ca="1">INDEX(INDIRECT("'"&amp;$B55&amp;"'!$F$23:$AJ$39"),MATCH($C55,INDIRECT("'"&amp;$B55&amp;"'!$F$23:$F$39"),0),MATCH($B$44&amp;$C$44&amp;D$44&amp;"Cost",INDIRECT("'"&amp;$B55&amp;"'!$F$23:$AJ$23")&amp;INDIRECT("'"&amp;$B55&amp;"'!$F$24:$AJ$24")&amp;INDIRECT("'"&amp;$B55&amp;"'!$F$25:$AJ$25")&amp;INDIRECT("'"&amp;$B55&amp;"'!$F$30:$AJ$30"),0))</f>
        <v>475.77530000000002</v>
      </c>
      <c r="E55" s="283"/>
      <c r="F55" s="283">
        <f ca="1">ABS($K55-$D55)</f>
        <v>193.93220000000008</v>
      </c>
      <c r="G55" s="283"/>
      <c r="H55" s="283"/>
      <c r="I55" s="283"/>
      <c r="J55" s="283"/>
      <c r="K55" s="282">
        <f t="array" aca="1" ref="K55" ca="1">INDEX(INDIRECT("'"&amp;$B55&amp;"'!$F$23:$AJ$39"),MATCH($C55,INDIRECT("'"&amp;$B55&amp;"'!$F$23:$F$39"),0),MATCH($B$44&amp;$C$44&amp;K$44&amp;"Cost",INDIRECT("'"&amp;$B55&amp;"'!$F$23:$AJ$23")&amp;INDIRECT("'"&amp;$B55&amp;"'!$F$24:$AJ$24")&amp;INDIRECT("'"&amp;$B55&amp;"'!$F$25:$AJ$25")&amp;INDIRECT("'"&amp;$B55&amp;"'!$F$30:$AJ$30"),0))</f>
        <v>669.7075000000001</v>
      </c>
      <c r="L55" s="284">
        <f t="shared" ca="1" si="1"/>
        <v>193.93220000000008</v>
      </c>
      <c r="N55" s="119"/>
    </row>
    <row r="56" spans="1:20" x14ac:dyDescent="0.35">
      <c r="A56" s="70"/>
      <c r="B56" s="112" t="str">
        <f>B55</f>
        <v>Endeavour</v>
      </c>
      <c r="C56" s="32" t="s">
        <v>60</v>
      </c>
      <c r="D56" s="282">
        <f t="array" aca="1" ref="D56" ca="1">INDEX(INDIRECT("'"&amp;$B56&amp;"'!$F$23:$AJ$39"),MATCH($C56,INDIRECT("'"&amp;$B56&amp;"'!$F$23:$F$39"),0),MATCH($B$44&amp;$C$44&amp;D$44&amp;"Cost",INDIRECT("'"&amp;$B56&amp;"'!$F$23:$AJ$23")&amp;INDIRECT("'"&amp;$B56&amp;"'!$F$24:$AJ$24")&amp;INDIRECT("'"&amp;$B56&amp;"'!$F$25:$AJ$25")&amp;INDIRECT("'"&amp;$B56&amp;"'!$F$30:$AJ$30"),0))</f>
        <v>104.0809</v>
      </c>
      <c r="E56" s="283"/>
      <c r="F56" s="283"/>
      <c r="G56" s="283">
        <f ca="1">ABS($K56-$D56)</f>
        <v>8.1389000000000067</v>
      </c>
      <c r="H56" s="283"/>
      <c r="I56" s="283"/>
      <c r="J56" s="283"/>
      <c r="K56" s="282">
        <f t="array" aca="1" ref="K56" ca="1">INDEX(INDIRECT("'"&amp;$B56&amp;"'!$F$23:$AJ$39"),MATCH($C56,INDIRECT("'"&amp;$B56&amp;"'!$F$23:$F$39"),0),MATCH($B$44&amp;$C$44&amp;K$44&amp;"Cost",INDIRECT("'"&amp;$B56&amp;"'!$F$23:$AJ$23")&amp;INDIRECT("'"&amp;$B56&amp;"'!$F$24:$AJ$24")&amp;INDIRECT("'"&amp;$B56&amp;"'!$F$25:$AJ$25")&amp;INDIRECT("'"&amp;$B56&amp;"'!$F$30:$AJ$30"),0))</f>
        <v>112.21980000000001</v>
      </c>
      <c r="L56" s="284">
        <f t="shared" ca="1" si="1"/>
        <v>8.1389000000000067</v>
      </c>
      <c r="N56" s="119"/>
    </row>
    <row r="57" spans="1:20" x14ac:dyDescent="0.35">
      <c r="A57" s="70"/>
      <c r="B57" s="112" t="str">
        <f>B55</f>
        <v>Endeavour</v>
      </c>
      <c r="C57" s="32" t="s">
        <v>196</v>
      </c>
      <c r="D57" s="282">
        <f t="array" aca="1" ref="D57" ca="1">INDEX(INDIRECT("'"&amp;$B57&amp;"'!$F$23:$AJ$39"),MATCH($C57,INDIRECT("'"&amp;$B57&amp;"'!$F$23:$F$39"),0),MATCH($B$44&amp;$C$44&amp;D$44&amp;"Cost",INDIRECT("'"&amp;$B57&amp;"'!$F$23:$AJ$23")&amp;INDIRECT("'"&amp;$B57&amp;"'!$F$24:$AJ$24")&amp;INDIRECT("'"&amp;$B57&amp;"'!$F$25:$AJ$25")&amp;INDIRECT("'"&amp;$B57&amp;"'!$F$30:$AJ$30"),0))</f>
        <v>406.36592999999993</v>
      </c>
      <c r="E57" s="283"/>
      <c r="F57" s="283"/>
      <c r="G57" s="283"/>
      <c r="H57" s="283">
        <f ca="1">ABS($K57-$D57)</f>
        <v>406.36592999999993</v>
      </c>
      <c r="I57" s="252"/>
      <c r="J57" s="283"/>
      <c r="K57" s="282">
        <f t="array" aca="1" ref="K57" ca="1">INDEX(INDIRECT("'"&amp;$B57&amp;"'!$F$23:$AJ$39"),MATCH($C57,INDIRECT("'"&amp;$B57&amp;"'!$F$23:$F$39"),0),MATCH($B$44&amp;$C$44&amp;K$44&amp;"Cost",INDIRECT("'"&amp;$B57&amp;"'!$F$23:$AJ$23")&amp;INDIRECT("'"&amp;$B57&amp;"'!$F$24:$AJ$24")&amp;INDIRECT("'"&amp;$B57&amp;"'!$F$25:$AJ$25")&amp;INDIRECT("'"&amp;$B57&amp;"'!$F$30:$AJ$30"),0))</f>
        <v>0</v>
      </c>
      <c r="L57" s="284">
        <f t="shared" ca="1" si="1"/>
        <v>-406.36592999999993</v>
      </c>
      <c r="N57" s="119"/>
    </row>
    <row r="58" spans="1:20" x14ac:dyDescent="0.35">
      <c r="A58" s="70"/>
      <c r="B58" s="112" t="str">
        <f>B56</f>
        <v>Endeavour</v>
      </c>
      <c r="C58" s="32" t="s">
        <v>193</v>
      </c>
      <c r="D58" s="282">
        <f t="array" aca="1" ref="D58" ca="1">INDEX(INDIRECT("'"&amp;$B58&amp;"'!$F$23:$AJ$39"),MATCH($C58,INDIRECT("'"&amp;$B58&amp;"'!$F$23:$F$39"),0),MATCH($B$44&amp;$C$44&amp;D$44&amp;"Cost",INDIRECT("'"&amp;$B58&amp;"'!$F$23:$AJ$23")&amp;INDIRECT("'"&amp;$B58&amp;"'!$F$24:$AJ$24")&amp;INDIRECT("'"&amp;$B58&amp;"'!$F$25:$AJ$25")&amp;INDIRECT("'"&amp;$B58&amp;"'!$F$30:$AJ$30"),0))</f>
        <v>0</v>
      </c>
      <c r="E58" s="283"/>
      <c r="F58" s="283"/>
      <c r="G58" s="283"/>
      <c r="H58" s="283"/>
      <c r="I58" s="283">
        <f ca="1">ABS($K58-$D58)</f>
        <v>216.69699316520897</v>
      </c>
      <c r="J58" s="283"/>
      <c r="K58" s="282">
        <f t="array" aca="1" ref="K58" ca="1">INDEX(INDIRECT("'"&amp;$B58&amp;"'!$F$23:$AJ$39"),MATCH($C58,INDIRECT("'"&amp;$B58&amp;"'!$F$23:$F$39"),0),MATCH($B$44&amp;$C$44&amp;K$44&amp;"Cost",INDIRECT("'"&amp;$B58&amp;"'!$F$23:$AJ$23")&amp;INDIRECT("'"&amp;$B58&amp;"'!$F$24:$AJ$24")&amp;INDIRECT("'"&amp;$B58&amp;"'!$F$25:$AJ$25")&amp;INDIRECT("'"&amp;$B58&amp;"'!$F$30:$AJ$30"),0))</f>
        <v>216.69699316520897</v>
      </c>
      <c r="L58" s="284">
        <f t="shared" ca="1" si="1"/>
        <v>216.69699316520897</v>
      </c>
      <c r="N58" s="119"/>
    </row>
    <row r="59" spans="1:20" x14ac:dyDescent="0.35">
      <c r="A59" s="70"/>
      <c r="B59" s="112" t="str">
        <f>B57</f>
        <v>Endeavour</v>
      </c>
      <c r="C59" s="32" t="s">
        <v>195</v>
      </c>
      <c r="D59" s="282">
        <f t="array" aca="1" ref="D59" ca="1">INDEX(INDIRECT("'"&amp;$B59&amp;"'!$F$23:$AJ$39"),MATCH($C59,INDIRECT("'"&amp;$B59&amp;"'!$F$23:$F$39"),0),MATCH($B$44&amp;$C$44&amp;D$44&amp;"Cost",INDIRECT("'"&amp;$B59&amp;"'!$F$23:$AJ$23")&amp;INDIRECT("'"&amp;$B59&amp;"'!$F$24:$AJ$24")&amp;INDIRECT("'"&amp;$B59&amp;"'!$F$25:$AJ$25")&amp;INDIRECT("'"&amp;$B59&amp;"'!$F$30:$AJ$30"),0))</f>
        <v>0</v>
      </c>
      <c r="E59" s="283"/>
      <c r="F59" s="283"/>
      <c r="G59" s="283"/>
      <c r="H59" s="283"/>
      <c r="I59" s="283"/>
      <c r="J59" s="283">
        <f ca="1">ABS($K59-$D59)</f>
        <v>183.58960479613438</v>
      </c>
      <c r="K59" s="282">
        <f t="array" aca="1" ref="K59" ca="1">INDEX(INDIRECT("'"&amp;$B59&amp;"'!$F$23:$AJ$39"),MATCH($C59,INDIRECT("'"&amp;$B59&amp;"'!$F$23:$F$39"),0),MATCH($B$44&amp;$C$44&amp;K$44&amp;"Cost",INDIRECT("'"&amp;$B59&amp;"'!$F$23:$AJ$23")&amp;INDIRECT("'"&amp;$B59&amp;"'!$F$24:$AJ$24")&amp;INDIRECT("'"&amp;$B59&amp;"'!$F$25:$AJ$25")&amp;INDIRECT("'"&amp;$B59&amp;"'!$F$30:$AJ$30"),0))</f>
        <v>183.58960479613438</v>
      </c>
      <c r="L59" s="284">
        <f t="shared" ca="1" si="1"/>
        <v>183.58960479613438</v>
      </c>
      <c r="N59" s="119"/>
    </row>
    <row r="60" spans="1:20" x14ac:dyDescent="0.35">
      <c r="A60" s="70"/>
      <c r="B60" s="113" t="str">
        <f>B58</f>
        <v>Endeavour</v>
      </c>
      <c r="C60" s="114" t="s">
        <v>124</v>
      </c>
      <c r="D60" s="285">
        <f ca="1">SUM(D53:D59)</f>
        <v>1609</v>
      </c>
      <c r="E60" s="285"/>
      <c r="F60" s="285"/>
      <c r="G60" s="285"/>
      <c r="H60" s="285"/>
      <c r="I60" s="285"/>
      <c r="J60" s="285"/>
      <c r="K60" s="285">
        <f ca="1">SUM(K53:K59)</f>
        <v>1835.8960479613436</v>
      </c>
      <c r="L60" s="286"/>
      <c r="N60" s="123"/>
    </row>
    <row r="61" spans="1:20" x14ac:dyDescent="0.35">
      <c r="A61" s="70" t="str">
        <f>B61&amp;" "&amp;$B$44&amp;" "&amp;$C$44&amp;" $"</f>
        <v>Essential Residential without CL $</v>
      </c>
      <c r="B61" s="110" t="s">
        <v>3</v>
      </c>
      <c r="C61" s="111" t="s">
        <v>169</v>
      </c>
      <c r="D61" s="280">
        <v>0</v>
      </c>
      <c r="E61" s="280">
        <f ca="1">IF($L62&lt;0,SUM(D61:D67)+$L62,SUM(D61:D67))</f>
        <v>1907</v>
      </c>
      <c r="F61" s="280">
        <f ca="1">IF($L63&lt;0,IF($L62&lt;0,E61+$L63,E61+$L62+$L63),IF($L62&lt;0,E61,E61+$L62))</f>
        <v>1935.02646</v>
      </c>
      <c r="G61" s="280">
        <f ca="1">IF($L64&lt;0,IF($L63&lt;0,F61+$L64,F61+$L63+$L64),IF($L63&lt;0,F61,F61+$L63))</f>
        <v>2115.3142600000001</v>
      </c>
      <c r="H61" s="280">
        <f ca="1">IF($L65&lt;0,IF($L64&lt;0,G61+$L65,G61+$L64+$L65),IF($L64&lt;0,G61,G61+$L64))</f>
        <v>1670.3651799999998</v>
      </c>
      <c r="I61" s="280">
        <f ca="1">IF($L66&lt;0,IF($L65&lt;0,H61+$L66,H61+$L65+$L66),IF($L65&lt;0,H61,H61+$L65))</f>
        <v>1670.3651799999998</v>
      </c>
      <c r="J61" s="280">
        <f ca="1">IF($L67&lt;0,IF($L66&lt;0,I61+$L67,I61+$L66+$L67),IF($L66&lt;0,I61,I61+$L66))</f>
        <v>1882.9850755527086</v>
      </c>
      <c r="K61" s="280">
        <v>0</v>
      </c>
      <c r="L61" s="281"/>
      <c r="N61" s="119"/>
    </row>
    <row r="62" spans="1:20" x14ac:dyDescent="0.35">
      <c r="A62" s="70"/>
      <c r="B62" s="112" t="str">
        <f>B61</f>
        <v>Essential</v>
      </c>
      <c r="C62" s="32" t="s">
        <v>58</v>
      </c>
      <c r="D62" s="282">
        <f t="array" aca="1" ref="D62" ca="1">INDEX(INDIRECT("'"&amp;$B62&amp;"'!$F$23:$AJ$39"),MATCH($C62,INDIRECT("'"&amp;$B62&amp;"'!$F$23:$F$39"),0),MATCH($B$44&amp;$C$44&amp;D$44&amp;"Cost",INDIRECT("'"&amp;$B62&amp;"'!$F$23:$AJ$23")&amp;INDIRECT("'"&amp;$B62&amp;"'!$F$24:$AJ$24")&amp;INDIRECT("'"&amp;$B62&amp;"'!$F$25:$AJ$25")&amp;INDIRECT("'"&amp;$B62&amp;"'!$F$30:$AJ$30"),0))</f>
        <v>952.05351999999993</v>
      </c>
      <c r="E62" s="283">
        <f ca="1">ABS($K62-$D62)</f>
        <v>28.026460000000043</v>
      </c>
      <c r="F62" s="283"/>
      <c r="G62" s="283"/>
      <c r="H62" s="283"/>
      <c r="I62" s="283"/>
      <c r="J62" s="283"/>
      <c r="K62" s="282">
        <f t="array" aca="1" ref="K62" ca="1">INDEX(INDIRECT("'"&amp;$B62&amp;"'!$F$23:$AJ$39"),MATCH($C62,INDIRECT("'"&amp;$B62&amp;"'!$F$23:$F$39"),0),MATCH($B$44&amp;$C$44&amp;K$44&amp;"Cost",INDIRECT("'"&amp;$B62&amp;"'!$F$23:$AJ$23")&amp;INDIRECT("'"&amp;$B62&amp;"'!$F$24:$AJ$24")&amp;INDIRECT("'"&amp;$B62&amp;"'!$F$25:$AJ$25")&amp;INDIRECT("'"&amp;$B62&amp;"'!$F$30:$AJ$30"),0))</f>
        <v>980.07997999999998</v>
      </c>
      <c r="L62" s="284">
        <f t="shared" ref="L62:L67" ca="1" si="2">K62-D62</f>
        <v>28.026460000000043</v>
      </c>
      <c r="N62" s="119"/>
    </row>
    <row r="63" spans="1:20" x14ac:dyDescent="0.35">
      <c r="A63" s="70"/>
      <c r="B63" s="112" t="str">
        <f>B62</f>
        <v>Essential</v>
      </c>
      <c r="C63" s="32" t="s">
        <v>59</v>
      </c>
      <c r="D63" s="282">
        <f t="array" aca="1" ref="D63" ca="1">INDEX(INDIRECT("'"&amp;$B63&amp;"'!$F$23:$AJ$39"),MATCH($C63,INDIRECT("'"&amp;$B63&amp;"'!$F$23:$F$39"),0),MATCH($B$44&amp;$C$44&amp;D$44&amp;"Cost",INDIRECT("'"&amp;$B63&amp;"'!$F$23:$AJ$23")&amp;INDIRECT("'"&amp;$B63&amp;"'!$F$24:$AJ$24")&amp;INDIRECT("'"&amp;$B63&amp;"'!$F$25:$AJ$25")&amp;INDIRECT("'"&amp;$B63&amp;"'!$F$30:$AJ$30"),0))</f>
        <v>406.5204</v>
      </c>
      <c r="E63" s="283"/>
      <c r="F63" s="283">
        <f ca="1">ABS($K63-$D63)</f>
        <v>180.28779999999995</v>
      </c>
      <c r="G63" s="283"/>
      <c r="H63" s="283"/>
      <c r="I63" s="283"/>
      <c r="J63" s="283"/>
      <c r="K63" s="282">
        <f t="array" aca="1" ref="K63" ca="1">INDEX(INDIRECT("'"&amp;$B63&amp;"'!$F$23:$AJ$39"),MATCH($C63,INDIRECT("'"&amp;$B63&amp;"'!$F$23:$F$39"),0),MATCH($B$44&amp;$C$44&amp;K$44&amp;"Cost",INDIRECT("'"&amp;$B63&amp;"'!$F$23:$AJ$23")&amp;INDIRECT("'"&amp;$B63&amp;"'!$F$24:$AJ$24")&amp;INDIRECT("'"&amp;$B63&amp;"'!$F$25:$AJ$25")&amp;INDIRECT("'"&amp;$B63&amp;"'!$F$30:$AJ$30"),0))</f>
        <v>586.80819999999994</v>
      </c>
      <c r="L63" s="284">
        <f t="shared" ca="1" si="2"/>
        <v>180.28779999999995</v>
      </c>
      <c r="N63" s="119"/>
    </row>
    <row r="64" spans="1:20" x14ac:dyDescent="0.35">
      <c r="A64" s="70"/>
      <c r="B64" s="112" t="str">
        <f>B63</f>
        <v>Essential</v>
      </c>
      <c r="C64" s="32" t="s">
        <v>60</v>
      </c>
      <c r="D64" s="282">
        <f t="array" aca="1" ref="D64" ca="1">INDEX(INDIRECT("'"&amp;$B64&amp;"'!$F$23:$AJ$39"),MATCH($C64,INDIRECT("'"&amp;$B64&amp;"'!$F$23:$F$39"),0),MATCH($B$44&amp;$C$44&amp;D$44&amp;"Cost",INDIRECT("'"&amp;$B64&amp;"'!$F$23:$AJ$23")&amp;INDIRECT("'"&amp;$B64&amp;"'!$F$24:$AJ$24")&amp;INDIRECT("'"&amp;$B64&amp;"'!$F$25:$AJ$25")&amp;INDIRECT("'"&amp;$B64&amp;"'!$F$30:$AJ$30"),0))</f>
        <v>96.342399999999998</v>
      </c>
      <c r="E64" s="283"/>
      <c r="F64" s="283"/>
      <c r="G64" s="283">
        <f ca="1">ABS($K64-$D64)</f>
        <v>7.1345999999999918</v>
      </c>
      <c r="H64" s="283"/>
      <c r="I64" s="283"/>
      <c r="J64" s="283"/>
      <c r="K64" s="282">
        <f t="array" aca="1" ref="K64" ca="1">INDEX(INDIRECT("'"&amp;$B64&amp;"'!$F$23:$AJ$39"),MATCH($C64,INDIRECT("'"&amp;$B64&amp;"'!$F$23:$F$39"),0),MATCH($B$44&amp;$C$44&amp;K$44&amp;"Cost",INDIRECT("'"&amp;$B64&amp;"'!$F$23:$AJ$23")&amp;INDIRECT("'"&amp;$B64&amp;"'!$F$24:$AJ$24")&amp;INDIRECT("'"&amp;$B64&amp;"'!$F$25:$AJ$25")&amp;INDIRECT("'"&amp;$B64&amp;"'!$F$30:$AJ$30"),0))</f>
        <v>103.47699999999999</v>
      </c>
      <c r="L64" s="284">
        <f t="shared" ca="1" si="2"/>
        <v>7.1345999999999918</v>
      </c>
      <c r="N64" s="119"/>
    </row>
    <row r="65" spans="1:14" x14ac:dyDescent="0.35">
      <c r="A65" s="70"/>
      <c r="B65" s="112" t="str">
        <f>B63</f>
        <v>Essential</v>
      </c>
      <c r="C65" s="32" t="s">
        <v>196</v>
      </c>
      <c r="D65" s="282">
        <f t="array" aca="1" ref="D65" ca="1">INDEX(INDIRECT("'"&amp;$B65&amp;"'!$F$23:$AJ$39"),MATCH($C65,INDIRECT("'"&amp;$B65&amp;"'!$F$23:$F$39"),0),MATCH($B$44&amp;$C$44&amp;D$44&amp;"Cost",INDIRECT("'"&amp;$B65&amp;"'!$F$23:$AJ$23")&amp;INDIRECT("'"&amp;$B65&amp;"'!$F$24:$AJ$24")&amp;INDIRECT("'"&amp;$B65&amp;"'!$F$25:$AJ$25")&amp;INDIRECT("'"&amp;$B65&amp;"'!$F$30:$AJ$30"),0))</f>
        <v>452.08368000000019</v>
      </c>
      <c r="E65" s="283"/>
      <c r="F65" s="283"/>
      <c r="G65" s="283"/>
      <c r="H65" s="283">
        <f ca="1">ABS($K65-$D65)</f>
        <v>452.08368000000019</v>
      </c>
      <c r="I65" s="252"/>
      <c r="J65" s="283"/>
      <c r="K65" s="282">
        <f t="array" aca="1" ref="K65" ca="1">INDEX(INDIRECT("'"&amp;$B65&amp;"'!$F$23:$AJ$39"),MATCH($C65,INDIRECT("'"&amp;$B65&amp;"'!$F$23:$F$39"),0),MATCH($B$44&amp;$C$44&amp;K$44&amp;"Cost",INDIRECT("'"&amp;$B65&amp;"'!$F$23:$AJ$23")&amp;INDIRECT("'"&amp;$B65&amp;"'!$F$24:$AJ$24")&amp;INDIRECT("'"&amp;$B65&amp;"'!$F$25:$AJ$25")&amp;INDIRECT("'"&amp;$B65&amp;"'!$F$30:$AJ$30"),0))</f>
        <v>0</v>
      </c>
      <c r="L65" s="284">
        <f t="shared" ca="1" si="2"/>
        <v>-452.08368000000019</v>
      </c>
      <c r="N65" s="119"/>
    </row>
    <row r="66" spans="1:14" x14ac:dyDescent="0.35">
      <c r="A66" s="70"/>
      <c r="B66" s="112" t="str">
        <f>B64</f>
        <v>Essential</v>
      </c>
      <c r="C66" s="32" t="s">
        <v>193</v>
      </c>
      <c r="D66" s="282">
        <f t="array" aca="1" ref="D66" ca="1">INDEX(INDIRECT("'"&amp;$B66&amp;"'!$F$23:$AJ$39"),MATCH($C66,INDIRECT("'"&amp;$B66&amp;"'!$F$23:$F$39"),0),MATCH($B$44&amp;$C$44&amp;D$44&amp;"Cost",INDIRECT("'"&amp;$B66&amp;"'!$F$23:$AJ$23")&amp;INDIRECT("'"&amp;$B66&amp;"'!$F$24:$AJ$24")&amp;INDIRECT("'"&amp;$B66&amp;"'!$F$25:$AJ$25")&amp;INDIRECT("'"&amp;$B66&amp;"'!$F$30:$AJ$30"),0))</f>
        <v>0</v>
      </c>
      <c r="E66" s="283"/>
      <c r="F66" s="283"/>
      <c r="G66" s="283"/>
      <c r="H66" s="283"/>
      <c r="I66" s="283">
        <f ca="1">ABS($K66-$D66)</f>
        <v>212.61989555270895</v>
      </c>
      <c r="J66" s="283"/>
      <c r="K66" s="282">
        <f t="array" aca="1" ref="K66" ca="1">INDEX(INDIRECT("'"&amp;$B66&amp;"'!$F$23:$AJ$39"),MATCH($C66,INDIRECT("'"&amp;$B66&amp;"'!$F$23:$F$39"),0),MATCH($B$44&amp;$C$44&amp;K$44&amp;"Cost",INDIRECT("'"&amp;$B66&amp;"'!$F$23:$AJ$23")&amp;INDIRECT("'"&amp;$B66&amp;"'!$F$24:$AJ$24")&amp;INDIRECT("'"&amp;$B66&amp;"'!$F$25:$AJ$25")&amp;INDIRECT("'"&amp;$B66&amp;"'!$F$30:$AJ$30"),0))</f>
        <v>212.61989555270895</v>
      </c>
      <c r="L66" s="284">
        <f t="shared" ca="1" si="2"/>
        <v>212.61989555270895</v>
      </c>
      <c r="N66" s="119"/>
    </row>
    <row r="67" spans="1:14" x14ac:dyDescent="0.35">
      <c r="A67" s="70"/>
      <c r="B67" s="112" t="str">
        <f>B65</f>
        <v>Essential</v>
      </c>
      <c r="C67" s="32" t="s">
        <v>195</v>
      </c>
      <c r="D67" s="282">
        <f t="array" aca="1" ref="D67" ca="1">INDEX(INDIRECT("'"&amp;$B67&amp;"'!$F$23:$AJ$39"),MATCH($C67,INDIRECT("'"&amp;$B67&amp;"'!$F$23:$F$39"),0),MATCH($B$44&amp;$C$44&amp;D$44&amp;"Cost",INDIRECT("'"&amp;$B67&amp;"'!$F$23:$AJ$23")&amp;INDIRECT("'"&amp;$B67&amp;"'!$F$24:$AJ$24")&amp;INDIRECT("'"&amp;$B67&amp;"'!$F$25:$AJ$25")&amp;INDIRECT("'"&amp;$B67&amp;"'!$F$30:$AJ$30"),0))</f>
        <v>0</v>
      </c>
      <c r="E67" s="283"/>
      <c r="F67" s="283"/>
      <c r="G67" s="283"/>
      <c r="H67" s="283"/>
      <c r="I67" s="283"/>
      <c r="J67" s="283">
        <f ca="1">ABS($K67-$D67)</f>
        <v>209.22056395030086</v>
      </c>
      <c r="K67" s="282">
        <f t="array" aca="1" ref="K67" ca="1">INDEX(INDIRECT("'"&amp;$B67&amp;"'!$F$23:$AJ$39"),MATCH($C67,INDIRECT("'"&amp;$B67&amp;"'!$F$23:$F$39"),0),MATCH($B$44&amp;$C$44&amp;K$44&amp;"Cost",INDIRECT("'"&amp;$B67&amp;"'!$F$23:$AJ$23")&amp;INDIRECT("'"&amp;$B67&amp;"'!$F$24:$AJ$24")&amp;INDIRECT("'"&amp;$B67&amp;"'!$F$25:$AJ$25")&amp;INDIRECT("'"&amp;$B67&amp;"'!$F$30:$AJ$30"),0))</f>
        <v>209.22056395030086</v>
      </c>
      <c r="L67" s="284">
        <f t="shared" ca="1" si="2"/>
        <v>209.22056395030086</v>
      </c>
      <c r="N67" s="119"/>
    </row>
    <row r="68" spans="1:14" x14ac:dyDescent="0.35">
      <c r="A68" s="70"/>
      <c r="B68" s="113" t="str">
        <f>B66</f>
        <v>Essential</v>
      </c>
      <c r="C68" s="114" t="s">
        <v>124</v>
      </c>
      <c r="D68" s="285">
        <f ca="1">SUM(D61:D67)</f>
        <v>1907</v>
      </c>
      <c r="E68" s="285"/>
      <c r="F68" s="285"/>
      <c r="G68" s="285"/>
      <c r="H68" s="285"/>
      <c r="I68" s="285"/>
      <c r="J68" s="285"/>
      <c r="K68" s="285">
        <f ca="1">SUM(K61:K67)</f>
        <v>2092.2056395030099</v>
      </c>
      <c r="L68" s="286"/>
      <c r="N68" s="123"/>
    </row>
    <row r="69" spans="1:14" x14ac:dyDescent="0.35">
      <c r="A69" s="70" t="str">
        <f>B69&amp;" "&amp;$B$44&amp;" "&amp;$C$44&amp;" $"</f>
        <v>Energex Residential without CL $</v>
      </c>
      <c r="B69" s="110" t="s">
        <v>0</v>
      </c>
      <c r="C69" s="111" t="s">
        <v>169</v>
      </c>
      <c r="D69" s="280">
        <v>0</v>
      </c>
      <c r="E69" s="280">
        <f ca="1">IF($L70&lt;0,SUM(D69:D75)+$L70,SUM(D69:D75))</f>
        <v>1405.1673599999997</v>
      </c>
      <c r="F69" s="280">
        <f ca="1">IF($L71&lt;0,IF($L70&lt;0,E69+$L71,E69+$L70+$L71),IF($L70&lt;0,E69,E69+$L70))</f>
        <v>1405.1673599999997</v>
      </c>
      <c r="G69" s="280">
        <f ca="1">IF($L72&lt;0,IF($L71&lt;0,F69+$L72,F69+$L71+$L72),IF($L71&lt;0,F69,F69+$L71))</f>
        <v>1589.8573599999995</v>
      </c>
      <c r="H69" s="280">
        <f ca="1">IF($L73&lt;0,IF($L72&lt;0,G69+$L73,G69+$L72+$L73),IF($L72&lt;0,G69,G69+$L72))</f>
        <v>1272.7274999999997</v>
      </c>
      <c r="I69" s="280">
        <f ca="1">IF($L74&lt;0,IF($L73&lt;0,H69+$L74,H69+$L73+$L74),IF($L73&lt;0,H69,H69+$L73))</f>
        <v>1272.7274999999997</v>
      </c>
      <c r="J69" s="280">
        <f ca="1">IF($L75&lt;0,IF($L74&lt;0,I69+$L75,I69+$L74+$L75),IF($L74&lt;0,I69,I69+$L74))</f>
        <v>1484.1133778777087</v>
      </c>
      <c r="K69" s="280">
        <v>0</v>
      </c>
      <c r="L69" s="281"/>
      <c r="N69" s="119"/>
    </row>
    <row r="70" spans="1:14" x14ac:dyDescent="0.35">
      <c r="A70" s="70"/>
      <c r="B70" s="112" t="str">
        <f>B69</f>
        <v>Energex</v>
      </c>
      <c r="C70" s="32" t="s">
        <v>58</v>
      </c>
      <c r="D70" s="282">
        <f t="array" aca="1" ref="D70" ca="1">INDEX(INDIRECT("'"&amp;$B70&amp;"'!$F$23:$AJ$39"),MATCH($C70,INDIRECT("'"&amp;$B70&amp;"'!$F$23:$F$39"),0),MATCH($B$44&amp;$C$44&amp;D$44&amp;"Cost",INDIRECT("'"&amp;$B70&amp;"'!$F$23:$AJ$23")&amp;INDIRECT("'"&amp;$B70&amp;"'!$F$24:$AJ$24")&amp;INDIRECT("'"&amp;$B70&amp;"'!$F$25:$AJ$25")&amp;INDIRECT("'"&amp;$B70&amp;"'!$F$30:$AJ$30"),0))</f>
        <v>676.75234000000023</v>
      </c>
      <c r="E70" s="283">
        <f ca="1">ABS($K70-$D70)</f>
        <v>49.83264000000031</v>
      </c>
      <c r="F70" s="283"/>
      <c r="G70" s="283"/>
      <c r="H70" s="283"/>
      <c r="I70" s="283"/>
      <c r="J70" s="283"/>
      <c r="K70" s="282">
        <f t="array" aca="1" ref="K70" ca="1">INDEX(INDIRECT("'"&amp;$B70&amp;"'!$F$23:$AJ$39"),MATCH($C70,INDIRECT("'"&amp;$B70&amp;"'!$F$23:$F$39"),0),MATCH($B$44&amp;$C$44&amp;K$44&amp;"Cost",INDIRECT("'"&amp;$B70&amp;"'!$F$23:$AJ$23")&amp;INDIRECT("'"&amp;$B70&amp;"'!$F$24:$AJ$24")&amp;INDIRECT("'"&amp;$B70&amp;"'!$F$25:$AJ$25")&amp;INDIRECT("'"&amp;$B70&amp;"'!$F$30:$AJ$30"),0))</f>
        <v>626.91969999999992</v>
      </c>
      <c r="L70" s="284">
        <f t="shared" ref="L70:L75" ca="1" si="3">K70-D70</f>
        <v>-49.83264000000031</v>
      </c>
      <c r="N70" s="119"/>
    </row>
    <row r="71" spans="1:14" x14ac:dyDescent="0.35">
      <c r="A71" s="70"/>
      <c r="B71" s="112" t="str">
        <f>B70</f>
        <v>Energex</v>
      </c>
      <c r="C71" s="32" t="s">
        <v>59</v>
      </c>
      <c r="D71" s="282">
        <f t="array" aca="1" ref="D71" ca="1">INDEX(INDIRECT("'"&amp;$B71&amp;"'!$F$23:$AJ$39"),MATCH($C71,INDIRECT("'"&amp;$B71&amp;"'!$F$23:$F$39"),0),MATCH($B$44&amp;$C$44&amp;D$44&amp;"Cost",INDIRECT("'"&amp;$B71&amp;"'!$F$23:$AJ$23")&amp;INDIRECT("'"&amp;$B71&amp;"'!$F$24:$AJ$24")&amp;INDIRECT("'"&amp;$B71&amp;"'!$F$25:$AJ$25")&amp;INDIRECT("'"&amp;$B71&amp;"'!$F$30:$AJ$30"),0))</f>
        <v>374.59180000000003</v>
      </c>
      <c r="E71" s="283"/>
      <c r="F71" s="283">
        <f ca="1">ABS($K71-$D71)</f>
        <v>184.68999999999994</v>
      </c>
      <c r="G71" s="283"/>
      <c r="H71" s="283"/>
      <c r="I71" s="283"/>
      <c r="J71" s="283"/>
      <c r="K71" s="282">
        <f t="array" aca="1" ref="K71" ca="1">INDEX(INDIRECT("'"&amp;$B71&amp;"'!$F$23:$AJ$39"),MATCH($C71,INDIRECT("'"&amp;$B71&amp;"'!$F$23:$F$39"),0),MATCH($B$44&amp;$C$44&amp;K$44&amp;"Cost",INDIRECT("'"&amp;$B71&amp;"'!$F$23:$AJ$23")&amp;INDIRECT("'"&amp;$B71&amp;"'!$F$24:$AJ$24")&amp;INDIRECT("'"&amp;$B71&amp;"'!$F$25:$AJ$25")&amp;INDIRECT("'"&amp;$B71&amp;"'!$F$30:$AJ$30"),0))</f>
        <v>559.28179999999998</v>
      </c>
      <c r="L71" s="284">
        <f t="shared" ca="1" si="3"/>
        <v>184.68999999999994</v>
      </c>
      <c r="N71" s="119"/>
    </row>
    <row r="72" spans="1:14" x14ac:dyDescent="0.35">
      <c r="A72" s="70"/>
      <c r="B72" s="112" t="str">
        <f>B71</f>
        <v>Energex</v>
      </c>
      <c r="C72" s="32" t="s">
        <v>60</v>
      </c>
      <c r="D72" s="282">
        <f t="array" aca="1" ref="D72" ca="1">INDEX(INDIRECT("'"&amp;$B72&amp;"'!$F$23:$AJ$39"),MATCH($C72,INDIRECT("'"&amp;$B72&amp;"'!$F$23:$F$39"),0),MATCH($B$44&amp;$C$44&amp;D$44&amp;"Cost",INDIRECT("'"&amp;$B72&amp;"'!$F$23:$AJ$23")&amp;INDIRECT("'"&amp;$B72&amp;"'!$F$24:$AJ$24")&amp;INDIRECT("'"&amp;$B72&amp;"'!$F$25:$AJ$25")&amp;INDIRECT("'"&amp;$B72&amp;"'!$F$30:$AJ$30"),0))</f>
        <v>84.754999999999995</v>
      </c>
      <c r="E72" s="283"/>
      <c r="F72" s="283"/>
      <c r="G72" s="283">
        <f ca="1">ABS($K72-$D72)</f>
        <v>1.7710000000000008</v>
      </c>
      <c r="H72" s="283"/>
      <c r="I72" s="283"/>
      <c r="J72" s="283"/>
      <c r="K72" s="282">
        <f t="array" aca="1" ref="K72" ca="1">INDEX(INDIRECT("'"&amp;$B72&amp;"'!$F$23:$AJ$39"),MATCH($C72,INDIRECT("'"&amp;$B72&amp;"'!$F$23:$F$39"),0),MATCH($B$44&amp;$C$44&amp;K$44&amp;"Cost",INDIRECT("'"&amp;$B72&amp;"'!$F$23:$AJ$23")&amp;INDIRECT("'"&amp;$B72&amp;"'!$F$24:$AJ$24")&amp;INDIRECT("'"&amp;$B72&amp;"'!$F$25:$AJ$25")&amp;INDIRECT("'"&amp;$B72&amp;"'!$F$30:$AJ$30"),0))</f>
        <v>86.525999999999996</v>
      </c>
      <c r="L72" s="284">
        <f t="shared" ca="1" si="3"/>
        <v>1.7710000000000008</v>
      </c>
      <c r="N72" s="119"/>
    </row>
    <row r="73" spans="1:14" x14ac:dyDescent="0.35">
      <c r="A73" s="70"/>
      <c r="B73" s="112" t="str">
        <f>B71</f>
        <v>Energex</v>
      </c>
      <c r="C73" s="32" t="s">
        <v>196</v>
      </c>
      <c r="D73" s="282">
        <f t="array" aca="1" ref="D73" ca="1">INDEX(INDIRECT("'"&amp;$B73&amp;"'!$F$23:$AJ$39"),MATCH($C73,INDIRECT("'"&amp;$B73&amp;"'!$F$23:$F$39"),0),MATCH($B$44&amp;$C$44&amp;D$44&amp;"Cost",INDIRECT("'"&amp;$B73&amp;"'!$F$23:$AJ$23")&amp;INDIRECT("'"&amp;$B73&amp;"'!$F$24:$AJ$24")&amp;INDIRECT("'"&amp;$B73&amp;"'!$F$25:$AJ$25")&amp;INDIRECT("'"&amp;$B73&amp;"'!$F$30:$AJ$30"),0))</f>
        <v>318.90085999999974</v>
      </c>
      <c r="E73" s="283"/>
      <c r="F73" s="283"/>
      <c r="G73" s="283"/>
      <c r="H73" s="283">
        <f ca="1">ABS($K73-$D73)</f>
        <v>318.90085999999974</v>
      </c>
      <c r="I73" s="252"/>
      <c r="J73" s="283"/>
      <c r="K73" s="282">
        <f t="array" aca="1" ref="K73" ca="1">INDEX(INDIRECT("'"&amp;$B73&amp;"'!$F$23:$AJ$39"),MATCH($C73,INDIRECT("'"&amp;$B73&amp;"'!$F$23:$F$39"),0),MATCH($B$44&amp;$C$44&amp;K$44&amp;"Cost",INDIRECT("'"&amp;$B73&amp;"'!$F$23:$AJ$23")&amp;INDIRECT("'"&amp;$B73&amp;"'!$F$24:$AJ$24")&amp;INDIRECT("'"&amp;$B73&amp;"'!$F$25:$AJ$25")&amp;INDIRECT("'"&amp;$B73&amp;"'!$F$30:$AJ$30"),0))</f>
        <v>0</v>
      </c>
      <c r="L73" s="284">
        <f t="shared" ca="1" si="3"/>
        <v>-318.90085999999974</v>
      </c>
      <c r="N73" s="119"/>
    </row>
    <row r="74" spans="1:14" x14ac:dyDescent="0.35">
      <c r="A74" s="70"/>
      <c r="B74" s="112" t="str">
        <f>B72</f>
        <v>Energex</v>
      </c>
      <c r="C74" s="32" t="s">
        <v>193</v>
      </c>
      <c r="D74" s="282">
        <f t="array" aca="1" ref="D74" ca="1">INDEX(INDIRECT("'"&amp;$B74&amp;"'!$F$23:$AJ$39"),MATCH($C74,INDIRECT("'"&amp;$B74&amp;"'!$F$23:$F$39"),0),MATCH($B$44&amp;$C$44&amp;D$44&amp;"Cost",INDIRECT("'"&amp;$B74&amp;"'!$F$23:$AJ$23")&amp;INDIRECT("'"&amp;$B74&amp;"'!$F$24:$AJ$24")&amp;INDIRECT("'"&amp;$B74&amp;"'!$F$25:$AJ$25")&amp;INDIRECT("'"&amp;$B74&amp;"'!$F$30:$AJ$30"),0))</f>
        <v>0</v>
      </c>
      <c r="E74" s="283"/>
      <c r="F74" s="283"/>
      <c r="G74" s="283"/>
      <c r="H74" s="283"/>
      <c r="I74" s="283">
        <f ca="1">ABS($K74-$D74)</f>
        <v>211.38587787770896</v>
      </c>
      <c r="J74" s="283"/>
      <c r="K74" s="282">
        <f t="array" aca="1" ref="K74" ca="1">INDEX(INDIRECT("'"&amp;$B74&amp;"'!$F$23:$AJ$39"),MATCH($C74,INDIRECT("'"&amp;$B74&amp;"'!$F$23:$F$39"),0),MATCH($B$44&amp;$C$44&amp;K$44&amp;"Cost",INDIRECT("'"&amp;$B74&amp;"'!$F$23:$AJ$23")&amp;INDIRECT("'"&amp;$B74&amp;"'!$F$24:$AJ$24")&amp;INDIRECT("'"&amp;$B74&amp;"'!$F$25:$AJ$25")&amp;INDIRECT("'"&amp;$B74&amp;"'!$F$30:$AJ$30"),0))</f>
        <v>211.38587787770896</v>
      </c>
      <c r="L74" s="284">
        <f t="shared" ca="1" si="3"/>
        <v>211.38587787770896</v>
      </c>
      <c r="N74" s="119"/>
    </row>
    <row r="75" spans="1:14" x14ac:dyDescent="0.35">
      <c r="A75" s="70"/>
      <c r="B75" s="112" t="str">
        <f>B73</f>
        <v>Energex</v>
      </c>
      <c r="C75" s="32" t="s">
        <v>195</v>
      </c>
      <c r="D75" s="282">
        <f t="array" aca="1" ref="D75" ca="1">INDEX(INDIRECT("'"&amp;$B75&amp;"'!$F$23:$AJ$39"),MATCH($C75,INDIRECT("'"&amp;$B75&amp;"'!$F$23:$F$39"),0),MATCH($B$44&amp;$C$44&amp;D$44&amp;"Cost",INDIRECT("'"&amp;$B75&amp;"'!$F$23:$AJ$23")&amp;INDIRECT("'"&amp;$B75&amp;"'!$F$24:$AJ$24")&amp;INDIRECT("'"&amp;$B75&amp;"'!$F$25:$AJ$25")&amp;INDIRECT("'"&amp;$B75&amp;"'!$F$30:$AJ$30"),0))</f>
        <v>0</v>
      </c>
      <c r="E75" s="283"/>
      <c r="F75" s="283"/>
      <c r="G75" s="283"/>
      <c r="H75" s="283"/>
      <c r="I75" s="283"/>
      <c r="J75" s="283">
        <f ca="1">ABS($K75-$D75)</f>
        <v>136.09773334249735</v>
      </c>
      <c r="K75" s="282">
        <f t="array" aca="1" ref="K75" ca="1">INDEX(INDIRECT("'"&amp;$B75&amp;"'!$F$23:$AJ$39"),MATCH($C75,INDIRECT("'"&amp;$B75&amp;"'!$F$23:$F$39"),0),MATCH($B$44&amp;$C$44&amp;K$44&amp;"Cost",INDIRECT("'"&amp;$B75&amp;"'!$F$23:$AJ$23")&amp;INDIRECT("'"&amp;$B75&amp;"'!$F$24:$AJ$24")&amp;INDIRECT("'"&amp;$B75&amp;"'!$F$25:$AJ$25")&amp;INDIRECT("'"&amp;$B75&amp;"'!$F$30:$AJ$30"),0))</f>
        <v>136.09773334249735</v>
      </c>
      <c r="L75" s="284">
        <f t="shared" ca="1" si="3"/>
        <v>136.09773334249735</v>
      </c>
      <c r="N75" s="119"/>
    </row>
    <row r="76" spans="1:14" x14ac:dyDescent="0.35">
      <c r="A76" s="70"/>
      <c r="B76" s="113" t="str">
        <f>B74</f>
        <v>Energex</v>
      </c>
      <c r="C76" s="114" t="s">
        <v>124</v>
      </c>
      <c r="D76" s="285">
        <f ca="1">SUM(D69:D75)</f>
        <v>1455</v>
      </c>
      <c r="E76" s="285"/>
      <c r="F76" s="285"/>
      <c r="G76" s="285"/>
      <c r="H76" s="285"/>
      <c r="I76" s="285"/>
      <c r="J76" s="285"/>
      <c r="K76" s="285">
        <f ca="1">SUM(K69:K75)</f>
        <v>1620.2111112202062</v>
      </c>
      <c r="L76" s="286"/>
      <c r="N76" s="123"/>
    </row>
    <row r="77" spans="1:14" x14ac:dyDescent="0.35">
      <c r="A77" s="70" t="str">
        <f>B77&amp;" "&amp;$B$44&amp;" "&amp;$C$44&amp;" $"</f>
        <v>SAPN Residential without CL $</v>
      </c>
      <c r="B77" s="110" t="s">
        <v>5</v>
      </c>
      <c r="C77" s="111" t="s">
        <v>169</v>
      </c>
      <c r="D77" s="280">
        <v>0</v>
      </c>
      <c r="E77" s="280">
        <f ca="1">IF($L78&lt;0,SUM(D77:D83)+$L78,SUM(D77:D83))</f>
        <v>1716</v>
      </c>
      <c r="F77" s="280">
        <f ca="1">IF($L79&lt;0,IF($L78&lt;0,E77+$L79,E77+$L78+$L79),IF($L78&lt;0,E77,E77+$L78))</f>
        <v>1723.9431</v>
      </c>
      <c r="G77" s="280">
        <f ca="1">IF($L80&lt;0,IF($L79&lt;0,F77+$L80,F77+$L79+$L80),IF($L79&lt;0,F77,F77+$L79))</f>
        <v>1790.1631</v>
      </c>
      <c r="H77" s="280">
        <f ca="1">IF($L81&lt;0,IF($L80&lt;0,G77+$L81,G77+$L80+$L81),IF($L80&lt;0,G77,G77+$L80))</f>
        <v>1508.3628999999999</v>
      </c>
      <c r="I77" s="280">
        <f ca="1">IF($L82&lt;0,IF($L81&lt;0,H77+$L82,H77+$L81+$L82),IF($L81&lt;0,H77,H77+$L81))</f>
        <v>1508.3628999999999</v>
      </c>
      <c r="J77" s="280">
        <f ca="1">IF($L83&lt;0,IF($L82&lt;0,I77+$L83,I77+$L82+$L83),IF($L82&lt;0,I77,I77+$L82))</f>
        <v>1729.7539996152088</v>
      </c>
      <c r="K77" s="280">
        <v>0</v>
      </c>
      <c r="L77" s="281"/>
      <c r="N77" s="119"/>
    </row>
    <row r="78" spans="1:14" x14ac:dyDescent="0.35">
      <c r="A78" s="70"/>
      <c r="B78" s="112" t="str">
        <f t="shared" ref="B78:B83" si="4">B77</f>
        <v>SAPN</v>
      </c>
      <c r="C78" s="32" t="s">
        <v>58</v>
      </c>
      <c r="D78" s="282">
        <f t="array" aca="1" ref="D78" ca="1">INDEX(INDIRECT("'"&amp;$B78&amp;"'!$F$23:$AJ$39"),MATCH($C78,INDIRECT("'"&amp;$B78&amp;"'!$F$23:$F$39"),0),MATCH($B$44&amp;$C$44&amp;D$44&amp;"Cost",INDIRECT("'"&amp;$B78&amp;"'!$F$23:$AJ$23")&amp;INDIRECT("'"&amp;$B78&amp;"'!$F$24:$AJ$24")&amp;INDIRECT("'"&amp;$B78&amp;"'!$F$25:$AJ$25")&amp;INDIRECT("'"&amp;$B78&amp;"'!$F$30:$AJ$30"),0))</f>
        <v>818.81580000000008</v>
      </c>
      <c r="E78" s="283">
        <f ca="1">ABS($K78-$D78)</f>
        <v>7.9430999999999585</v>
      </c>
      <c r="F78" s="283"/>
      <c r="G78" s="283"/>
      <c r="H78" s="283"/>
      <c r="I78" s="283"/>
      <c r="J78" s="283"/>
      <c r="K78" s="282">
        <f t="array" aca="1" ref="K78" ca="1">INDEX(INDIRECT("'"&amp;$B78&amp;"'!$F$23:$AJ$39"),MATCH($C78,INDIRECT("'"&amp;$B78&amp;"'!$F$23:$F$39"),0),MATCH($B$44&amp;$C$44&amp;K$44&amp;"Cost",INDIRECT("'"&amp;$B78&amp;"'!$F$23:$AJ$23")&amp;INDIRECT("'"&amp;$B78&amp;"'!$F$24:$AJ$24")&amp;INDIRECT("'"&amp;$B78&amp;"'!$F$25:$AJ$25")&amp;INDIRECT("'"&amp;$B78&amp;"'!$F$30:$AJ$30"),0))</f>
        <v>826.75890000000004</v>
      </c>
      <c r="L78" s="284">
        <f t="shared" ref="L78:L83" ca="1" si="5">K78-D78</f>
        <v>7.9430999999999585</v>
      </c>
      <c r="N78" s="119"/>
    </row>
    <row r="79" spans="1:14" x14ac:dyDescent="0.35">
      <c r="A79" s="70"/>
      <c r="B79" s="112" t="str">
        <f t="shared" si="4"/>
        <v>SAPN</v>
      </c>
      <c r="C79" s="32" t="s">
        <v>59</v>
      </c>
      <c r="D79" s="282">
        <f t="array" aca="1" ref="D79" ca="1">INDEX(INDIRECT("'"&amp;$B79&amp;"'!$F$23:$AJ$39"),MATCH($C79,INDIRECT("'"&amp;$B79&amp;"'!$F$23:$F$39"),0),MATCH($B$44&amp;$C$44&amp;D$44&amp;"Cost",INDIRECT("'"&amp;$B79&amp;"'!$F$23:$AJ$23")&amp;INDIRECT("'"&amp;$B79&amp;"'!$F$24:$AJ$24")&amp;INDIRECT("'"&amp;$B79&amp;"'!$F$25:$AJ$25")&amp;INDIRECT("'"&amp;$B79&amp;"'!$F$30:$AJ$30"),0))</f>
        <v>525.66800000000001</v>
      </c>
      <c r="E79" s="283"/>
      <c r="F79" s="283">
        <f ca="1">ABS($K79-$D79)</f>
        <v>66.26400000000001</v>
      </c>
      <c r="G79" s="283"/>
      <c r="H79" s="283"/>
      <c r="I79" s="283"/>
      <c r="J79" s="283"/>
      <c r="K79" s="282">
        <f t="array" aca="1" ref="K79" ca="1">INDEX(INDIRECT("'"&amp;$B79&amp;"'!$F$23:$AJ$39"),MATCH($C79,INDIRECT("'"&amp;$B79&amp;"'!$F$23:$F$39"),0),MATCH($B$44&amp;$C$44&amp;K$44&amp;"Cost",INDIRECT("'"&amp;$B79&amp;"'!$F$23:$AJ$23")&amp;INDIRECT("'"&amp;$B79&amp;"'!$F$24:$AJ$24")&amp;INDIRECT("'"&amp;$B79&amp;"'!$F$25:$AJ$25")&amp;INDIRECT("'"&amp;$B79&amp;"'!$F$30:$AJ$30"),0))</f>
        <v>591.93200000000002</v>
      </c>
      <c r="L79" s="284">
        <f t="shared" ca="1" si="5"/>
        <v>66.26400000000001</v>
      </c>
      <c r="N79" s="119"/>
    </row>
    <row r="80" spans="1:14" x14ac:dyDescent="0.35">
      <c r="A80" s="70"/>
      <c r="B80" s="112" t="str">
        <f t="shared" si="4"/>
        <v>SAPN</v>
      </c>
      <c r="C80" s="32" t="s">
        <v>60</v>
      </c>
      <c r="D80" s="282">
        <f t="array" aca="1" ref="D80" ca="1">INDEX(INDIRECT("'"&amp;$B80&amp;"'!$F$23:$AJ$39"),MATCH($C80,INDIRECT("'"&amp;$B80&amp;"'!$F$23:$F$39"),0),MATCH($B$44&amp;$C$44&amp;D$44&amp;"Cost",INDIRECT("'"&amp;$B80&amp;"'!$F$23:$AJ$23")&amp;INDIRECT("'"&amp;$B80&amp;"'!$F$24:$AJ$24")&amp;INDIRECT("'"&amp;$B80&amp;"'!$F$25:$AJ$25")&amp;INDIRECT("'"&amp;$B80&amp;"'!$F$30:$AJ$30"),0))</f>
        <v>89.716000000000008</v>
      </c>
      <c r="E80" s="283"/>
      <c r="F80" s="283"/>
      <c r="G80" s="283">
        <f ca="1">ABS($K80-$D80)</f>
        <v>4.4000000000011141E-2</v>
      </c>
      <c r="H80" s="283"/>
      <c r="I80" s="283"/>
      <c r="J80" s="283"/>
      <c r="K80" s="282">
        <f t="array" aca="1" ref="K80" ca="1">INDEX(INDIRECT("'"&amp;$B80&amp;"'!$F$23:$AJ$39"),MATCH($C80,INDIRECT("'"&amp;$B80&amp;"'!$F$23:$F$39"),0),MATCH($B$44&amp;$C$44&amp;K$44&amp;"Cost",INDIRECT("'"&amp;$B80&amp;"'!$F$23:$AJ$23")&amp;INDIRECT("'"&amp;$B80&amp;"'!$F$24:$AJ$24")&amp;INDIRECT("'"&amp;$B80&amp;"'!$F$25:$AJ$25")&amp;INDIRECT("'"&amp;$B80&amp;"'!$F$30:$AJ$30"),0))</f>
        <v>89.671999999999997</v>
      </c>
      <c r="L80" s="284">
        <f t="shared" ca="1" si="5"/>
        <v>-4.4000000000011141E-2</v>
      </c>
      <c r="N80" s="119"/>
    </row>
    <row r="81" spans="1:14" x14ac:dyDescent="0.35">
      <c r="A81" s="70"/>
      <c r="B81" s="112" t="str">
        <f t="shared" si="4"/>
        <v>SAPN</v>
      </c>
      <c r="C81" s="32" t="s">
        <v>196</v>
      </c>
      <c r="D81" s="282">
        <f t="array" aca="1" ref="D81" ca="1">INDEX(INDIRECT("'"&amp;$B81&amp;"'!$F$23:$AJ$39"),MATCH($C81,INDIRECT("'"&amp;$B81&amp;"'!$F$23:$F$39"),0),MATCH($B$44&amp;$C$44&amp;D$44&amp;"Cost",INDIRECT("'"&amp;$B81&amp;"'!$F$23:$AJ$23")&amp;INDIRECT("'"&amp;$B81&amp;"'!$F$24:$AJ$24")&amp;INDIRECT("'"&amp;$B81&amp;"'!$F$25:$AJ$25")&amp;INDIRECT("'"&amp;$B81&amp;"'!$F$30:$AJ$30"),0))</f>
        <v>281.80020000000013</v>
      </c>
      <c r="E81" s="283"/>
      <c r="F81" s="283"/>
      <c r="G81" s="283"/>
      <c r="H81" s="283">
        <f ca="1">ABS($K81-$D81)</f>
        <v>281.80020000000013</v>
      </c>
      <c r="I81" s="252"/>
      <c r="J81" s="283"/>
      <c r="K81" s="282">
        <f t="array" aca="1" ref="K81" ca="1">INDEX(INDIRECT("'"&amp;$B81&amp;"'!$F$23:$AJ$39"),MATCH($C81,INDIRECT("'"&amp;$B81&amp;"'!$F$23:$F$39"),0),MATCH($B$44&amp;$C$44&amp;K$44&amp;"Cost",INDIRECT("'"&amp;$B81&amp;"'!$F$23:$AJ$23")&amp;INDIRECT("'"&amp;$B81&amp;"'!$F$24:$AJ$24")&amp;INDIRECT("'"&amp;$B81&amp;"'!$F$25:$AJ$25")&amp;INDIRECT("'"&amp;$B81&amp;"'!$F$30:$AJ$30"),0))</f>
        <v>0</v>
      </c>
      <c r="L81" s="284">
        <f t="shared" ca="1" si="5"/>
        <v>-281.80020000000013</v>
      </c>
      <c r="N81" s="119"/>
    </row>
    <row r="82" spans="1:14" x14ac:dyDescent="0.35">
      <c r="A82" s="70"/>
      <c r="B82" s="112" t="str">
        <f t="shared" si="4"/>
        <v>SAPN</v>
      </c>
      <c r="C82" s="32" t="s">
        <v>193</v>
      </c>
      <c r="D82" s="282">
        <f t="array" aca="1" ref="D82" ca="1">INDEX(INDIRECT("'"&amp;$B82&amp;"'!$F$23:$AJ$39"),MATCH($C82,INDIRECT("'"&amp;$B82&amp;"'!$F$23:$F$39"),0),MATCH($B$44&amp;$C$44&amp;D$44&amp;"Cost",INDIRECT("'"&amp;$B82&amp;"'!$F$23:$AJ$23")&amp;INDIRECT("'"&amp;$B82&amp;"'!$F$24:$AJ$24")&amp;INDIRECT("'"&amp;$B82&amp;"'!$F$25:$AJ$25")&amp;INDIRECT("'"&amp;$B82&amp;"'!$F$30:$AJ$30"),0))</f>
        <v>0</v>
      </c>
      <c r="E82" s="283"/>
      <c r="F82" s="283"/>
      <c r="G82" s="283"/>
      <c r="H82" s="283"/>
      <c r="I82" s="283">
        <f ca="1">ABS($K82-$D82)</f>
        <v>221.39109961520896</v>
      </c>
      <c r="J82" s="283"/>
      <c r="K82" s="282">
        <f t="array" aca="1" ref="K82" ca="1">INDEX(INDIRECT("'"&amp;$B82&amp;"'!$F$23:$AJ$39"),MATCH($C82,INDIRECT("'"&amp;$B82&amp;"'!$F$23:$F$39"),0),MATCH($B$44&amp;$C$44&amp;K$44&amp;"Cost",INDIRECT("'"&amp;$B82&amp;"'!$F$23:$AJ$23")&amp;INDIRECT("'"&amp;$B82&amp;"'!$F$24:$AJ$24")&amp;INDIRECT("'"&amp;$B82&amp;"'!$F$25:$AJ$25")&amp;INDIRECT("'"&amp;$B82&amp;"'!$F$30:$AJ$30"),0))</f>
        <v>221.39109961520896</v>
      </c>
      <c r="L82" s="284">
        <f t="shared" ca="1" si="5"/>
        <v>221.39109961520896</v>
      </c>
      <c r="N82" s="119"/>
    </row>
    <row r="83" spans="1:14" x14ac:dyDescent="0.35">
      <c r="A83" s="70"/>
      <c r="B83" s="112" t="str">
        <f t="shared" si="4"/>
        <v>SAPN</v>
      </c>
      <c r="C83" s="32" t="s">
        <v>195</v>
      </c>
      <c r="D83" s="282">
        <f t="array" aca="1" ref="D83" ca="1">INDEX(INDIRECT("'"&amp;$B83&amp;"'!$F$23:$AJ$39"),MATCH($C83,INDIRECT("'"&amp;$B83&amp;"'!$F$23:$F$39"),0),MATCH($B$44&amp;$C$44&amp;D$44&amp;"Cost",INDIRECT("'"&amp;$B83&amp;"'!$F$23:$AJ$23")&amp;INDIRECT("'"&amp;$B83&amp;"'!$F$24:$AJ$24")&amp;INDIRECT("'"&amp;$B83&amp;"'!$F$25:$AJ$25")&amp;INDIRECT("'"&amp;$B83&amp;"'!$F$30:$AJ$30"),0))</f>
        <v>0</v>
      </c>
      <c r="E83" s="283"/>
      <c r="F83" s="283"/>
      <c r="G83" s="283"/>
      <c r="H83" s="283"/>
      <c r="I83" s="283"/>
      <c r="J83" s="283">
        <f ca="1">ABS($K83-$D83)</f>
        <v>110.4098297626731</v>
      </c>
      <c r="K83" s="282">
        <f t="array" aca="1" ref="K83" ca="1">INDEX(INDIRECT("'"&amp;$B83&amp;"'!$F$23:$AJ$39"),MATCH($C83,INDIRECT("'"&amp;$B83&amp;"'!$F$23:$F$39"),0),MATCH($B$44&amp;$C$44&amp;K$44&amp;"Cost",INDIRECT("'"&amp;$B83&amp;"'!$F$23:$AJ$23")&amp;INDIRECT("'"&amp;$B83&amp;"'!$F$24:$AJ$24")&amp;INDIRECT("'"&amp;$B83&amp;"'!$F$25:$AJ$25")&amp;INDIRECT("'"&amp;$B83&amp;"'!$F$30:$AJ$30"),0))</f>
        <v>110.4098297626731</v>
      </c>
      <c r="L83" s="284">
        <f t="shared" ca="1" si="5"/>
        <v>110.4098297626731</v>
      </c>
      <c r="N83" s="119"/>
    </row>
    <row r="84" spans="1:14" x14ac:dyDescent="0.35">
      <c r="A84" s="70"/>
      <c r="B84" s="113" t="str">
        <f>B82</f>
        <v>SAPN</v>
      </c>
      <c r="C84" s="114" t="s">
        <v>124</v>
      </c>
      <c r="D84" s="285">
        <f ca="1">SUM(D77:D83)</f>
        <v>1716</v>
      </c>
      <c r="E84" s="285"/>
      <c r="F84" s="285"/>
      <c r="G84" s="285"/>
      <c r="H84" s="285"/>
      <c r="I84" s="285"/>
      <c r="J84" s="285"/>
      <c r="K84" s="285">
        <f ca="1">SUM(K77:K83)</f>
        <v>1840.1638293778822</v>
      </c>
      <c r="L84" s="286"/>
      <c r="N84" s="123"/>
    </row>
  </sheetData>
  <mergeCells count="1">
    <mergeCell ref="A1:B1"/>
  </mergeCells>
  <conditionalFormatting sqref="J49:L49 B49:H49 J57:L57 B57:H57 J65:L65 B65:H65 J73:L73 B73:H73 J81:L81 B81:H81 B45:L48 B50:L56 B58:L64 B66:L72 B74:L80 B82:L84">
    <cfRule type="expression" dxfId="1692" priority="13">
      <formula>MOD(ROW(),2)=0</formula>
    </cfRule>
  </conditionalFormatting>
  <conditionalFormatting sqref="N53:N59 N61:N67 N69:N75 N77:N83">
    <cfRule type="cellIs" dxfId="1691" priority="11" operator="equal">
      <formula>FALSE</formula>
    </cfRule>
    <cfRule type="cellIs" dxfId="1690" priority="12" operator="equal">
      <formula>TRUE</formula>
    </cfRule>
  </conditionalFormatting>
  <conditionalFormatting sqref="N52">
    <cfRule type="cellIs" dxfId="1689" priority="9" operator="equal">
      <formula>FALSE</formula>
    </cfRule>
    <cfRule type="cellIs" dxfId="1688" priority="10" operator="equal">
      <formula>TRUE</formula>
    </cfRule>
  </conditionalFormatting>
  <conditionalFormatting sqref="N60">
    <cfRule type="cellIs" dxfId="1687" priority="7" operator="equal">
      <formula>FALSE</formula>
    </cfRule>
    <cfRule type="cellIs" dxfId="1686" priority="8" operator="equal">
      <formula>TRUE</formula>
    </cfRule>
  </conditionalFormatting>
  <conditionalFormatting sqref="N68">
    <cfRule type="cellIs" dxfId="1685" priority="5" operator="equal">
      <formula>FALSE</formula>
    </cfRule>
    <cfRule type="cellIs" dxfId="1684" priority="6" operator="equal">
      <formula>TRUE</formula>
    </cfRule>
  </conditionalFormatting>
  <conditionalFormatting sqref="N76">
    <cfRule type="cellIs" dxfId="1683" priority="3" operator="equal">
      <formula>FALSE</formula>
    </cfRule>
    <cfRule type="cellIs" dxfId="1682" priority="4" operator="equal">
      <formula>TRUE</formula>
    </cfRule>
  </conditionalFormatting>
  <conditionalFormatting sqref="N84">
    <cfRule type="cellIs" dxfId="1681" priority="1" operator="equal">
      <formula>FALSE</formula>
    </cfRule>
    <cfRule type="cellIs" dxfId="1680" priority="2" operator="equal">
      <formula>TRUE</formula>
    </cfRule>
  </conditionalFormatting>
  <hyperlinks>
    <hyperlink ref="A1" location="Index!A1" display="&lt;&lt;Back to Index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7257-9AD4-4FEA-ADB4-AC2236EC31C8}">
  <sheetPr>
    <tabColor rgb="FFC06C7C"/>
  </sheetPr>
  <dimension ref="A1:T84"/>
  <sheetViews>
    <sheetView zoomScale="85" zoomScaleNormal="85" workbookViewId="0">
      <selection activeCell="N44" sqref="N44"/>
    </sheetView>
  </sheetViews>
  <sheetFormatPr defaultColWidth="8.81640625" defaultRowHeight="14.5" x14ac:dyDescent="0.35"/>
  <cols>
    <col min="1" max="1" width="3.1796875" style="3" customWidth="1"/>
    <col min="2" max="2" width="10.1796875" style="3" bestFit="1" customWidth="1"/>
    <col min="3" max="3" width="17.453125" style="3" bestFit="1" customWidth="1"/>
    <col min="4" max="4" width="9" style="3" bestFit="1" customWidth="1"/>
    <col min="5" max="5" width="14.1796875" style="3" bestFit="1" customWidth="1"/>
    <col min="6" max="6" width="16" style="3" bestFit="1" customWidth="1"/>
    <col min="7" max="7" width="19.54296875" style="3" bestFit="1" customWidth="1"/>
    <col min="8" max="8" width="9.81640625" style="3" bestFit="1" customWidth="1"/>
    <col min="9" max="9" width="11.453125" style="3" bestFit="1" customWidth="1"/>
    <col min="10" max="10" width="16.453125" style="3" bestFit="1" customWidth="1"/>
    <col min="11" max="11" width="9" style="3" bestFit="1" customWidth="1"/>
    <col min="12" max="12" width="8.81640625" style="3" bestFit="1" customWidth="1"/>
    <col min="13" max="25" width="10.81640625" style="3" customWidth="1"/>
    <col min="26" max="26" width="12" style="3" customWidth="1"/>
    <col min="27" max="16384" width="8.81640625" style="3"/>
  </cols>
  <sheetData>
    <row r="1" spans="1:2" ht="10.4" customHeight="1" x14ac:dyDescent="0.35">
      <c r="A1" s="302" t="s">
        <v>20</v>
      </c>
      <c r="B1" s="307"/>
    </row>
    <row r="2" spans="1:2" s="13" customFormat="1" ht="22.5" customHeight="1" x14ac:dyDescent="0.35">
      <c r="A2" s="14" t="s">
        <v>154</v>
      </c>
      <c r="B2" s="14"/>
    </row>
    <row r="3" spans="1:2" x14ac:dyDescent="0.35">
      <c r="B3" s="107" t="s">
        <v>138</v>
      </c>
    </row>
    <row r="41" spans="1:20" x14ac:dyDescent="0.35">
      <c r="B41" s="117" t="s">
        <v>135</v>
      </c>
    </row>
    <row r="44" spans="1:20" s="5" customFormat="1" x14ac:dyDescent="0.35">
      <c r="B44" s="115" t="s">
        <v>6</v>
      </c>
      <c r="C44" s="116" t="s">
        <v>137</v>
      </c>
      <c r="D44" s="278" t="str">
        <f>PY</f>
        <v>2021-22</v>
      </c>
      <c r="E44" s="278" t="s">
        <v>58</v>
      </c>
      <c r="F44" s="278" t="s">
        <v>59</v>
      </c>
      <c r="G44" s="278" t="s">
        <v>60</v>
      </c>
      <c r="H44" s="278" t="s">
        <v>196</v>
      </c>
      <c r="I44" s="278" t="s">
        <v>193</v>
      </c>
      <c r="J44" s="278" t="s">
        <v>195</v>
      </c>
      <c r="K44" s="278" t="str">
        <f>FY</f>
        <v>2022-23</v>
      </c>
      <c r="L44" s="279" t="s">
        <v>22</v>
      </c>
      <c r="N44" s="122"/>
    </row>
    <row r="45" spans="1:20" x14ac:dyDescent="0.35">
      <c r="A45" s="70" t="str">
        <f>B45&amp;" "&amp;$B$44&amp;" "&amp;$C$44&amp;" $"</f>
        <v>Ausgrid Residential with CL $</v>
      </c>
      <c r="B45" s="110" t="s">
        <v>2</v>
      </c>
      <c r="C45" s="111" t="s">
        <v>169</v>
      </c>
      <c r="D45" s="280">
        <v>0</v>
      </c>
      <c r="E45" s="280">
        <f ca="1">IF($L46&lt;0,SUM(D45:D51)+$L46,SUM(D45:D51))</f>
        <v>1889.1701694049998</v>
      </c>
      <c r="F45" s="280">
        <f ca="1">IF($L47&lt;0,IF($L46&lt;0,E45+$L47,E45+$L46+$L47),IF($L46&lt;0,E45,E45+$L46))</f>
        <v>1889.1701694049998</v>
      </c>
      <c r="G45" s="280">
        <f ca="1">IF($L48&lt;0,IF($L47&lt;0,F45+$L48,F45+$L47+$L48),IF($L47&lt;0,F45,F45+$L47))</f>
        <v>2133.3862294049995</v>
      </c>
      <c r="H45" s="280">
        <f ca="1">IF($L49&lt;0,IF($L48&lt;0,G45+$L49,G45+$L48+$L49),IF($L48&lt;0,G45,G45+$L48))</f>
        <v>1700.9650382999998</v>
      </c>
      <c r="I45" s="280">
        <f ca="1">IF($L50&lt;0,IF($L49&lt;0,H45+$L50,H45+$L49+$L50),IF($L49&lt;0,H45,H45+$L49))</f>
        <v>1700.9650382999998</v>
      </c>
      <c r="J45" s="280">
        <f ca="1">IF($L51&lt;0,IF($L50&lt;0,I45+$L51,I45+$L50+$L51),IF($L50&lt;0,I45,I45+$L50))</f>
        <v>1910.0643540152089</v>
      </c>
      <c r="K45" s="280">
        <v>0</v>
      </c>
      <c r="L45" s="281"/>
      <c r="N45" s="36"/>
      <c r="O45" s="36"/>
      <c r="P45" s="36"/>
      <c r="Q45" s="36"/>
      <c r="R45" s="36"/>
      <c r="S45" s="36"/>
      <c r="T45" s="36"/>
    </row>
    <row r="46" spans="1:20" x14ac:dyDescent="0.35">
      <c r="A46" s="70"/>
      <c r="B46" s="112" t="str">
        <f>B45</f>
        <v>Ausgrid</v>
      </c>
      <c r="C46" s="32" t="s">
        <v>58</v>
      </c>
      <c r="D46" s="282">
        <f t="array" aca="1" ref="D46" ca="1">INDEX(INDIRECT("'"&amp;$B46&amp;"'!$F$23:$AJ$39"),MATCH($C46,INDIRECT("'"&amp;$B46&amp;"'!$F$23:$F$39"),0),MATCH($B$44&amp;$C$44&amp;D$44&amp;"Cost",INDIRECT("'"&amp;$B46&amp;"'!$F$23:$AJ$23")&amp;INDIRECT("'"&amp;$B46&amp;"'!$F$24:$AJ$24")&amp;INDIRECT("'"&amp;$B46&amp;"'!$F$25:$AJ$25")&amp;INDIRECT("'"&amp;$B46&amp;"'!$F$30:$AJ$30"),0))</f>
        <v>729.62542889500014</v>
      </c>
      <c r="E46" s="283">
        <f ca="1">ABS($K46-$D46)</f>
        <v>22.829830595000203</v>
      </c>
      <c r="F46" s="283"/>
      <c r="G46" s="283"/>
      <c r="H46" s="283"/>
      <c r="I46" s="283"/>
      <c r="J46" s="283"/>
      <c r="K46" s="282">
        <f t="array" aca="1" ref="K46" ca="1">INDEX(INDIRECT("'"&amp;$B46&amp;"'!$F$23:$AJ$39"),MATCH($C46,INDIRECT("'"&amp;$B46&amp;"'!$F$23:$F$39"),0),MATCH($B$44&amp;$C$44&amp;K$44&amp;"Cost",INDIRECT("'"&amp;$B46&amp;"'!$F$23:$AJ$23")&amp;INDIRECT("'"&amp;$B46&amp;"'!$F$24:$AJ$24")&amp;INDIRECT("'"&amp;$B46&amp;"'!$F$25:$AJ$25")&amp;INDIRECT("'"&amp;$B46&amp;"'!$F$30:$AJ$30"),0))</f>
        <v>706.79559829999994</v>
      </c>
      <c r="L46" s="284">
        <f t="shared" ref="L46:L51" ca="1" si="0">K46-D46</f>
        <v>-22.829830595000203</v>
      </c>
      <c r="M46" s="109"/>
      <c r="N46" s="36"/>
      <c r="O46" s="36"/>
      <c r="P46" s="36"/>
      <c r="Q46" s="36"/>
      <c r="R46" s="36"/>
      <c r="S46" s="36"/>
      <c r="T46" s="36"/>
    </row>
    <row r="47" spans="1:20" x14ac:dyDescent="0.35">
      <c r="A47" s="70"/>
      <c r="B47" s="112" t="str">
        <f>B46</f>
        <v>Ausgrid</v>
      </c>
      <c r="C47" s="32" t="s">
        <v>59</v>
      </c>
      <c r="D47" s="282">
        <f t="array" aca="1" ref="D47" ca="1">INDEX(INDIRECT("'"&amp;$B47&amp;"'!$F$23:$AJ$39"),MATCH($C47,INDIRECT("'"&amp;$B47&amp;"'!$F$23:$F$39"),0),MATCH($B$44&amp;$C$44&amp;D$44&amp;"Cost",INDIRECT("'"&amp;$B47&amp;"'!$F$23:$AJ$23")&amp;INDIRECT("'"&amp;$B47&amp;"'!$F$24:$AJ$24")&amp;INDIRECT("'"&amp;$B47&amp;"'!$F$25:$AJ$25")&amp;INDIRECT("'"&amp;$B47&amp;"'!$F$30:$AJ$30"),0))</f>
        <v>595.13497999999993</v>
      </c>
      <c r="E47" s="283"/>
      <c r="F47" s="283">
        <f ca="1">ABS($K47-$D47)</f>
        <v>244.21605999999997</v>
      </c>
      <c r="G47" s="283"/>
      <c r="H47" s="283"/>
      <c r="I47" s="283"/>
      <c r="J47" s="283"/>
      <c r="K47" s="282">
        <f t="array" aca="1" ref="K47" ca="1">INDEX(INDIRECT("'"&amp;$B47&amp;"'!$F$23:$AJ$39"),MATCH($C47,INDIRECT("'"&amp;$B47&amp;"'!$F$23:$F$39"),0),MATCH($B$44&amp;$C$44&amp;K$44&amp;"Cost",INDIRECT("'"&amp;$B47&amp;"'!$F$23:$AJ$23")&amp;INDIRECT("'"&amp;$B47&amp;"'!$F$24:$AJ$24")&amp;INDIRECT("'"&amp;$B47&amp;"'!$F$25:$AJ$25")&amp;INDIRECT("'"&amp;$B47&amp;"'!$F$30:$AJ$30"),0))</f>
        <v>839.3510399999999</v>
      </c>
      <c r="L47" s="284">
        <f t="shared" ca="1" si="0"/>
        <v>244.21605999999997</v>
      </c>
      <c r="N47" s="36"/>
      <c r="O47" s="36"/>
      <c r="P47" s="36"/>
      <c r="Q47" s="36"/>
      <c r="R47" s="36"/>
      <c r="S47" s="36"/>
      <c r="T47" s="36"/>
    </row>
    <row r="48" spans="1:20" x14ac:dyDescent="0.35">
      <c r="A48" s="70"/>
      <c r="B48" s="112" t="str">
        <f>B47</f>
        <v>Ausgrid</v>
      </c>
      <c r="C48" s="32" t="s">
        <v>60</v>
      </c>
      <c r="D48" s="282">
        <f t="array" aca="1" ref="D48" ca="1">INDEX(INDIRECT("'"&amp;$B48&amp;"'!$F$23:$AJ$39"),MATCH($C48,INDIRECT("'"&amp;$B48&amp;"'!$F$23:$F$39"),0),MATCH($B$44&amp;$C$44&amp;D$44&amp;"Cost",INDIRECT("'"&amp;$B48&amp;"'!$F$23:$AJ$23")&amp;INDIRECT("'"&amp;$B48&amp;"'!$F$24:$AJ$24")&amp;INDIRECT("'"&amp;$B48&amp;"'!$F$25:$AJ$25")&amp;INDIRECT("'"&amp;$B48&amp;"'!$F$30:$AJ$30"),0))</f>
        <v>143.50160000000002</v>
      </c>
      <c r="E48" s="283"/>
      <c r="F48" s="283"/>
      <c r="G48" s="283">
        <f ca="1">ABS($K48-$D48)</f>
        <v>11.316799999999972</v>
      </c>
      <c r="H48" s="283"/>
      <c r="I48" s="283"/>
      <c r="J48" s="283"/>
      <c r="K48" s="282">
        <f t="array" aca="1" ref="K48" ca="1">INDEX(INDIRECT("'"&amp;$B48&amp;"'!$F$23:$AJ$39"),MATCH($C48,INDIRECT("'"&amp;$B48&amp;"'!$F$23:$F$39"),0),MATCH($B$44&amp;$C$44&amp;K$44&amp;"Cost",INDIRECT("'"&amp;$B48&amp;"'!$F$23:$AJ$23")&amp;INDIRECT("'"&amp;$B48&amp;"'!$F$24:$AJ$24")&amp;INDIRECT("'"&amp;$B48&amp;"'!$F$25:$AJ$25")&amp;INDIRECT("'"&amp;$B48&amp;"'!$F$30:$AJ$30"),0))</f>
        <v>154.8184</v>
      </c>
      <c r="L48" s="284">
        <f t="shared" ca="1" si="0"/>
        <v>11.316799999999972</v>
      </c>
      <c r="N48" s="36"/>
      <c r="O48" s="36"/>
      <c r="P48" s="36"/>
      <c r="Q48" s="36"/>
      <c r="R48" s="36"/>
      <c r="S48" s="36"/>
      <c r="T48" s="36"/>
    </row>
    <row r="49" spans="1:20" x14ac:dyDescent="0.35">
      <c r="A49" s="70"/>
      <c r="B49" s="112" t="str">
        <f>B47</f>
        <v>Ausgrid</v>
      </c>
      <c r="C49" s="32" t="s">
        <v>196</v>
      </c>
      <c r="D49" s="282">
        <f t="array" aca="1" ref="D49" ca="1">INDEX(INDIRECT("'"&amp;$B49&amp;"'!$F$23:$AJ$39"),MATCH($C49,INDIRECT("'"&amp;$B49&amp;"'!$F$23:$F$39"),0),MATCH($B$44&amp;$C$44&amp;D$44&amp;"Cost",INDIRECT("'"&amp;$B49&amp;"'!$F$23:$AJ$23")&amp;INDIRECT("'"&amp;$B49&amp;"'!$F$24:$AJ$24")&amp;INDIRECT("'"&amp;$B49&amp;"'!$F$25:$AJ$25")&amp;INDIRECT("'"&amp;$B49&amp;"'!$F$30:$AJ$30"),0))</f>
        <v>443.73799110499976</v>
      </c>
      <c r="E49" s="283"/>
      <c r="F49" s="283"/>
      <c r="G49" s="283"/>
      <c r="H49" s="283">
        <f ca="1">ABS($K49-$D49)</f>
        <v>443.73799110499976</v>
      </c>
      <c r="I49" s="252"/>
      <c r="J49" s="283"/>
      <c r="K49" s="282">
        <f t="array" aca="1" ref="K49" ca="1">INDEX(INDIRECT("'"&amp;$B49&amp;"'!$F$23:$AJ$39"),MATCH($C49,INDIRECT("'"&amp;$B49&amp;"'!$F$23:$F$39"),0),MATCH($B$44&amp;$C$44&amp;K$44&amp;"Cost",INDIRECT("'"&amp;$B49&amp;"'!$F$23:$AJ$23")&amp;INDIRECT("'"&amp;$B49&amp;"'!$F$24:$AJ$24")&amp;INDIRECT("'"&amp;$B49&amp;"'!$F$25:$AJ$25")&amp;INDIRECT("'"&amp;$B49&amp;"'!$F$30:$AJ$30"),0))</f>
        <v>0</v>
      </c>
      <c r="L49" s="284">
        <f t="shared" ca="1" si="0"/>
        <v>-443.73799110499976</v>
      </c>
      <c r="N49" s="36"/>
      <c r="O49" s="36"/>
      <c r="P49" s="36"/>
      <c r="Q49" s="36"/>
      <c r="R49" s="36"/>
      <c r="S49" s="36"/>
      <c r="T49" s="36"/>
    </row>
    <row r="50" spans="1:20" x14ac:dyDescent="0.35">
      <c r="A50" s="70"/>
      <c r="B50" s="112" t="str">
        <f>B48</f>
        <v>Ausgrid</v>
      </c>
      <c r="C50" s="32" t="s">
        <v>193</v>
      </c>
      <c r="D50" s="282">
        <f t="array" aca="1" ref="D50" ca="1">INDEX(INDIRECT("'"&amp;$B50&amp;"'!$F$23:$AJ$39"),MATCH($C50,INDIRECT("'"&amp;$B50&amp;"'!$F$23:$F$39"),0),MATCH($B$44&amp;$C$44&amp;D$44&amp;"Cost",INDIRECT("'"&amp;$B50&amp;"'!$F$23:$AJ$23")&amp;INDIRECT("'"&amp;$B50&amp;"'!$F$24:$AJ$24")&amp;INDIRECT("'"&amp;$B50&amp;"'!$F$25:$AJ$25")&amp;INDIRECT("'"&amp;$B50&amp;"'!$F$30:$AJ$30"),0))</f>
        <v>0</v>
      </c>
      <c r="E50" s="283"/>
      <c r="F50" s="283"/>
      <c r="G50" s="283"/>
      <c r="H50" s="283"/>
      <c r="I50" s="283">
        <f ca="1">ABS($K50-$D50)</f>
        <v>209.099315715209</v>
      </c>
      <c r="J50" s="283"/>
      <c r="K50" s="282">
        <f t="array" aca="1" ref="K50" ca="1">INDEX(INDIRECT("'"&amp;$B50&amp;"'!$F$23:$AJ$39"),MATCH($C50,INDIRECT("'"&amp;$B50&amp;"'!$F$23:$F$39"),0),MATCH($B$44&amp;$C$44&amp;K$44&amp;"Cost",INDIRECT("'"&amp;$B50&amp;"'!$F$23:$AJ$23")&amp;INDIRECT("'"&amp;$B50&amp;"'!$F$24:$AJ$24")&amp;INDIRECT("'"&amp;$B50&amp;"'!$F$25:$AJ$25")&amp;INDIRECT("'"&amp;$B50&amp;"'!$F$30:$AJ$30"),0))</f>
        <v>209.099315715209</v>
      </c>
      <c r="L50" s="284">
        <f t="shared" ca="1" si="0"/>
        <v>209.099315715209</v>
      </c>
      <c r="N50" s="36"/>
      <c r="O50" s="36"/>
      <c r="P50" s="36"/>
      <c r="Q50" s="36"/>
      <c r="R50" s="36"/>
      <c r="S50" s="36"/>
      <c r="T50" s="36"/>
    </row>
    <row r="51" spans="1:20" x14ac:dyDescent="0.35">
      <c r="A51" s="70"/>
      <c r="B51" s="112" t="str">
        <f>B49</f>
        <v>Ausgrid</v>
      </c>
      <c r="C51" s="32" t="s">
        <v>195</v>
      </c>
      <c r="D51" s="282">
        <f t="array" aca="1" ref="D51" ca="1">INDEX(INDIRECT("'"&amp;$B51&amp;"'!$F$23:$AJ$39"),MATCH($C51,INDIRECT("'"&amp;$B51&amp;"'!$F$23:$F$39"),0),MATCH($B$44&amp;$C$44&amp;D$44&amp;"Cost",INDIRECT("'"&amp;$B51&amp;"'!$F$23:$AJ$23")&amp;INDIRECT("'"&amp;$B51&amp;"'!$F$24:$AJ$24")&amp;INDIRECT("'"&amp;$B51&amp;"'!$F$25:$AJ$25")&amp;INDIRECT("'"&amp;$B51&amp;"'!$F$30:$AJ$30"),0))</f>
        <v>0</v>
      </c>
      <c r="E51" s="283"/>
      <c r="F51" s="283"/>
      <c r="G51" s="283"/>
      <c r="H51" s="283"/>
      <c r="I51" s="283"/>
      <c r="J51" s="283">
        <f ca="1">ABS($K51-$D51)</f>
        <v>212.22937266835629</v>
      </c>
      <c r="K51" s="282">
        <f t="array" aca="1" ref="K51" ca="1">INDEX(INDIRECT("'"&amp;$B51&amp;"'!$F$23:$AJ$39"),MATCH($C51,INDIRECT("'"&amp;$B51&amp;"'!$F$23:$F$39"),0),MATCH($B$44&amp;$C$44&amp;K$44&amp;"Cost",INDIRECT("'"&amp;$B51&amp;"'!$F$23:$AJ$23")&amp;INDIRECT("'"&amp;$B51&amp;"'!$F$24:$AJ$24")&amp;INDIRECT("'"&amp;$B51&amp;"'!$F$25:$AJ$25")&amp;INDIRECT("'"&amp;$B51&amp;"'!$F$30:$AJ$30"),0))</f>
        <v>212.22937266835629</v>
      </c>
      <c r="L51" s="284">
        <f t="shared" ca="1" si="0"/>
        <v>212.22937266835629</v>
      </c>
      <c r="N51" s="36"/>
      <c r="O51" s="36"/>
      <c r="P51" s="36"/>
      <c r="Q51" s="36"/>
      <c r="R51" s="36"/>
      <c r="S51" s="36"/>
      <c r="T51" s="36"/>
    </row>
    <row r="52" spans="1:20" x14ac:dyDescent="0.35">
      <c r="A52" s="70"/>
      <c r="B52" s="113" t="str">
        <f>B50</f>
        <v>Ausgrid</v>
      </c>
      <c r="C52" s="114" t="s">
        <v>124</v>
      </c>
      <c r="D52" s="285">
        <f ca="1">SUM(D45:D51)</f>
        <v>1912</v>
      </c>
      <c r="E52" s="285"/>
      <c r="F52" s="285"/>
      <c r="G52" s="285"/>
      <c r="H52" s="285"/>
      <c r="I52" s="285"/>
      <c r="J52" s="285"/>
      <c r="K52" s="285">
        <f ca="1">SUM(K45:K51)</f>
        <v>2122.2937266835652</v>
      </c>
      <c r="L52" s="286"/>
      <c r="N52" s="123"/>
      <c r="O52" s="36"/>
      <c r="P52" s="36"/>
      <c r="Q52" s="36"/>
      <c r="R52" s="36"/>
      <c r="S52" s="36"/>
      <c r="T52" s="36"/>
    </row>
    <row r="53" spans="1:20" x14ac:dyDescent="0.35">
      <c r="A53" s="70" t="str">
        <f>B53&amp;" "&amp;$B$44&amp;" "&amp;$C$44&amp;" $"</f>
        <v>Endeavour Residential with CL $</v>
      </c>
      <c r="B53" s="110" t="s">
        <v>4</v>
      </c>
      <c r="C53" s="111" t="s">
        <v>169</v>
      </c>
      <c r="D53" s="280">
        <v>0</v>
      </c>
      <c r="E53" s="280">
        <f ca="1">IF($L54&lt;0,SUM(D53:D59)+$L54,SUM(D53:D59))</f>
        <v>2014</v>
      </c>
      <c r="F53" s="280">
        <f ca="1">IF($L55&lt;0,IF($L54&lt;0,E53+$L55,E53+$L54+$L55),IF($L54&lt;0,E53,E53+$L54))</f>
        <v>2056.4577098</v>
      </c>
      <c r="G53" s="280">
        <f ca="1">IF($L56&lt;0,IF($L55&lt;0,F53+$L56,F53+$L55+$L56),IF($L55&lt;0,F53,F53+$L55))</f>
        <v>2337.7915097999999</v>
      </c>
      <c r="H53" s="280">
        <f ca="1">IF($L57&lt;0,IF($L56&lt;0,G53+$L57,G53+$L56+$L57),IF($L56&lt;0,G53,G53+$L56))</f>
        <v>1927.5798982000001</v>
      </c>
      <c r="I53" s="280">
        <f ca="1">IF($L58&lt;0,IF($L57&lt;0,H53+$L58,H53+$L57+$L58),IF($L57&lt;0,H53,H53+$L57))</f>
        <v>1927.5798982000001</v>
      </c>
      <c r="J53" s="280">
        <f ca="1">IF($L59&lt;0,IF($L58&lt;0,I53+$L59,I53+$L58+$L59),IF($L58&lt;0,I53,I53+$L58))</f>
        <v>2144.2768913652089</v>
      </c>
      <c r="K53" s="280">
        <v>0</v>
      </c>
      <c r="L53" s="281"/>
      <c r="N53" s="119"/>
    </row>
    <row r="54" spans="1:20" x14ac:dyDescent="0.35">
      <c r="A54" s="70"/>
      <c r="B54" s="112" t="str">
        <f>B53</f>
        <v>Endeavour</v>
      </c>
      <c r="C54" s="32" t="s">
        <v>58</v>
      </c>
      <c r="D54" s="282">
        <f t="array" aca="1" ref="D54" ca="1">INDEX(INDIRECT("'"&amp;$B54&amp;"'!$F$23:$AJ$39"),MATCH($C54,INDIRECT("'"&amp;$B54&amp;"'!$F$23:$F$39"),0),MATCH($B$44&amp;$C$44&amp;D$44&amp;"Cost",INDIRECT("'"&amp;$B54&amp;"'!$F$23:$AJ$23")&amp;INDIRECT("'"&amp;$B54&amp;"'!$F$24:$AJ$24")&amp;INDIRECT("'"&amp;$B54&amp;"'!$F$25:$AJ$25")&amp;INDIRECT("'"&amp;$B54&amp;"'!$F$30:$AJ$30"),0))</f>
        <v>727.84738840000011</v>
      </c>
      <c r="E54" s="283">
        <f ca="1">ABS($K54-$D54)</f>
        <v>42.457709799999861</v>
      </c>
      <c r="F54" s="283"/>
      <c r="G54" s="283"/>
      <c r="H54" s="283"/>
      <c r="I54" s="283"/>
      <c r="J54" s="283"/>
      <c r="K54" s="282">
        <f t="array" aca="1" ref="K54" ca="1">INDEX(INDIRECT("'"&amp;$B54&amp;"'!$F$23:$AJ$39"),MATCH($C54,INDIRECT("'"&amp;$B54&amp;"'!$F$23:$F$39"),0),MATCH($B$44&amp;$C$44&amp;K$44&amp;"Cost",INDIRECT("'"&amp;$B54&amp;"'!$F$23:$AJ$23")&amp;INDIRECT("'"&amp;$B54&amp;"'!$F$24:$AJ$24")&amp;INDIRECT("'"&amp;$B54&amp;"'!$F$25:$AJ$25")&amp;INDIRECT("'"&amp;$B54&amp;"'!$F$30:$AJ$30"),0))</f>
        <v>770.30509819999997</v>
      </c>
      <c r="L54" s="284">
        <f t="shared" ref="L54:L59" ca="1" si="1">K54-D54</f>
        <v>42.457709799999861</v>
      </c>
      <c r="N54" s="119"/>
    </row>
    <row r="55" spans="1:20" x14ac:dyDescent="0.35">
      <c r="A55" s="70"/>
      <c r="B55" s="112" t="str">
        <f>B54</f>
        <v>Endeavour</v>
      </c>
      <c r="C55" s="32" t="s">
        <v>59</v>
      </c>
      <c r="D55" s="282">
        <f t="array" aca="1" ref="D55" ca="1">INDEX(INDIRECT("'"&amp;$B55&amp;"'!$F$23:$AJ$39"),MATCH($C55,INDIRECT("'"&amp;$B55&amp;"'!$F$23:$F$39"),0),MATCH($B$44&amp;$C$44&amp;D$44&amp;"Cost",INDIRECT("'"&amp;$B55&amp;"'!$F$23:$AJ$23")&amp;INDIRECT("'"&amp;$B55&amp;"'!$F$24:$AJ$24")&amp;INDIRECT("'"&amp;$B55&amp;"'!$F$25:$AJ$25")&amp;INDIRECT("'"&amp;$B55&amp;"'!$F$30:$AJ$30"),0))</f>
        <v>706.46619999999996</v>
      </c>
      <c r="E55" s="283"/>
      <c r="F55" s="283">
        <f ca="1">ABS($K55-$D55)</f>
        <v>281.3338</v>
      </c>
      <c r="G55" s="283"/>
      <c r="H55" s="283"/>
      <c r="I55" s="283"/>
      <c r="J55" s="283"/>
      <c r="K55" s="282">
        <f t="array" aca="1" ref="K55" ca="1">INDEX(INDIRECT("'"&amp;$B55&amp;"'!$F$23:$AJ$39"),MATCH($C55,INDIRECT("'"&amp;$B55&amp;"'!$F$23:$F$39"),0),MATCH($B$44&amp;$C$44&amp;K$44&amp;"Cost",INDIRECT("'"&amp;$B55&amp;"'!$F$23:$AJ$23")&amp;INDIRECT("'"&amp;$B55&amp;"'!$F$24:$AJ$24")&amp;INDIRECT("'"&amp;$B55&amp;"'!$F$25:$AJ$25")&amp;INDIRECT("'"&amp;$B55&amp;"'!$F$30:$AJ$30"),0))</f>
        <v>987.8</v>
      </c>
      <c r="L55" s="284">
        <f t="shared" ca="1" si="1"/>
        <v>281.3338</v>
      </c>
      <c r="N55" s="119"/>
    </row>
    <row r="56" spans="1:20" x14ac:dyDescent="0.35">
      <c r="A56" s="70"/>
      <c r="B56" s="112" t="str">
        <f>B55</f>
        <v>Endeavour</v>
      </c>
      <c r="C56" s="32" t="s">
        <v>60</v>
      </c>
      <c r="D56" s="282">
        <f t="array" aca="1" ref="D56" ca="1">INDEX(INDIRECT("'"&amp;$B56&amp;"'!$F$23:$AJ$39"),MATCH($C56,INDIRECT("'"&amp;$B56&amp;"'!$F$23:$F$39"),0),MATCH($B$44&amp;$C$44&amp;D$44&amp;"Cost",INDIRECT("'"&amp;$B56&amp;"'!$F$23:$AJ$23")&amp;INDIRECT("'"&amp;$B56&amp;"'!$F$24:$AJ$24")&amp;INDIRECT("'"&amp;$B56&amp;"'!$F$25:$AJ$25")&amp;INDIRECT("'"&amp;$B56&amp;"'!$F$30:$AJ$30"),0))</f>
        <v>157.18340000000001</v>
      </c>
      <c r="E56" s="283"/>
      <c r="F56" s="283"/>
      <c r="G56" s="283">
        <f ca="1">ABS($K56-$D56)</f>
        <v>12.291399999999982</v>
      </c>
      <c r="H56" s="283"/>
      <c r="I56" s="283"/>
      <c r="J56" s="283"/>
      <c r="K56" s="282">
        <f t="array" aca="1" ref="K56" ca="1">INDEX(INDIRECT("'"&amp;$B56&amp;"'!$F$23:$AJ$39"),MATCH($C56,INDIRECT("'"&amp;$B56&amp;"'!$F$23:$F$39"),0),MATCH($B$44&amp;$C$44&amp;K$44&amp;"Cost",INDIRECT("'"&amp;$B56&amp;"'!$F$23:$AJ$23")&amp;INDIRECT("'"&amp;$B56&amp;"'!$F$24:$AJ$24")&amp;INDIRECT("'"&amp;$B56&amp;"'!$F$25:$AJ$25")&amp;INDIRECT("'"&amp;$B56&amp;"'!$F$30:$AJ$30"),0))</f>
        <v>169.47479999999999</v>
      </c>
      <c r="L56" s="284">
        <f t="shared" ca="1" si="1"/>
        <v>12.291399999999982</v>
      </c>
      <c r="N56" s="119"/>
    </row>
    <row r="57" spans="1:20" x14ac:dyDescent="0.35">
      <c r="A57" s="70"/>
      <c r="B57" s="112" t="str">
        <f>B55</f>
        <v>Endeavour</v>
      </c>
      <c r="C57" s="32" t="s">
        <v>196</v>
      </c>
      <c r="D57" s="282">
        <f t="array" aca="1" ref="D57" ca="1">INDEX(INDIRECT("'"&amp;$B57&amp;"'!$F$23:$AJ$39"),MATCH($C57,INDIRECT("'"&amp;$B57&amp;"'!$F$23:$F$39"),0),MATCH($B$44&amp;$C$44&amp;D$44&amp;"Cost",INDIRECT("'"&amp;$B57&amp;"'!$F$23:$AJ$23")&amp;INDIRECT("'"&amp;$B57&amp;"'!$F$24:$AJ$24")&amp;INDIRECT("'"&amp;$B57&amp;"'!$F$25:$AJ$25")&amp;INDIRECT("'"&amp;$B57&amp;"'!$F$30:$AJ$30"),0))</f>
        <v>422.50301159999981</v>
      </c>
      <c r="E57" s="283"/>
      <c r="F57" s="283"/>
      <c r="G57" s="283"/>
      <c r="H57" s="283">
        <f ca="1">ABS($K57-$D57)</f>
        <v>422.50301159999981</v>
      </c>
      <c r="I57" s="252"/>
      <c r="J57" s="283"/>
      <c r="K57" s="282">
        <f t="array" aca="1" ref="K57" ca="1">INDEX(INDIRECT("'"&amp;$B57&amp;"'!$F$23:$AJ$39"),MATCH($C57,INDIRECT("'"&amp;$B57&amp;"'!$F$23:$F$39"),0),MATCH($B$44&amp;$C$44&amp;K$44&amp;"Cost",INDIRECT("'"&amp;$B57&amp;"'!$F$23:$AJ$23")&amp;INDIRECT("'"&amp;$B57&amp;"'!$F$24:$AJ$24")&amp;INDIRECT("'"&amp;$B57&amp;"'!$F$25:$AJ$25")&amp;INDIRECT("'"&amp;$B57&amp;"'!$F$30:$AJ$30"),0))</f>
        <v>0</v>
      </c>
      <c r="L57" s="284">
        <f t="shared" ca="1" si="1"/>
        <v>-422.50301159999981</v>
      </c>
      <c r="N57" s="119"/>
    </row>
    <row r="58" spans="1:20" x14ac:dyDescent="0.35">
      <c r="A58" s="70"/>
      <c r="B58" s="112" t="str">
        <f>B56</f>
        <v>Endeavour</v>
      </c>
      <c r="C58" s="32" t="s">
        <v>193</v>
      </c>
      <c r="D58" s="282">
        <f t="array" aca="1" ref="D58" ca="1">INDEX(INDIRECT("'"&amp;$B58&amp;"'!$F$23:$AJ$39"),MATCH($C58,INDIRECT("'"&amp;$B58&amp;"'!$F$23:$F$39"),0),MATCH($B$44&amp;$C$44&amp;D$44&amp;"Cost",INDIRECT("'"&amp;$B58&amp;"'!$F$23:$AJ$23")&amp;INDIRECT("'"&amp;$B58&amp;"'!$F$24:$AJ$24")&amp;INDIRECT("'"&amp;$B58&amp;"'!$F$25:$AJ$25")&amp;INDIRECT("'"&amp;$B58&amp;"'!$F$30:$AJ$30"),0))</f>
        <v>0</v>
      </c>
      <c r="E58" s="283"/>
      <c r="F58" s="283"/>
      <c r="G58" s="283"/>
      <c r="H58" s="283"/>
      <c r="I58" s="283">
        <f ca="1">ABS($K58-$D58)</f>
        <v>216.69699316520897</v>
      </c>
      <c r="J58" s="283"/>
      <c r="K58" s="282">
        <f t="array" aca="1" ref="K58" ca="1">INDEX(INDIRECT("'"&amp;$B58&amp;"'!$F$23:$AJ$39"),MATCH($C58,INDIRECT("'"&amp;$B58&amp;"'!$F$23:$F$39"),0),MATCH($B$44&amp;$C$44&amp;K$44&amp;"Cost",INDIRECT("'"&amp;$B58&amp;"'!$F$23:$AJ$23")&amp;INDIRECT("'"&amp;$B58&amp;"'!$F$24:$AJ$24")&amp;INDIRECT("'"&amp;$B58&amp;"'!$F$25:$AJ$25")&amp;INDIRECT("'"&amp;$B58&amp;"'!$F$30:$AJ$30"),0))</f>
        <v>216.69699316520897</v>
      </c>
      <c r="L58" s="284">
        <f t="shared" ca="1" si="1"/>
        <v>216.69699316520897</v>
      </c>
      <c r="N58" s="119"/>
    </row>
    <row r="59" spans="1:20" x14ac:dyDescent="0.35">
      <c r="A59" s="70"/>
      <c r="B59" s="112" t="str">
        <f>B57</f>
        <v>Endeavour</v>
      </c>
      <c r="C59" s="32" t="s">
        <v>195</v>
      </c>
      <c r="D59" s="282">
        <f t="array" aca="1" ref="D59" ca="1">INDEX(INDIRECT("'"&amp;$B59&amp;"'!$F$23:$AJ$39"),MATCH($C59,INDIRECT("'"&amp;$B59&amp;"'!$F$23:$F$39"),0),MATCH($B$44&amp;$C$44&amp;D$44&amp;"Cost",INDIRECT("'"&amp;$B59&amp;"'!$F$23:$AJ$23")&amp;INDIRECT("'"&amp;$B59&amp;"'!$F$24:$AJ$24")&amp;INDIRECT("'"&amp;$B59&amp;"'!$F$25:$AJ$25")&amp;INDIRECT("'"&amp;$B59&amp;"'!$F$30:$AJ$30"),0))</f>
        <v>0</v>
      </c>
      <c r="E59" s="283"/>
      <c r="F59" s="283"/>
      <c r="G59" s="283"/>
      <c r="H59" s="283"/>
      <c r="I59" s="283"/>
      <c r="J59" s="283">
        <f ca="1">ABS($K59-$D59)</f>
        <v>238.25298792946751</v>
      </c>
      <c r="K59" s="282">
        <f t="array" aca="1" ref="K59" ca="1">INDEX(INDIRECT("'"&amp;$B59&amp;"'!$F$23:$AJ$39"),MATCH($C59,INDIRECT("'"&amp;$B59&amp;"'!$F$23:$F$39"),0),MATCH($B$44&amp;$C$44&amp;K$44&amp;"Cost",INDIRECT("'"&amp;$B59&amp;"'!$F$23:$AJ$23")&amp;INDIRECT("'"&amp;$B59&amp;"'!$F$24:$AJ$24")&amp;INDIRECT("'"&amp;$B59&amp;"'!$F$25:$AJ$25")&amp;INDIRECT("'"&amp;$B59&amp;"'!$F$30:$AJ$30"),0))</f>
        <v>238.25298792946751</v>
      </c>
      <c r="L59" s="284">
        <f t="shared" ca="1" si="1"/>
        <v>238.25298792946751</v>
      </c>
      <c r="N59" s="119"/>
    </row>
    <row r="60" spans="1:20" x14ac:dyDescent="0.35">
      <c r="A60" s="70"/>
      <c r="B60" s="113" t="str">
        <f>B58</f>
        <v>Endeavour</v>
      </c>
      <c r="C60" s="114" t="s">
        <v>124</v>
      </c>
      <c r="D60" s="285">
        <f ca="1">SUM(D53:D59)</f>
        <v>2014</v>
      </c>
      <c r="E60" s="285"/>
      <c r="F60" s="285"/>
      <c r="G60" s="285"/>
      <c r="H60" s="285"/>
      <c r="I60" s="285"/>
      <c r="J60" s="285"/>
      <c r="K60" s="285">
        <f ca="1">SUM(K53:K59)</f>
        <v>2382.5298792946764</v>
      </c>
      <c r="L60" s="286"/>
      <c r="N60" s="123"/>
    </row>
    <row r="61" spans="1:20" x14ac:dyDescent="0.35">
      <c r="A61" s="70" t="str">
        <f>B61&amp;" "&amp;$B$44&amp;" "&amp;$C$44&amp;" $"</f>
        <v>Essential Residential with CL $</v>
      </c>
      <c r="B61" s="110" t="s">
        <v>3</v>
      </c>
      <c r="C61" s="111" t="s">
        <v>169</v>
      </c>
      <c r="D61" s="280">
        <v>0</v>
      </c>
      <c r="E61" s="280">
        <f ca="1">IF($L62&lt;0,SUM(D61:D67)+$L62,SUM(D61:D67))</f>
        <v>2271</v>
      </c>
      <c r="F61" s="280">
        <f ca="1">IF($L63&lt;0,IF($L62&lt;0,E61+$L63,E61+$L62+$L63),IF($L62&lt;0,E61,E61+$L62))</f>
        <v>2302.0384140000001</v>
      </c>
      <c r="G61" s="280">
        <f ca="1">IF($L64&lt;0,IF($L63&lt;0,F61+$L64,F61+$L63+$L64),IF($L63&lt;0,F61,F61+$L63))</f>
        <v>2526.7222140000003</v>
      </c>
      <c r="H61" s="280">
        <f ca="1">IF($L65&lt;0,IF($L64&lt;0,G61+$L65,G61+$L64+$L65),IF($L64&lt;0,G61,G61+$L64))</f>
        <v>2028.1750500000003</v>
      </c>
      <c r="I61" s="280">
        <f ca="1">IF($L66&lt;0,IF($L65&lt;0,H61+$L66,H61+$L65+$L66),IF($L65&lt;0,H61,H61+$L65))</f>
        <v>2028.1750500000003</v>
      </c>
      <c r="J61" s="280">
        <f ca="1">IF($L67&lt;0,IF($L66&lt;0,I61+$L67,I61+$L66+$L67),IF($L66&lt;0,I61,I61+$L66))</f>
        <v>2240.7949455527091</v>
      </c>
      <c r="K61" s="280">
        <v>0</v>
      </c>
      <c r="L61" s="281"/>
      <c r="N61" s="119"/>
    </row>
    <row r="62" spans="1:20" x14ac:dyDescent="0.35">
      <c r="A62" s="70"/>
      <c r="B62" s="112" t="str">
        <f>B61</f>
        <v>Essential</v>
      </c>
      <c r="C62" s="32" t="s">
        <v>58</v>
      </c>
      <c r="D62" s="282">
        <f t="array" aca="1" ref="D62" ca="1">INDEX(INDIRECT("'"&amp;$B62&amp;"'!$F$23:$AJ$39"),MATCH($C62,INDIRECT("'"&amp;$B62&amp;"'!$F$23:$F$39"),0),MATCH($B$44&amp;$C$44&amp;D$44&amp;"Cost",INDIRECT("'"&amp;$B62&amp;"'!$F$23:$AJ$23")&amp;INDIRECT("'"&amp;$B62&amp;"'!$F$24:$AJ$24")&amp;INDIRECT("'"&amp;$B62&amp;"'!$F$25:$AJ$25")&amp;INDIRECT("'"&amp;$B62&amp;"'!$F$30:$AJ$30"),0))</f>
        <v>1069.405436</v>
      </c>
      <c r="E62" s="283">
        <f ca="1">ABS($K62-$D62)</f>
        <v>31.038414000000103</v>
      </c>
      <c r="F62" s="283"/>
      <c r="G62" s="283"/>
      <c r="H62" s="283"/>
      <c r="I62" s="283"/>
      <c r="J62" s="283"/>
      <c r="K62" s="282">
        <f t="array" aca="1" ref="K62" ca="1">INDEX(INDIRECT("'"&amp;$B62&amp;"'!$F$23:$AJ$39"),MATCH($C62,INDIRECT("'"&amp;$B62&amp;"'!$F$23:$F$39"),0),MATCH($B$44&amp;$C$44&amp;K$44&amp;"Cost",INDIRECT("'"&amp;$B62&amp;"'!$F$23:$AJ$23")&amp;INDIRECT("'"&amp;$B62&amp;"'!$F$24:$AJ$24")&amp;INDIRECT("'"&amp;$B62&amp;"'!$F$25:$AJ$25")&amp;INDIRECT("'"&amp;$B62&amp;"'!$F$30:$AJ$30"),0))</f>
        <v>1100.4438500000001</v>
      </c>
      <c r="L62" s="284">
        <f t="shared" ref="L62:L67" ca="1" si="2">K62-D62</f>
        <v>31.038414000000103</v>
      </c>
      <c r="N62" s="119"/>
    </row>
    <row r="63" spans="1:20" x14ac:dyDescent="0.35">
      <c r="A63" s="70"/>
      <c r="B63" s="112" t="str">
        <f>B62</f>
        <v>Essential</v>
      </c>
      <c r="C63" s="32" t="s">
        <v>59</v>
      </c>
      <c r="D63" s="282">
        <f t="array" aca="1" ref="D63" ca="1">INDEX(INDIRECT("'"&amp;$B63&amp;"'!$F$23:$AJ$39"),MATCH($C63,INDIRECT("'"&amp;$B63&amp;"'!$F$23:$F$39"),0),MATCH($B$44&amp;$C$44&amp;D$44&amp;"Cost",INDIRECT("'"&amp;$B63&amp;"'!$F$23:$AJ$23")&amp;INDIRECT("'"&amp;$B63&amp;"'!$F$24:$AJ$24")&amp;INDIRECT("'"&amp;$B63&amp;"'!$F$25:$AJ$25")&amp;INDIRECT("'"&amp;$B63&amp;"'!$F$30:$AJ$30"),0))</f>
        <v>554.58039999999994</v>
      </c>
      <c r="E63" s="283"/>
      <c r="F63" s="283">
        <f ca="1">ABS($K63-$D63)</f>
        <v>224.68380000000013</v>
      </c>
      <c r="G63" s="283"/>
      <c r="H63" s="283"/>
      <c r="I63" s="283"/>
      <c r="J63" s="283"/>
      <c r="K63" s="282">
        <f t="array" aca="1" ref="K63" ca="1">INDEX(INDIRECT("'"&amp;$B63&amp;"'!$F$23:$AJ$39"),MATCH($C63,INDIRECT("'"&amp;$B63&amp;"'!$F$23:$F$39"),0),MATCH($B$44&amp;$C$44&amp;K$44&amp;"Cost",INDIRECT("'"&amp;$B63&amp;"'!$F$23:$AJ$23")&amp;INDIRECT("'"&amp;$B63&amp;"'!$F$24:$AJ$24")&amp;INDIRECT("'"&amp;$B63&amp;"'!$F$25:$AJ$25")&amp;INDIRECT("'"&amp;$B63&amp;"'!$F$30:$AJ$30"),0))</f>
        <v>779.26420000000007</v>
      </c>
      <c r="L63" s="284">
        <f t="shared" ca="1" si="2"/>
        <v>224.68380000000013</v>
      </c>
      <c r="N63" s="119"/>
    </row>
    <row r="64" spans="1:20" x14ac:dyDescent="0.35">
      <c r="A64" s="70"/>
      <c r="B64" s="112" t="str">
        <f>B63</f>
        <v>Essential</v>
      </c>
      <c r="C64" s="32" t="s">
        <v>60</v>
      </c>
      <c r="D64" s="282">
        <f t="array" aca="1" ref="D64" ca="1">INDEX(INDIRECT("'"&amp;$B64&amp;"'!$F$23:$AJ$39"),MATCH($C64,INDIRECT("'"&amp;$B64&amp;"'!$F$23:$F$39"),0),MATCH($B$44&amp;$C$44&amp;D$44&amp;"Cost",INDIRECT("'"&amp;$B64&amp;"'!$F$23:$AJ$23")&amp;INDIRECT("'"&amp;$B64&amp;"'!$F$24:$AJ$24")&amp;INDIRECT("'"&amp;$B64&amp;"'!$F$25:$AJ$25")&amp;INDIRECT("'"&amp;$B64&amp;"'!$F$30:$AJ$30"),0))</f>
        <v>138.2304</v>
      </c>
      <c r="E64" s="283"/>
      <c r="F64" s="283"/>
      <c r="G64" s="283">
        <f ca="1">ABS($K64-$D64)</f>
        <v>10.236599999999981</v>
      </c>
      <c r="H64" s="283"/>
      <c r="I64" s="283"/>
      <c r="J64" s="283"/>
      <c r="K64" s="282">
        <f t="array" aca="1" ref="K64" ca="1">INDEX(INDIRECT("'"&amp;$B64&amp;"'!$F$23:$AJ$39"),MATCH($C64,INDIRECT("'"&amp;$B64&amp;"'!$F$23:$F$39"),0),MATCH($B$44&amp;$C$44&amp;K$44&amp;"Cost",INDIRECT("'"&amp;$B64&amp;"'!$F$23:$AJ$23")&amp;INDIRECT("'"&amp;$B64&amp;"'!$F$24:$AJ$24")&amp;INDIRECT("'"&amp;$B64&amp;"'!$F$25:$AJ$25")&amp;INDIRECT("'"&amp;$B64&amp;"'!$F$30:$AJ$30"),0))</f>
        <v>148.46699999999998</v>
      </c>
      <c r="L64" s="284">
        <f t="shared" ca="1" si="2"/>
        <v>10.236599999999981</v>
      </c>
      <c r="N64" s="119"/>
    </row>
    <row r="65" spans="1:14" x14ac:dyDescent="0.35">
      <c r="A65" s="70"/>
      <c r="B65" s="112" t="str">
        <f>B63</f>
        <v>Essential</v>
      </c>
      <c r="C65" s="32" t="s">
        <v>196</v>
      </c>
      <c r="D65" s="282">
        <f t="array" aca="1" ref="D65" ca="1">INDEX(INDIRECT("'"&amp;$B65&amp;"'!$F$23:$AJ$39"),MATCH($C65,INDIRECT("'"&amp;$B65&amp;"'!$F$23:$F$39"),0),MATCH($B$44&amp;$C$44&amp;D$44&amp;"Cost",INDIRECT("'"&amp;$B65&amp;"'!$F$23:$AJ$23")&amp;INDIRECT("'"&amp;$B65&amp;"'!$F$24:$AJ$24")&amp;INDIRECT("'"&amp;$B65&amp;"'!$F$25:$AJ$25")&amp;INDIRECT("'"&amp;$B65&amp;"'!$F$30:$AJ$30"),0))</f>
        <v>508.78376400000025</v>
      </c>
      <c r="E65" s="283"/>
      <c r="F65" s="283"/>
      <c r="G65" s="283"/>
      <c r="H65" s="283">
        <f ca="1">ABS($K65-$D65)</f>
        <v>508.78376400000025</v>
      </c>
      <c r="I65" s="252"/>
      <c r="J65" s="283"/>
      <c r="K65" s="282">
        <f t="array" aca="1" ref="K65" ca="1">INDEX(INDIRECT("'"&amp;$B65&amp;"'!$F$23:$AJ$39"),MATCH($C65,INDIRECT("'"&amp;$B65&amp;"'!$F$23:$F$39"),0),MATCH($B$44&amp;$C$44&amp;K$44&amp;"Cost",INDIRECT("'"&amp;$B65&amp;"'!$F$23:$AJ$23")&amp;INDIRECT("'"&amp;$B65&amp;"'!$F$24:$AJ$24")&amp;INDIRECT("'"&amp;$B65&amp;"'!$F$25:$AJ$25")&amp;INDIRECT("'"&amp;$B65&amp;"'!$F$30:$AJ$30"),0))</f>
        <v>0</v>
      </c>
      <c r="L65" s="284">
        <f t="shared" ca="1" si="2"/>
        <v>-508.78376400000025</v>
      </c>
      <c r="N65" s="119"/>
    </row>
    <row r="66" spans="1:14" x14ac:dyDescent="0.35">
      <c r="A66" s="70"/>
      <c r="B66" s="112" t="str">
        <f>B64</f>
        <v>Essential</v>
      </c>
      <c r="C66" s="32" t="s">
        <v>193</v>
      </c>
      <c r="D66" s="282">
        <f t="array" aca="1" ref="D66" ca="1">INDEX(INDIRECT("'"&amp;$B66&amp;"'!$F$23:$AJ$39"),MATCH($C66,INDIRECT("'"&amp;$B66&amp;"'!$F$23:$F$39"),0),MATCH($B$44&amp;$C$44&amp;D$44&amp;"Cost",INDIRECT("'"&amp;$B66&amp;"'!$F$23:$AJ$23")&amp;INDIRECT("'"&amp;$B66&amp;"'!$F$24:$AJ$24")&amp;INDIRECT("'"&amp;$B66&amp;"'!$F$25:$AJ$25")&amp;INDIRECT("'"&amp;$B66&amp;"'!$F$30:$AJ$30"),0))</f>
        <v>0</v>
      </c>
      <c r="E66" s="283"/>
      <c r="F66" s="283"/>
      <c r="G66" s="283"/>
      <c r="H66" s="283"/>
      <c r="I66" s="283">
        <f ca="1">ABS($K66-$D66)</f>
        <v>212.61989555270895</v>
      </c>
      <c r="J66" s="283"/>
      <c r="K66" s="282">
        <f t="array" aca="1" ref="K66" ca="1">INDEX(INDIRECT("'"&amp;$B66&amp;"'!$F$23:$AJ$39"),MATCH($C66,INDIRECT("'"&amp;$B66&amp;"'!$F$23:$F$39"),0),MATCH($B$44&amp;$C$44&amp;K$44&amp;"Cost",INDIRECT("'"&amp;$B66&amp;"'!$F$23:$AJ$23")&amp;INDIRECT("'"&amp;$B66&amp;"'!$F$24:$AJ$24")&amp;INDIRECT("'"&amp;$B66&amp;"'!$F$25:$AJ$25")&amp;INDIRECT("'"&amp;$B66&amp;"'!$F$30:$AJ$30"),0))</f>
        <v>212.61989555270895</v>
      </c>
      <c r="L66" s="284">
        <f t="shared" ca="1" si="2"/>
        <v>212.61989555270895</v>
      </c>
      <c r="N66" s="119"/>
    </row>
    <row r="67" spans="1:14" x14ac:dyDescent="0.35">
      <c r="A67" s="70"/>
      <c r="B67" s="112" t="str">
        <f>B65</f>
        <v>Essential</v>
      </c>
      <c r="C67" s="32" t="s">
        <v>195</v>
      </c>
      <c r="D67" s="282">
        <f t="array" aca="1" ref="D67" ca="1">INDEX(INDIRECT("'"&amp;$B67&amp;"'!$F$23:$AJ$39"),MATCH($C67,INDIRECT("'"&amp;$B67&amp;"'!$F$23:$F$39"),0),MATCH($B$44&amp;$C$44&amp;D$44&amp;"Cost",INDIRECT("'"&amp;$B67&amp;"'!$F$23:$AJ$23")&amp;INDIRECT("'"&amp;$B67&amp;"'!$F$24:$AJ$24")&amp;INDIRECT("'"&amp;$B67&amp;"'!$F$25:$AJ$25")&amp;INDIRECT("'"&amp;$B67&amp;"'!$F$30:$AJ$30"),0))</f>
        <v>0</v>
      </c>
      <c r="E67" s="283"/>
      <c r="F67" s="283"/>
      <c r="G67" s="283"/>
      <c r="H67" s="283"/>
      <c r="I67" s="283"/>
      <c r="J67" s="283">
        <f ca="1">ABS($K67-$D67)</f>
        <v>248.97721617252319</v>
      </c>
      <c r="K67" s="282">
        <f t="array" aca="1" ref="K67" ca="1">INDEX(INDIRECT("'"&amp;$B67&amp;"'!$F$23:$AJ$39"),MATCH($C67,INDIRECT("'"&amp;$B67&amp;"'!$F$23:$F$39"),0),MATCH($B$44&amp;$C$44&amp;K$44&amp;"Cost",INDIRECT("'"&amp;$B67&amp;"'!$F$23:$AJ$23")&amp;INDIRECT("'"&amp;$B67&amp;"'!$F$24:$AJ$24")&amp;INDIRECT("'"&amp;$B67&amp;"'!$F$25:$AJ$25")&amp;INDIRECT("'"&amp;$B67&amp;"'!$F$30:$AJ$30"),0))</f>
        <v>248.97721617252319</v>
      </c>
      <c r="L67" s="284">
        <f t="shared" ca="1" si="2"/>
        <v>248.97721617252319</v>
      </c>
      <c r="N67" s="119"/>
    </row>
    <row r="68" spans="1:14" x14ac:dyDescent="0.35">
      <c r="A68" s="70"/>
      <c r="B68" s="113" t="str">
        <f>B66</f>
        <v>Essential</v>
      </c>
      <c r="C68" s="114" t="s">
        <v>124</v>
      </c>
      <c r="D68" s="285">
        <f ca="1">SUM(D61:D67)</f>
        <v>2271</v>
      </c>
      <c r="E68" s="285"/>
      <c r="F68" s="285"/>
      <c r="G68" s="285"/>
      <c r="H68" s="285"/>
      <c r="I68" s="285"/>
      <c r="J68" s="285"/>
      <c r="K68" s="285">
        <f ca="1">SUM(K61:K67)</f>
        <v>2489.7721617252323</v>
      </c>
      <c r="L68" s="286"/>
      <c r="N68" s="123"/>
    </row>
    <row r="69" spans="1:14" x14ac:dyDescent="0.35">
      <c r="A69" s="70" t="str">
        <f>B69&amp;" "&amp;$B$44&amp;" "&amp;$C$44&amp;" $"</f>
        <v>Energex Residential with CL $</v>
      </c>
      <c r="B69" s="110" t="s">
        <v>0</v>
      </c>
      <c r="C69" s="111" t="s">
        <v>169</v>
      </c>
      <c r="D69" s="280">
        <v>0</v>
      </c>
      <c r="E69" s="280">
        <f ca="1">IF($L70&lt;0,SUM(D69:D75)+$L70,SUM(D69:D75))</f>
        <v>1682.3633449999998</v>
      </c>
      <c r="F69" s="280">
        <f ca="1">IF($L71&lt;0,IF($L70&lt;0,E69+$L71,E69+$L70+$L71),IF($L70&lt;0,E69,E69+$L70))</f>
        <v>1682.3633449999998</v>
      </c>
      <c r="G69" s="280">
        <f ca="1">IF($L72&lt;0,IF($L71&lt;0,F69+$L72,F69+$L71+$L72),IF($L71&lt;0,F69,F69+$L71))</f>
        <v>1923.7941169999997</v>
      </c>
      <c r="H69" s="280">
        <f ca="1">IF($L73&lt;0,IF($L72&lt;0,G69+$L73,G69+$L72+$L73),IF($L72&lt;0,G69,G69+$L72))</f>
        <v>1553.149598</v>
      </c>
      <c r="I69" s="280">
        <f ca="1">IF($L74&lt;0,IF($L73&lt;0,H69+$L74,H69+$L73+$L74),IF($L73&lt;0,H69,H69+$L73))</f>
        <v>1553.149598</v>
      </c>
      <c r="J69" s="280">
        <f ca="1">IF($L75&lt;0,IF($L74&lt;0,I69+$L75,I69+$L74+$L75),IF($L74&lt;0,I69,I69+$L74))</f>
        <v>1764.5354758777089</v>
      </c>
      <c r="K69" s="280">
        <v>0</v>
      </c>
      <c r="L69" s="281"/>
      <c r="N69" s="119"/>
    </row>
    <row r="70" spans="1:14" x14ac:dyDescent="0.35">
      <c r="A70" s="70"/>
      <c r="B70" s="112" t="str">
        <f>B69</f>
        <v>Energex</v>
      </c>
      <c r="C70" s="32" t="s">
        <v>58</v>
      </c>
      <c r="D70" s="282">
        <f t="array" aca="1" ref="D70" ca="1">INDEX(INDIRECT("'"&amp;$B70&amp;"'!$F$23:$AJ$39"),MATCH($C70,INDIRECT("'"&amp;$B70&amp;"'!$F$23:$F$39"),0),MATCH($B$44&amp;$C$44&amp;D$44&amp;"Cost",INDIRECT("'"&amp;$B70&amp;"'!$F$23:$AJ$23")&amp;INDIRECT("'"&amp;$B70&amp;"'!$F$24:$AJ$24")&amp;INDIRECT("'"&amp;$B70&amp;"'!$F$25:$AJ$25")&amp;INDIRECT("'"&amp;$B70&amp;"'!$F$30:$AJ$30"),0))</f>
        <v>767.09935500000006</v>
      </c>
      <c r="E70" s="283">
        <f ca="1">ABS($K70-$D70)</f>
        <v>58.636655000000133</v>
      </c>
      <c r="F70" s="283"/>
      <c r="G70" s="283"/>
      <c r="H70" s="283"/>
      <c r="I70" s="283"/>
      <c r="J70" s="283"/>
      <c r="K70" s="282">
        <f t="array" aca="1" ref="K70" ca="1">INDEX(INDIRECT("'"&amp;$B70&amp;"'!$F$23:$AJ$39"),MATCH($C70,INDIRECT("'"&amp;$B70&amp;"'!$F$23:$F$39"),0),MATCH($B$44&amp;$C$44&amp;K$44&amp;"Cost",INDIRECT("'"&amp;$B70&amp;"'!$F$23:$AJ$23")&amp;INDIRECT("'"&amp;$B70&amp;"'!$F$24:$AJ$24")&amp;INDIRECT("'"&amp;$B70&amp;"'!$F$25:$AJ$25")&amp;INDIRECT("'"&amp;$B70&amp;"'!$F$30:$AJ$30"),0))</f>
        <v>708.46269999999993</v>
      </c>
      <c r="L70" s="284">
        <f t="shared" ref="L70:L75" ca="1" si="3">K70-D70</f>
        <v>-58.636655000000133</v>
      </c>
      <c r="N70" s="119"/>
    </row>
    <row r="71" spans="1:14" x14ac:dyDescent="0.35">
      <c r="A71" s="70"/>
      <c r="B71" s="112" t="str">
        <f>B70</f>
        <v>Energex</v>
      </c>
      <c r="C71" s="32" t="s">
        <v>59</v>
      </c>
      <c r="D71" s="282">
        <f t="array" aca="1" ref="D71" ca="1">INDEX(INDIRECT("'"&amp;$B71&amp;"'!$F$23:$AJ$39"),MATCH($C71,INDIRECT("'"&amp;$B71&amp;"'!$F$23:$F$39"),0),MATCH($B$44&amp;$C$44&amp;D$44&amp;"Cost",INDIRECT("'"&amp;$B71&amp;"'!$F$23:$AJ$23")&amp;INDIRECT("'"&amp;$B71&amp;"'!$F$24:$AJ$24")&amp;INDIRECT("'"&amp;$B71&amp;"'!$F$25:$AJ$25")&amp;INDIRECT("'"&amp;$B71&amp;"'!$F$30:$AJ$30"),0))</f>
        <v>484.75312600000001</v>
      </c>
      <c r="E71" s="283"/>
      <c r="F71" s="283">
        <f ca="1">ABS($K71-$D71)</f>
        <v>241.43077199999999</v>
      </c>
      <c r="G71" s="283"/>
      <c r="H71" s="283"/>
      <c r="I71" s="283"/>
      <c r="J71" s="283"/>
      <c r="K71" s="282">
        <f t="array" aca="1" ref="K71" ca="1">INDEX(INDIRECT("'"&amp;$B71&amp;"'!$F$23:$AJ$39"),MATCH($C71,INDIRECT("'"&amp;$B71&amp;"'!$F$23:$F$39"),0),MATCH($B$44&amp;$C$44&amp;K$44&amp;"Cost",INDIRECT("'"&amp;$B71&amp;"'!$F$23:$AJ$23")&amp;INDIRECT("'"&amp;$B71&amp;"'!$F$24:$AJ$24")&amp;INDIRECT("'"&amp;$B71&amp;"'!$F$25:$AJ$25")&amp;INDIRECT("'"&amp;$B71&amp;"'!$F$30:$AJ$30"),0))</f>
        <v>726.183898</v>
      </c>
      <c r="L71" s="284">
        <f t="shared" ca="1" si="3"/>
        <v>241.43077199999999</v>
      </c>
      <c r="N71" s="119"/>
    </row>
    <row r="72" spans="1:14" x14ac:dyDescent="0.35">
      <c r="A72" s="70"/>
      <c r="B72" s="112" t="str">
        <f>B71</f>
        <v>Energex</v>
      </c>
      <c r="C72" s="32" t="s">
        <v>60</v>
      </c>
      <c r="D72" s="282">
        <f t="array" aca="1" ref="D72" ca="1">INDEX(INDIRECT("'"&amp;$B72&amp;"'!$F$23:$AJ$39"),MATCH($C72,INDIRECT("'"&amp;$B72&amp;"'!$F$23:$F$39"),0),MATCH($B$44&amp;$C$44&amp;D$44&amp;"Cost",INDIRECT("'"&amp;$B72&amp;"'!$F$23:$AJ$23")&amp;INDIRECT("'"&amp;$B72&amp;"'!$F$24:$AJ$24")&amp;INDIRECT("'"&amp;$B72&amp;"'!$F$25:$AJ$25")&amp;INDIRECT("'"&amp;$B72&amp;"'!$F$30:$AJ$30"),0))</f>
        <v>116.07749999999999</v>
      </c>
      <c r="E72" s="283"/>
      <c r="F72" s="283"/>
      <c r="G72" s="283">
        <f ca="1">ABS($K72-$D72)</f>
        <v>2.4254999999999995</v>
      </c>
      <c r="H72" s="283"/>
      <c r="I72" s="283"/>
      <c r="J72" s="283"/>
      <c r="K72" s="282">
        <f t="array" aca="1" ref="K72" ca="1">INDEX(INDIRECT("'"&amp;$B72&amp;"'!$F$23:$AJ$39"),MATCH($C72,INDIRECT("'"&amp;$B72&amp;"'!$F$23:$F$39"),0),MATCH($B$44&amp;$C$44&amp;K$44&amp;"Cost",INDIRECT("'"&amp;$B72&amp;"'!$F$23:$AJ$23")&amp;INDIRECT("'"&amp;$B72&amp;"'!$F$24:$AJ$24")&amp;INDIRECT("'"&amp;$B72&amp;"'!$F$25:$AJ$25")&amp;INDIRECT("'"&amp;$B72&amp;"'!$F$30:$AJ$30"),0))</f>
        <v>118.50299999999999</v>
      </c>
      <c r="L72" s="284">
        <f t="shared" ca="1" si="3"/>
        <v>2.4254999999999995</v>
      </c>
      <c r="N72" s="119"/>
    </row>
    <row r="73" spans="1:14" x14ac:dyDescent="0.35">
      <c r="A73" s="70"/>
      <c r="B73" s="112" t="str">
        <f>B71</f>
        <v>Energex</v>
      </c>
      <c r="C73" s="32" t="s">
        <v>196</v>
      </c>
      <c r="D73" s="282">
        <f t="array" aca="1" ref="D73" ca="1">INDEX(INDIRECT("'"&amp;$B73&amp;"'!$F$23:$AJ$39"),MATCH($C73,INDIRECT("'"&amp;$B73&amp;"'!$F$23:$F$39"),0),MATCH($B$44&amp;$C$44&amp;D$44&amp;"Cost",INDIRECT("'"&amp;$B73&amp;"'!$F$23:$AJ$23")&amp;INDIRECT("'"&amp;$B73&amp;"'!$F$24:$AJ$24")&amp;INDIRECT("'"&amp;$B73&amp;"'!$F$25:$AJ$25")&amp;INDIRECT("'"&amp;$B73&amp;"'!$F$30:$AJ$30"),0))</f>
        <v>373.07001899999977</v>
      </c>
      <c r="E73" s="283"/>
      <c r="F73" s="283"/>
      <c r="G73" s="283"/>
      <c r="H73" s="283">
        <f ca="1">ABS($K73-$D73)</f>
        <v>373.07001899999977</v>
      </c>
      <c r="I73" s="252"/>
      <c r="J73" s="283"/>
      <c r="K73" s="282">
        <f t="array" aca="1" ref="K73" ca="1">INDEX(INDIRECT("'"&amp;$B73&amp;"'!$F$23:$AJ$39"),MATCH($C73,INDIRECT("'"&amp;$B73&amp;"'!$F$23:$F$39"),0),MATCH($B$44&amp;$C$44&amp;K$44&amp;"Cost",INDIRECT("'"&amp;$B73&amp;"'!$F$23:$AJ$23")&amp;INDIRECT("'"&amp;$B73&amp;"'!$F$24:$AJ$24")&amp;INDIRECT("'"&amp;$B73&amp;"'!$F$25:$AJ$25")&amp;INDIRECT("'"&amp;$B73&amp;"'!$F$30:$AJ$30"),0))</f>
        <v>0</v>
      </c>
      <c r="L73" s="284">
        <f t="shared" ca="1" si="3"/>
        <v>-373.07001899999977</v>
      </c>
      <c r="N73" s="119"/>
    </row>
    <row r="74" spans="1:14" x14ac:dyDescent="0.35">
      <c r="A74" s="70"/>
      <c r="B74" s="112" t="str">
        <f>B72</f>
        <v>Energex</v>
      </c>
      <c r="C74" s="32" t="s">
        <v>193</v>
      </c>
      <c r="D74" s="282">
        <f t="array" aca="1" ref="D74" ca="1">INDEX(INDIRECT("'"&amp;$B74&amp;"'!$F$23:$AJ$39"),MATCH($C74,INDIRECT("'"&amp;$B74&amp;"'!$F$23:$F$39"),0),MATCH($B$44&amp;$C$44&amp;D$44&amp;"Cost",INDIRECT("'"&amp;$B74&amp;"'!$F$23:$AJ$23")&amp;INDIRECT("'"&amp;$B74&amp;"'!$F$24:$AJ$24")&amp;INDIRECT("'"&amp;$B74&amp;"'!$F$25:$AJ$25")&amp;INDIRECT("'"&amp;$B74&amp;"'!$F$30:$AJ$30"),0))</f>
        <v>0</v>
      </c>
      <c r="E74" s="283"/>
      <c r="F74" s="283"/>
      <c r="G74" s="283"/>
      <c r="H74" s="283"/>
      <c r="I74" s="283">
        <f ca="1">ABS($K74-$D74)</f>
        <v>211.38587787770896</v>
      </c>
      <c r="J74" s="283"/>
      <c r="K74" s="282">
        <f t="array" aca="1" ref="K74" ca="1">INDEX(INDIRECT("'"&amp;$B74&amp;"'!$F$23:$AJ$39"),MATCH($C74,INDIRECT("'"&amp;$B74&amp;"'!$F$23:$F$39"),0),MATCH($B$44&amp;$C$44&amp;K$44&amp;"Cost",INDIRECT("'"&amp;$B74&amp;"'!$F$23:$AJ$23")&amp;INDIRECT("'"&amp;$B74&amp;"'!$F$24:$AJ$24")&amp;INDIRECT("'"&amp;$B74&amp;"'!$F$25:$AJ$25")&amp;INDIRECT("'"&amp;$B74&amp;"'!$F$30:$AJ$30"),0))</f>
        <v>211.38587787770896</v>
      </c>
      <c r="L74" s="284">
        <f t="shared" ca="1" si="3"/>
        <v>211.38587787770896</v>
      </c>
      <c r="N74" s="119"/>
    </row>
    <row r="75" spans="1:14" x14ac:dyDescent="0.35">
      <c r="A75" s="70"/>
      <c r="B75" s="112" t="str">
        <f>B73</f>
        <v>Energex</v>
      </c>
      <c r="C75" s="32" t="s">
        <v>195</v>
      </c>
      <c r="D75" s="282">
        <f t="array" aca="1" ref="D75" ca="1">INDEX(INDIRECT("'"&amp;$B75&amp;"'!$F$23:$AJ$39"),MATCH($C75,INDIRECT("'"&amp;$B75&amp;"'!$F$23:$F$39"),0),MATCH($B$44&amp;$C$44&amp;D$44&amp;"Cost",INDIRECT("'"&amp;$B75&amp;"'!$F$23:$AJ$23")&amp;INDIRECT("'"&amp;$B75&amp;"'!$F$24:$AJ$24")&amp;INDIRECT("'"&amp;$B75&amp;"'!$F$25:$AJ$25")&amp;INDIRECT("'"&amp;$B75&amp;"'!$F$30:$AJ$30"),0))</f>
        <v>0</v>
      </c>
      <c r="E75" s="283"/>
      <c r="F75" s="283"/>
      <c r="G75" s="283"/>
      <c r="H75" s="283"/>
      <c r="I75" s="283"/>
      <c r="J75" s="283">
        <f ca="1">ABS($K75-$D75)</f>
        <v>196.05949731974533</v>
      </c>
      <c r="K75" s="282">
        <f t="array" aca="1" ref="K75" ca="1">INDEX(INDIRECT("'"&amp;$B75&amp;"'!$F$23:$AJ$39"),MATCH($C75,INDIRECT("'"&amp;$B75&amp;"'!$F$23:$F$39"),0),MATCH($B$44&amp;$C$44&amp;K$44&amp;"Cost",INDIRECT("'"&amp;$B75&amp;"'!$F$23:$AJ$23")&amp;INDIRECT("'"&amp;$B75&amp;"'!$F$24:$AJ$24")&amp;INDIRECT("'"&amp;$B75&amp;"'!$F$25:$AJ$25")&amp;INDIRECT("'"&amp;$B75&amp;"'!$F$30:$AJ$30"),0))</f>
        <v>196.05949731974533</v>
      </c>
      <c r="L75" s="284">
        <f t="shared" ca="1" si="3"/>
        <v>196.05949731974533</v>
      </c>
      <c r="N75" s="119"/>
    </row>
    <row r="76" spans="1:14" x14ac:dyDescent="0.35">
      <c r="A76" s="70"/>
      <c r="B76" s="113" t="str">
        <f>B74</f>
        <v>Energex</v>
      </c>
      <c r="C76" s="114" t="s">
        <v>124</v>
      </c>
      <c r="D76" s="285">
        <f ca="1">SUM(D69:D75)</f>
        <v>1741</v>
      </c>
      <c r="E76" s="285"/>
      <c r="F76" s="285"/>
      <c r="G76" s="285"/>
      <c r="H76" s="285"/>
      <c r="I76" s="285"/>
      <c r="J76" s="285"/>
      <c r="K76" s="285">
        <f ca="1">SUM(K69:K75)</f>
        <v>1960.594973197454</v>
      </c>
      <c r="L76" s="286"/>
      <c r="N76" s="123"/>
    </row>
    <row r="77" spans="1:14" x14ac:dyDescent="0.35">
      <c r="A77" s="70" t="str">
        <f>B77&amp;" "&amp;$B$44&amp;" "&amp;$C$44&amp;" $"</f>
        <v>SAPN Residential with CL $</v>
      </c>
      <c r="B77" s="110" t="s">
        <v>5</v>
      </c>
      <c r="C77" s="111" t="s">
        <v>169</v>
      </c>
      <c r="D77" s="280">
        <v>0</v>
      </c>
      <c r="E77" s="280">
        <f ca="1">IF($L78&lt;0,SUM(D77:D83)+$L78,SUM(D77:D83))</f>
        <v>2077</v>
      </c>
      <c r="F77" s="280">
        <f ca="1">IF($L79&lt;0,IF($L78&lt;0,E77+$L79,E77+$L78+$L79),IF($L78&lt;0,E77,E77+$L78))</f>
        <v>2084.6570999999999</v>
      </c>
      <c r="G77" s="280">
        <f ca="1">IF($L80&lt;0,IF($L79&lt;0,F77+$L80,F77+$L79+$L80),IF($L79&lt;0,F77,F77+$L79))</f>
        <v>2155.5542999999998</v>
      </c>
      <c r="H77" s="280">
        <f ca="1">IF($L81&lt;0,IF($L80&lt;0,G77+$L81,G77+$L80+$L81),IF($L80&lt;0,G77,G77+$L80))</f>
        <v>1917.5650999999998</v>
      </c>
      <c r="I77" s="280">
        <f ca="1">IF($L82&lt;0,IF($L81&lt;0,H77+$L82,H77+$L81+$L82),IF($L81&lt;0,H77,H77+$L81))</f>
        <v>1917.5650999999998</v>
      </c>
      <c r="J77" s="280">
        <f ca="1">IF($L83&lt;0,IF($L82&lt;0,I77+$L83,I77+$L82+$L83),IF($L82&lt;0,I77,I77+$L82))</f>
        <v>2138.9561996152088</v>
      </c>
      <c r="K77" s="280">
        <v>0</v>
      </c>
      <c r="L77" s="281"/>
      <c r="N77" s="119"/>
    </row>
    <row r="78" spans="1:14" x14ac:dyDescent="0.35">
      <c r="A78" s="70"/>
      <c r="B78" s="112" t="str">
        <f t="shared" ref="B78:B83" si="4">B77</f>
        <v>SAPN</v>
      </c>
      <c r="C78" s="32" t="s">
        <v>58</v>
      </c>
      <c r="D78" s="282">
        <f t="array" aca="1" ref="D78" ca="1">INDEX(INDIRECT("'"&amp;$B78&amp;"'!$F$23:$AJ$39"),MATCH($C78,INDIRECT("'"&amp;$B78&amp;"'!$F$23:$F$39"),0),MATCH($B$44&amp;$C$44&amp;D$44&amp;"Cost",INDIRECT("'"&amp;$B78&amp;"'!$F$23:$AJ$23")&amp;INDIRECT("'"&amp;$B78&amp;"'!$F$24:$AJ$24")&amp;INDIRECT("'"&amp;$B78&amp;"'!$F$25:$AJ$25")&amp;INDIRECT("'"&amp;$B78&amp;"'!$F$30:$AJ$30"),0))</f>
        <v>1008.3018000000001</v>
      </c>
      <c r="E78" s="283">
        <f ca="1">ABS($K78-$D78)</f>
        <v>7.657100000000014</v>
      </c>
      <c r="F78" s="283"/>
      <c r="G78" s="283"/>
      <c r="H78" s="283"/>
      <c r="I78" s="283"/>
      <c r="J78" s="283"/>
      <c r="K78" s="282">
        <f t="array" aca="1" ref="K78" ca="1">INDEX(INDIRECT("'"&amp;$B78&amp;"'!$F$23:$AJ$39"),MATCH($C78,INDIRECT("'"&amp;$B78&amp;"'!$F$23:$F$39"),0),MATCH($B$44&amp;$C$44&amp;K$44&amp;"Cost",INDIRECT("'"&amp;$B78&amp;"'!$F$23:$AJ$23")&amp;INDIRECT("'"&amp;$B78&amp;"'!$F$24:$AJ$24")&amp;INDIRECT("'"&amp;$B78&amp;"'!$F$25:$AJ$25")&amp;INDIRECT("'"&amp;$B78&amp;"'!$F$30:$AJ$30"),0))</f>
        <v>1015.9589000000001</v>
      </c>
      <c r="L78" s="284">
        <f t="shared" ref="L78:L83" ca="1" si="5">K78-D78</f>
        <v>7.657100000000014</v>
      </c>
      <c r="N78" s="119"/>
    </row>
    <row r="79" spans="1:14" x14ac:dyDescent="0.35">
      <c r="A79" s="70"/>
      <c r="B79" s="112" t="str">
        <f t="shared" si="4"/>
        <v>SAPN</v>
      </c>
      <c r="C79" s="32" t="s">
        <v>59</v>
      </c>
      <c r="D79" s="282">
        <f t="array" aca="1" ref="D79" ca="1">INDEX(INDIRECT("'"&amp;$B79&amp;"'!$F$23:$AJ$39"),MATCH($C79,INDIRECT("'"&amp;$B79&amp;"'!$F$23:$F$39"),0),MATCH($B$44&amp;$C$44&amp;D$44&amp;"Cost",INDIRECT("'"&amp;$B79&amp;"'!$F$23:$AJ$23")&amp;INDIRECT("'"&amp;$B79&amp;"'!$F$24:$AJ$24")&amp;INDIRECT("'"&amp;$B79&amp;"'!$F$25:$AJ$25")&amp;INDIRECT("'"&amp;$B79&amp;"'!$F$30:$AJ$30"),0))</f>
        <v>696.13499999999999</v>
      </c>
      <c r="E79" s="283"/>
      <c r="F79" s="283">
        <f ca="1">ABS($K79-$D79)</f>
        <v>70.963199999999915</v>
      </c>
      <c r="G79" s="283"/>
      <c r="H79" s="283"/>
      <c r="I79" s="283"/>
      <c r="J79" s="283"/>
      <c r="K79" s="282">
        <f t="array" aca="1" ref="K79" ca="1">INDEX(INDIRECT("'"&amp;$B79&amp;"'!$F$23:$AJ$39"),MATCH($C79,INDIRECT("'"&amp;$B79&amp;"'!$F$23:$F$39"),0),MATCH($B$44&amp;$C$44&amp;K$44&amp;"Cost",INDIRECT("'"&amp;$B79&amp;"'!$F$23:$AJ$23")&amp;INDIRECT("'"&amp;$B79&amp;"'!$F$24:$AJ$24")&amp;INDIRECT("'"&amp;$B79&amp;"'!$F$25:$AJ$25")&amp;INDIRECT("'"&amp;$B79&amp;"'!$F$30:$AJ$30"),0))</f>
        <v>767.09819999999991</v>
      </c>
      <c r="L79" s="284">
        <f t="shared" ca="1" si="5"/>
        <v>70.963199999999915</v>
      </c>
      <c r="N79" s="119"/>
    </row>
    <row r="80" spans="1:14" x14ac:dyDescent="0.35">
      <c r="A80" s="70"/>
      <c r="B80" s="112" t="str">
        <f t="shared" si="4"/>
        <v>SAPN</v>
      </c>
      <c r="C80" s="32" t="s">
        <v>60</v>
      </c>
      <c r="D80" s="282">
        <f t="array" aca="1" ref="D80" ca="1">INDEX(INDIRECT("'"&amp;$B80&amp;"'!$F$23:$AJ$39"),MATCH($C80,INDIRECT("'"&amp;$B80&amp;"'!$F$23:$F$39"),0),MATCH($B$44&amp;$C$44&amp;D$44&amp;"Cost",INDIRECT("'"&amp;$B80&amp;"'!$F$23:$AJ$23")&amp;INDIRECT("'"&amp;$B80&amp;"'!$F$24:$AJ$24")&amp;INDIRECT("'"&amp;$B80&amp;"'!$F$25:$AJ$25")&amp;INDIRECT("'"&amp;$B80&amp;"'!$F$30:$AJ$30"),0))</f>
        <v>134.57400000000001</v>
      </c>
      <c r="E80" s="283"/>
      <c r="F80" s="283"/>
      <c r="G80" s="283">
        <f ca="1">ABS($K80-$D80)</f>
        <v>6.6000000000002501E-2</v>
      </c>
      <c r="H80" s="283"/>
      <c r="I80" s="283"/>
      <c r="J80" s="283"/>
      <c r="K80" s="282">
        <f t="array" aca="1" ref="K80" ca="1">INDEX(INDIRECT("'"&amp;$B80&amp;"'!$F$23:$AJ$39"),MATCH($C80,INDIRECT("'"&amp;$B80&amp;"'!$F$23:$F$39"),0),MATCH($B$44&amp;$C$44&amp;K$44&amp;"Cost",INDIRECT("'"&amp;$B80&amp;"'!$F$23:$AJ$23")&amp;INDIRECT("'"&amp;$B80&amp;"'!$F$24:$AJ$24")&amp;INDIRECT("'"&amp;$B80&amp;"'!$F$25:$AJ$25")&amp;INDIRECT("'"&amp;$B80&amp;"'!$F$30:$AJ$30"),0))</f>
        <v>134.50800000000001</v>
      </c>
      <c r="L80" s="284">
        <f t="shared" ca="1" si="5"/>
        <v>-6.6000000000002501E-2</v>
      </c>
      <c r="N80" s="119"/>
    </row>
    <row r="81" spans="1:14" x14ac:dyDescent="0.35">
      <c r="A81" s="70"/>
      <c r="B81" s="112" t="str">
        <f t="shared" si="4"/>
        <v>SAPN</v>
      </c>
      <c r="C81" s="32" t="s">
        <v>196</v>
      </c>
      <c r="D81" s="282">
        <f t="array" aca="1" ref="D81" ca="1">INDEX(INDIRECT("'"&amp;$B81&amp;"'!$F$23:$AJ$39"),MATCH($C81,INDIRECT("'"&amp;$B81&amp;"'!$F$23:$F$39"),0),MATCH($B$44&amp;$C$44&amp;D$44&amp;"Cost",INDIRECT("'"&amp;$B81&amp;"'!$F$23:$AJ$23")&amp;INDIRECT("'"&amp;$B81&amp;"'!$F$24:$AJ$24")&amp;INDIRECT("'"&amp;$B81&amp;"'!$F$25:$AJ$25")&amp;INDIRECT("'"&amp;$B81&amp;"'!$F$30:$AJ$30"),0))</f>
        <v>237.98919999999998</v>
      </c>
      <c r="E81" s="283"/>
      <c r="F81" s="283"/>
      <c r="G81" s="283"/>
      <c r="H81" s="283">
        <f ca="1">ABS($K81-$D81)</f>
        <v>237.98919999999998</v>
      </c>
      <c r="I81" s="252"/>
      <c r="J81" s="283"/>
      <c r="K81" s="282">
        <f t="array" aca="1" ref="K81" ca="1">INDEX(INDIRECT("'"&amp;$B81&amp;"'!$F$23:$AJ$39"),MATCH($C81,INDIRECT("'"&amp;$B81&amp;"'!$F$23:$F$39"),0),MATCH($B$44&amp;$C$44&amp;K$44&amp;"Cost",INDIRECT("'"&amp;$B81&amp;"'!$F$23:$AJ$23")&amp;INDIRECT("'"&amp;$B81&amp;"'!$F$24:$AJ$24")&amp;INDIRECT("'"&amp;$B81&amp;"'!$F$25:$AJ$25")&amp;INDIRECT("'"&amp;$B81&amp;"'!$F$30:$AJ$30"),0))</f>
        <v>0</v>
      </c>
      <c r="L81" s="284">
        <f t="shared" ca="1" si="5"/>
        <v>-237.98919999999998</v>
      </c>
      <c r="N81" s="119"/>
    </row>
    <row r="82" spans="1:14" x14ac:dyDescent="0.35">
      <c r="A82" s="70"/>
      <c r="B82" s="112" t="str">
        <f t="shared" si="4"/>
        <v>SAPN</v>
      </c>
      <c r="C82" s="32" t="s">
        <v>193</v>
      </c>
      <c r="D82" s="282">
        <f t="array" aca="1" ref="D82" ca="1">INDEX(INDIRECT("'"&amp;$B82&amp;"'!$F$23:$AJ$39"),MATCH($C82,INDIRECT("'"&amp;$B82&amp;"'!$F$23:$F$39"),0),MATCH($B$44&amp;$C$44&amp;D$44&amp;"Cost",INDIRECT("'"&amp;$B82&amp;"'!$F$23:$AJ$23")&amp;INDIRECT("'"&amp;$B82&amp;"'!$F$24:$AJ$24")&amp;INDIRECT("'"&amp;$B82&amp;"'!$F$25:$AJ$25")&amp;INDIRECT("'"&amp;$B82&amp;"'!$F$30:$AJ$30"),0))</f>
        <v>0</v>
      </c>
      <c r="E82" s="283"/>
      <c r="F82" s="283"/>
      <c r="G82" s="283"/>
      <c r="H82" s="283"/>
      <c r="I82" s="283">
        <f ca="1">ABS($K82-$D82)</f>
        <v>221.39109961520896</v>
      </c>
      <c r="J82" s="283"/>
      <c r="K82" s="282">
        <f t="array" aca="1" ref="K82" ca="1">INDEX(INDIRECT("'"&amp;$B82&amp;"'!$F$23:$AJ$39"),MATCH($C82,INDIRECT("'"&amp;$B82&amp;"'!$F$23:$F$39"),0),MATCH($B$44&amp;$C$44&amp;K$44&amp;"Cost",INDIRECT("'"&amp;$B82&amp;"'!$F$23:$AJ$23")&amp;INDIRECT("'"&amp;$B82&amp;"'!$F$24:$AJ$24")&amp;INDIRECT("'"&amp;$B82&amp;"'!$F$25:$AJ$25")&amp;INDIRECT("'"&amp;$B82&amp;"'!$F$30:$AJ$30"),0))</f>
        <v>221.39109961520896</v>
      </c>
      <c r="L82" s="284">
        <f t="shared" ca="1" si="5"/>
        <v>221.39109961520896</v>
      </c>
      <c r="N82" s="119"/>
    </row>
    <row r="83" spans="1:14" x14ac:dyDescent="0.35">
      <c r="A83" s="70"/>
      <c r="B83" s="112" t="str">
        <f t="shared" si="4"/>
        <v>SAPN</v>
      </c>
      <c r="C83" s="32" t="s">
        <v>195</v>
      </c>
      <c r="D83" s="282">
        <f t="array" aca="1" ref="D83" ca="1">INDEX(INDIRECT("'"&amp;$B83&amp;"'!$F$23:$AJ$39"),MATCH($C83,INDIRECT("'"&amp;$B83&amp;"'!$F$23:$F$39"),0),MATCH($B$44&amp;$C$44&amp;D$44&amp;"Cost",INDIRECT("'"&amp;$B83&amp;"'!$F$23:$AJ$23")&amp;INDIRECT("'"&amp;$B83&amp;"'!$F$24:$AJ$24")&amp;INDIRECT("'"&amp;$B83&amp;"'!$F$25:$AJ$25")&amp;INDIRECT("'"&amp;$B83&amp;"'!$F$30:$AJ$30"),0))</f>
        <v>0</v>
      </c>
      <c r="E83" s="283"/>
      <c r="F83" s="283"/>
      <c r="G83" s="283"/>
      <c r="H83" s="283"/>
      <c r="I83" s="283"/>
      <c r="J83" s="283">
        <f ca="1">ABS($K83-$D83)</f>
        <v>136.52911912437503</v>
      </c>
      <c r="K83" s="282">
        <f t="array" aca="1" ref="K83" ca="1">INDEX(INDIRECT("'"&amp;$B83&amp;"'!$F$23:$AJ$39"),MATCH($C83,INDIRECT("'"&amp;$B83&amp;"'!$F$23:$F$39"),0),MATCH($B$44&amp;$C$44&amp;K$44&amp;"Cost",INDIRECT("'"&amp;$B83&amp;"'!$F$23:$AJ$23")&amp;INDIRECT("'"&amp;$B83&amp;"'!$F$24:$AJ$24")&amp;INDIRECT("'"&amp;$B83&amp;"'!$F$25:$AJ$25")&amp;INDIRECT("'"&amp;$B83&amp;"'!$F$30:$AJ$30"),0))</f>
        <v>136.52911912437503</v>
      </c>
      <c r="L83" s="284">
        <f t="shared" ca="1" si="5"/>
        <v>136.52911912437503</v>
      </c>
      <c r="N83" s="119"/>
    </row>
    <row r="84" spans="1:14" x14ac:dyDescent="0.35">
      <c r="A84" s="70"/>
      <c r="B84" s="113" t="str">
        <f>B82</f>
        <v>SAPN</v>
      </c>
      <c r="C84" s="114" t="s">
        <v>124</v>
      </c>
      <c r="D84" s="285">
        <f ca="1">SUM(D77:D83)</f>
        <v>2077</v>
      </c>
      <c r="E84" s="285"/>
      <c r="F84" s="285"/>
      <c r="G84" s="285"/>
      <c r="H84" s="285"/>
      <c r="I84" s="285"/>
      <c r="J84" s="285"/>
      <c r="K84" s="285">
        <f ca="1">SUM(K77:K83)</f>
        <v>2275.4853187395838</v>
      </c>
      <c r="L84" s="286"/>
      <c r="N84" s="123"/>
    </row>
  </sheetData>
  <mergeCells count="1">
    <mergeCell ref="A1:B1"/>
  </mergeCells>
  <conditionalFormatting sqref="J49:L49 B49:H49 J57:L57 B57:H57 J65:L65 B65:H65 J73:L73 B73:H73 J81:L81 B81:H81 B45:L48 B50:L56 B58:L64 B66:L72 B74:L80 B82:L84">
    <cfRule type="expression" dxfId="1679" priority="13">
      <formula>MOD(ROW(),2)=0</formula>
    </cfRule>
  </conditionalFormatting>
  <conditionalFormatting sqref="N53:N59 N61:N67 N69:N75 N77:N83">
    <cfRule type="cellIs" dxfId="1678" priority="11" operator="equal">
      <formula>FALSE</formula>
    </cfRule>
    <cfRule type="cellIs" dxfId="1677" priority="12" operator="equal">
      <formula>TRUE</formula>
    </cfRule>
  </conditionalFormatting>
  <conditionalFormatting sqref="N52">
    <cfRule type="cellIs" dxfId="1676" priority="9" operator="equal">
      <formula>FALSE</formula>
    </cfRule>
    <cfRule type="cellIs" dxfId="1675" priority="10" operator="equal">
      <formula>TRUE</formula>
    </cfRule>
  </conditionalFormatting>
  <conditionalFormatting sqref="N60">
    <cfRule type="cellIs" dxfId="1674" priority="7" operator="equal">
      <formula>FALSE</formula>
    </cfRule>
    <cfRule type="cellIs" dxfId="1673" priority="8" operator="equal">
      <formula>TRUE</formula>
    </cfRule>
  </conditionalFormatting>
  <conditionalFormatting sqref="N68">
    <cfRule type="cellIs" dxfId="1672" priority="5" operator="equal">
      <formula>FALSE</formula>
    </cfRule>
    <cfRule type="cellIs" dxfId="1671" priority="6" operator="equal">
      <formula>TRUE</formula>
    </cfRule>
  </conditionalFormatting>
  <conditionalFormatting sqref="N76">
    <cfRule type="cellIs" dxfId="1670" priority="3" operator="equal">
      <formula>FALSE</formula>
    </cfRule>
    <cfRule type="cellIs" dxfId="1669" priority="4" operator="equal">
      <formula>TRUE</formula>
    </cfRule>
  </conditionalFormatting>
  <conditionalFormatting sqref="N84">
    <cfRule type="cellIs" dxfId="1668" priority="1" operator="equal">
      <formula>FALSE</formula>
    </cfRule>
    <cfRule type="cellIs" dxfId="1667" priority="2" operator="equal">
      <formula>TRUE</formula>
    </cfRule>
  </conditionalFormatting>
  <hyperlinks>
    <hyperlink ref="A1" location="Index!A1" display="&lt;&lt;Back to Index" xr:uid="{FCCCF820-8F06-4948-BEB0-8BCC41C78456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</sheetPr>
  <dimension ref="F9:F14"/>
  <sheetViews>
    <sheetView workbookViewId="0">
      <selection activeCell="P11" sqref="P11"/>
    </sheetView>
  </sheetViews>
  <sheetFormatPr defaultColWidth="8.81640625" defaultRowHeight="14.5" x14ac:dyDescent="0.35"/>
  <cols>
    <col min="1" max="16384" width="8.81640625" style="3"/>
  </cols>
  <sheetData>
    <row r="9" spans="6:6" ht="36" x14ac:dyDescent="0.35">
      <c r="F9" s="2" t="s">
        <v>200</v>
      </c>
    </row>
    <row r="10" spans="6:6" ht="36" x14ac:dyDescent="0.35">
      <c r="F10" s="2" t="str">
        <f>"DMO "&amp;FY</f>
        <v>DMO 2022-23</v>
      </c>
    </row>
    <row r="11" spans="6:6" ht="23.5" x14ac:dyDescent="0.35">
      <c r="F11" s="4" t="s">
        <v>164</v>
      </c>
    </row>
    <row r="12" spans="6:6" ht="23.5" x14ac:dyDescent="0.35">
      <c r="F12" s="4"/>
    </row>
    <row r="13" spans="6:6" x14ac:dyDescent="0.35">
      <c r="F13" s="5"/>
    </row>
    <row r="14" spans="6:6" x14ac:dyDescent="0.35">
      <c r="F14" s="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AD2C-5DDE-4407-900F-CAB9695DC440}">
  <sheetPr>
    <tabColor rgb="FF00B050"/>
  </sheetPr>
  <dimension ref="A1:AH48"/>
  <sheetViews>
    <sheetView topLeftCell="E1" zoomScaleNormal="100" workbookViewId="0">
      <selection activeCell="I36" sqref="I36"/>
    </sheetView>
  </sheetViews>
  <sheetFormatPr defaultColWidth="8.81640625" defaultRowHeight="14.5" x14ac:dyDescent="0.35"/>
  <cols>
    <col min="1" max="1" width="1.81640625" style="3" customWidth="1"/>
    <col min="2" max="2" width="33.81640625" style="3" bestFit="1" customWidth="1"/>
    <col min="3" max="5" width="13.1796875" style="3" customWidth="1"/>
    <col min="6" max="6" width="26.81640625" style="3" customWidth="1"/>
    <col min="7" max="7" width="5.81640625" style="3" customWidth="1"/>
    <col min="8" max="10" width="10.81640625" style="3" customWidth="1"/>
    <col min="11" max="11" width="1.81640625" style="3" customWidth="1"/>
    <col min="12" max="12" width="10.81640625" style="3" customWidth="1"/>
    <col min="13" max="13" width="12.1796875" style="3" customWidth="1"/>
    <col min="14" max="14" width="13.1796875" style="3" customWidth="1"/>
    <col min="15" max="15" width="10.81640625" style="3" customWidth="1"/>
    <col min="16" max="16" width="5.81640625" style="3" customWidth="1"/>
    <col min="17" max="19" width="10.81640625" style="3" customWidth="1"/>
    <col min="20" max="20" width="1.81640625" style="3" customWidth="1"/>
    <col min="21" max="21" width="10.81640625" style="3" customWidth="1"/>
    <col min="22" max="22" width="12.1796875" style="3" customWidth="1"/>
    <col min="23" max="23" width="13.1796875" style="3" customWidth="1"/>
    <col min="24" max="24" width="10.81640625" style="3" customWidth="1"/>
    <col min="25" max="25" width="5.81640625" style="3" customWidth="1"/>
    <col min="26" max="28" width="10.81640625" style="3" customWidth="1"/>
    <col min="29" max="29" width="1.81640625" style="3" customWidth="1"/>
    <col min="30" max="30" width="10.81640625" style="3" customWidth="1"/>
    <col min="31" max="31" width="12.1796875" style="3" customWidth="1"/>
    <col min="32" max="32" width="8.81640625" style="3" customWidth="1"/>
    <col min="33" max="33" width="10.81640625" style="3" customWidth="1"/>
    <col min="34" max="16384" width="8.81640625" style="3"/>
  </cols>
  <sheetData>
    <row r="1" spans="1:34" ht="10.4" customHeight="1" x14ac:dyDescent="0.35">
      <c r="A1" s="302" t="s">
        <v>20</v>
      </c>
      <c r="B1" s="307"/>
    </row>
    <row r="2" spans="1:34" s="13" customFormat="1" ht="22.5" customHeight="1" x14ac:dyDescent="0.35">
      <c r="A2" s="14" t="s">
        <v>2</v>
      </c>
    </row>
    <row r="3" spans="1:34" s="70" customFormat="1" ht="15" thickBot="1" x14ac:dyDescent="0.4">
      <c r="C3" s="70" t="str">
        <f>$A$2&amp;" "&amp;C6&amp;" "&amp;C7</f>
        <v>Ausgrid Residential without CL</v>
      </c>
      <c r="D3" s="70" t="str">
        <f>$A$2&amp;" "&amp;D6&amp;" "&amp;D7</f>
        <v>Ausgrid Residential with CL</v>
      </c>
      <c r="E3" s="70" t="str">
        <f>$A$2&amp;" "&amp;E6&amp;" "&amp;E7</f>
        <v>Ausgrid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5" x14ac:dyDescent="0.35">
      <c r="B4" s="34" t="s">
        <v>19</v>
      </c>
      <c r="F4" s="34"/>
      <c r="G4" s="84" t="s">
        <v>88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6"/>
    </row>
    <row r="5" spans="1:34" ht="5.15" customHeight="1" x14ac:dyDescent="0.35">
      <c r="B5" s="5"/>
      <c r="G5" s="87"/>
      <c r="H5" s="8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89"/>
    </row>
    <row r="6" spans="1:34" ht="20.149999999999999" customHeight="1" x14ac:dyDescent="0.35">
      <c r="B6" s="331" t="str">
        <f>A2</f>
        <v>Ausgrid</v>
      </c>
      <c r="C6" s="46" t="s">
        <v>6</v>
      </c>
      <c r="D6" s="46" t="s">
        <v>6</v>
      </c>
      <c r="E6" s="46" t="s">
        <v>73</v>
      </c>
      <c r="G6" s="87"/>
      <c r="H6" s="8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89"/>
    </row>
    <row r="7" spans="1:34" ht="20.149999999999999" customHeight="1" x14ac:dyDescent="0.35">
      <c r="B7" s="331"/>
      <c r="C7" s="47" t="s">
        <v>136</v>
      </c>
      <c r="D7" s="47" t="s">
        <v>137</v>
      </c>
      <c r="E7" s="47" t="s">
        <v>136</v>
      </c>
      <c r="G7" s="87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89"/>
    </row>
    <row r="8" spans="1:34" ht="2.15" customHeight="1" x14ac:dyDescent="0.35">
      <c r="B8" s="32"/>
      <c r="C8" s="33"/>
      <c r="D8" s="33"/>
      <c r="E8" s="33"/>
      <c r="G8" s="87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89"/>
    </row>
    <row r="9" spans="1:34" s="44" customFormat="1" ht="30" customHeight="1" x14ac:dyDescent="0.35">
      <c r="B9" s="50" t="str">
        <f>"DMO "&amp;FY&amp;" price ($ pa, inc GST)"</f>
        <v>DMO 2022-23 price ($ pa, inc GST)</v>
      </c>
      <c r="C9" s="177">
        <f ca="1">ROUND(H39,0)</f>
        <v>1512</v>
      </c>
      <c r="D9" s="177">
        <f ca="1">ROUND(Q39,0)</f>
        <v>2122</v>
      </c>
      <c r="E9" s="177">
        <f ca="1">ROUND(Z39,0)</f>
        <v>4360</v>
      </c>
      <c r="F9" s="3"/>
      <c r="G9" s="8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90"/>
    </row>
    <row r="10" spans="1:34" ht="2.15" customHeight="1" x14ac:dyDescent="0.35">
      <c r="B10" s="51"/>
      <c r="C10" s="52"/>
      <c r="D10" s="52"/>
      <c r="E10" s="52"/>
      <c r="F10" s="44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89"/>
    </row>
    <row r="11" spans="1:34" ht="20.149999999999999" customHeight="1" x14ac:dyDescent="0.35">
      <c r="B11" s="53" t="s">
        <v>44</v>
      </c>
      <c r="C11" s="54">
        <f>SUM(C12:C13)</f>
        <v>3900</v>
      </c>
      <c r="D11" s="54">
        <f>SUM(D12:D13)</f>
        <v>6800</v>
      </c>
      <c r="E11" s="54">
        <f>SUM(E12:E13)</f>
        <v>10000</v>
      </c>
      <c r="G11" s="87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89"/>
    </row>
    <row r="12" spans="1:34" ht="20.149999999999999" customHeight="1" x14ac:dyDescent="0.35">
      <c r="B12" s="55" t="s">
        <v>47</v>
      </c>
      <c r="C12" s="56">
        <f t="array" ref="C12">INDEX(Usage!$B$5:$M$18,MATCH($B6,Usage!$B$5:$B$18,0),MATCH(C$6&amp;C$7&amp;"Flat rate"&amp;"Total",Usage!$B$5:$M$5&amp;Usage!$B$6:$M$6&amp;Usage!$B$7:$M$7&amp;Usage!$B$13:$M$13,0))</f>
        <v>3900</v>
      </c>
      <c r="D12" s="56">
        <f t="array" ref="D12">INDEX(Usage!$B$5:$M$18,MATCH($B6,Usage!$B$5:$B$18,0),MATCH(D$6&amp;D$7&amp;"Flat rate"&amp;"Total",Usage!$B$5:$M$5&amp;Usage!$B$6:$M$6&amp;Usage!$B$7:$M$7&amp;Usage!$B$13:$M$13,0))</f>
        <v>4800</v>
      </c>
      <c r="E12" s="56">
        <f t="array" ref="E12">INDEX(Usage!$B$5:$M$18,MATCH($B6,Usage!$B$5:$B$18,0),MATCH(E$6&amp;E$7&amp;"Flat rate"&amp;"Total",Usage!$B$5:$M$5&amp;Usage!$B$6:$M$6&amp;Usage!$B$7:$M$7&amp;Usage!$B$13:$M$13,0))</f>
        <v>10000</v>
      </c>
      <c r="G12" s="87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89"/>
    </row>
    <row r="13" spans="1:34" ht="20.149999999999999" customHeight="1" x14ac:dyDescent="0.35">
      <c r="B13" s="55" t="s">
        <v>46</v>
      </c>
      <c r="C13" s="56"/>
      <c r="D13" s="56">
        <f t="array" ref="D13">INDEX(Usage!$B$5:$M$18,MATCH($B6,Usage!$B$5:$B$18,0),MATCH(D$6&amp;D$7&amp;"CL"&amp;"Total",Usage!$B$5:$M$5&amp;Usage!$B$6:$M$6&amp;Usage!$B$7:$M$7&amp;Usage!$B$13:$M$13,0))</f>
        <v>2000</v>
      </c>
      <c r="E13" s="56"/>
      <c r="G13" s="8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89"/>
    </row>
    <row r="14" spans="1:34" ht="2.15" customHeight="1" x14ac:dyDescent="0.35">
      <c r="B14" s="57"/>
      <c r="C14" s="57"/>
      <c r="D14" s="57"/>
      <c r="E14" s="57"/>
      <c r="G14" s="87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89"/>
    </row>
    <row r="15" spans="1:34" ht="20.149999999999999" customHeight="1" x14ac:dyDescent="0.35">
      <c r="B15" s="55" t="str">
        <f>"Change from DMO "&amp;PY&amp; " price ($)"</f>
        <v>Change from DMO 2021-22 price ($)</v>
      </c>
      <c r="C15" s="128">
        <f ca="1">C9-H32</f>
        <v>119</v>
      </c>
      <c r="D15" s="128">
        <f ca="1">D9-Q32</f>
        <v>210</v>
      </c>
      <c r="E15" s="128"/>
      <c r="G15" s="87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89"/>
    </row>
    <row r="16" spans="1:34" ht="20.149999999999999" customHeight="1" thickBot="1" x14ac:dyDescent="0.4">
      <c r="B16" s="58" t="str">
        <f>"Change from DMO "&amp;PY&amp; " price (%)"</f>
        <v>Change from DMO 2021-22 price (%)</v>
      </c>
      <c r="C16" s="108">
        <f ca="1">C9/H32-1</f>
        <v>8.5427135678391997E-2</v>
      </c>
      <c r="D16" s="108">
        <f ca="1">D9/Q32-1</f>
        <v>0.10983263598326354</v>
      </c>
      <c r="E16" s="108"/>
      <c r="G16" s="8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89"/>
    </row>
    <row r="17" spans="2:34" ht="15" thickTop="1" x14ac:dyDescent="0.35">
      <c r="B17" s="81" t="s">
        <v>87</v>
      </c>
      <c r="G17" s="8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89"/>
    </row>
    <row r="18" spans="2:34" x14ac:dyDescent="0.35">
      <c r="G18" s="87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89"/>
    </row>
    <row r="19" spans="2:34" x14ac:dyDescent="0.35">
      <c r="C19" s="79"/>
      <c r="D19" s="179"/>
      <c r="G19" s="87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89"/>
    </row>
    <row r="20" spans="2:34" ht="15.5" x14ac:dyDescent="0.35">
      <c r="B20" s="34"/>
      <c r="D20" s="179"/>
      <c r="G20" s="87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89"/>
    </row>
    <row r="21" spans="2:34" ht="15" customHeight="1" thickBot="1" x14ac:dyDescent="0.4">
      <c r="B21" s="32"/>
      <c r="D21" s="32"/>
      <c r="E21" s="32"/>
      <c r="F21" s="34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</row>
    <row r="22" spans="2:34" s="35" customFormat="1" ht="15.5" x14ac:dyDescent="0.35">
      <c r="F22" s="34"/>
      <c r="G22" s="3"/>
      <c r="H22" s="32"/>
      <c r="I22" s="32"/>
      <c r="J22" s="32"/>
      <c r="K22" s="3"/>
      <c r="L22" s="3"/>
      <c r="M22" s="3"/>
      <c r="N22" s="32"/>
      <c r="O22" s="32"/>
      <c r="P22" s="32"/>
      <c r="Q22" s="32"/>
      <c r="R22" s="32"/>
      <c r="S22" s="32"/>
      <c r="T22" s="3"/>
      <c r="U22" s="32"/>
      <c r="V22" s="32"/>
      <c r="W22" s="32"/>
      <c r="X22" s="32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5" hidden="1" x14ac:dyDescent="0.35">
      <c r="F23" s="34"/>
      <c r="G23" s="3"/>
      <c r="H23" s="32" t="str">
        <f>$H$27</f>
        <v>Residential</v>
      </c>
      <c r="I23" s="32" t="str">
        <f>$H$27</f>
        <v>Residential</v>
      </c>
      <c r="J23" s="32" t="str">
        <f>$H$27</f>
        <v>Residential</v>
      </c>
      <c r="K23" s="32"/>
      <c r="L23" s="32" t="str">
        <f>$H$27</f>
        <v>Residential</v>
      </c>
      <c r="M23" s="32" t="str">
        <f>$H$27</f>
        <v>Residential</v>
      </c>
      <c r="N23" s="32" t="str">
        <f>$H$27</f>
        <v>Residential</v>
      </c>
      <c r="O23" s="32" t="str">
        <f>$H$27</f>
        <v>Residential</v>
      </c>
      <c r="P23" s="32"/>
      <c r="Q23" s="32" t="str">
        <f>$Q$27</f>
        <v>Residential</v>
      </c>
      <c r="R23" s="32" t="str">
        <f>$Q$27</f>
        <v>Residential</v>
      </c>
      <c r="S23" s="32" t="str">
        <f>$Q$27</f>
        <v>Residential</v>
      </c>
      <c r="T23" s="3"/>
      <c r="U23" s="32" t="str">
        <f>$Q$27</f>
        <v>Residential</v>
      </c>
      <c r="V23" s="32" t="str">
        <f>$Q$27</f>
        <v>Residential</v>
      </c>
      <c r="W23" s="32" t="str">
        <f>$Q$27</f>
        <v>Residential</v>
      </c>
      <c r="X23" s="32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5" hidden="1" x14ac:dyDescent="0.35">
      <c r="F24" s="34"/>
      <c r="G24" s="3"/>
      <c r="H24" s="32" t="str">
        <f>$H$28</f>
        <v>without CL</v>
      </c>
      <c r="I24" s="32" t="str">
        <f>$H$28</f>
        <v>without CL</v>
      </c>
      <c r="J24" s="32" t="str">
        <f>$H$28</f>
        <v>without CL</v>
      </c>
      <c r="K24" s="32"/>
      <c r="L24" s="32" t="str">
        <f>$H$28</f>
        <v>without CL</v>
      </c>
      <c r="M24" s="32" t="str">
        <f>$H$28</f>
        <v>without CL</v>
      </c>
      <c r="N24" s="32" t="str">
        <f>$H$28</f>
        <v>without CL</v>
      </c>
      <c r="O24" s="32" t="str">
        <f>$H$28</f>
        <v>without CL</v>
      </c>
      <c r="P24" s="32"/>
      <c r="Q24" s="32" t="str">
        <f>$Q$28</f>
        <v>with CL</v>
      </c>
      <c r="R24" s="32" t="str">
        <f>$Q$28</f>
        <v>with CL</v>
      </c>
      <c r="S24" s="32" t="str">
        <f>$Q$28</f>
        <v>with CL</v>
      </c>
      <c r="T24" s="3"/>
      <c r="U24" s="32" t="str">
        <f>$Q$28</f>
        <v>with CL</v>
      </c>
      <c r="V24" s="32" t="str">
        <f>$Q$28</f>
        <v>with CL</v>
      </c>
      <c r="W24" s="32" t="str">
        <f>$Q$28</f>
        <v>with CL</v>
      </c>
      <c r="X24" s="32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5" hidden="1" x14ac:dyDescent="0.35">
      <c r="F25" s="34"/>
      <c r="G25" s="3"/>
      <c r="H25" s="32"/>
      <c r="I25" s="32" t="str">
        <f>$I$29</f>
        <v>2021-22</v>
      </c>
      <c r="J25" s="32" t="str">
        <f>$I$29</f>
        <v>2021-22</v>
      </c>
      <c r="K25" s="3"/>
      <c r="L25" s="32" t="str">
        <f>$L$29</f>
        <v>2022-23</v>
      </c>
      <c r="M25" s="32" t="str">
        <f>$L$29</f>
        <v>2022-23</v>
      </c>
      <c r="N25" s="32" t="str">
        <f>$L$29</f>
        <v>2022-23</v>
      </c>
      <c r="O25" s="32" t="str">
        <f>$L$29</f>
        <v>2022-23</v>
      </c>
      <c r="P25" s="32"/>
      <c r="Q25" s="32"/>
      <c r="R25" s="32" t="str">
        <f>$R$29</f>
        <v>2021-22</v>
      </c>
      <c r="S25" s="32" t="str">
        <f>$R$29</f>
        <v>2021-22</v>
      </c>
      <c r="T25" s="3"/>
      <c r="U25" s="32" t="str">
        <f>$U$29</f>
        <v>2022-23</v>
      </c>
      <c r="V25" s="32" t="str">
        <f>$U$29</f>
        <v>2022-23</v>
      </c>
      <c r="W25" s="32" t="str">
        <f>$U$29</f>
        <v>2022-23</v>
      </c>
      <c r="X25" s="32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5" customFormat="1" ht="15.5" x14ac:dyDescent="0.35">
      <c r="F26" s="34" t="s">
        <v>39</v>
      </c>
      <c r="G26" s="107" t="s">
        <v>138</v>
      </c>
      <c r="H26" s="32"/>
      <c r="I26" s="32"/>
      <c r="J26" s="32"/>
      <c r="K26" s="3"/>
      <c r="L26" s="3"/>
      <c r="M26" s="3"/>
      <c r="N26" s="32"/>
      <c r="O26" s="32"/>
      <c r="P26" s="32"/>
      <c r="Q26" s="32"/>
      <c r="R26" s="32"/>
      <c r="S26" s="32"/>
      <c r="T26" s="3"/>
      <c r="U26" s="32"/>
      <c r="V26" s="32"/>
      <c r="W26" s="32"/>
      <c r="X26" s="32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35">
      <c r="F27" s="332" t="s">
        <v>33</v>
      </c>
      <c r="G27" s="82"/>
      <c r="H27" s="333" t="s">
        <v>6</v>
      </c>
      <c r="I27" s="333"/>
      <c r="J27" s="333"/>
      <c r="K27" s="333"/>
      <c r="L27" s="333"/>
      <c r="M27" s="333"/>
      <c r="N27" s="333"/>
      <c r="O27" s="333"/>
      <c r="P27" s="217"/>
      <c r="Q27" s="333" t="s">
        <v>6</v>
      </c>
      <c r="R27" s="333"/>
      <c r="S27" s="333"/>
      <c r="T27" s="333"/>
      <c r="U27" s="333"/>
      <c r="V27" s="333"/>
      <c r="W27" s="333"/>
      <c r="X27" s="333"/>
      <c r="Y27" s="217"/>
      <c r="Z27" s="333" t="s">
        <v>73</v>
      </c>
      <c r="AA27" s="333"/>
      <c r="AB27" s="333"/>
      <c r="AC27" s="333"/>
      <c r="AD27" s="333"/>
      <c r="AE27" s="333"/>
      <c r="AF27" s="333"/>
      <c r="AG27" s="333"/>
    </row>
    <row r="28" spans="2:34" ht="15" thickBot="1" x14ac:dyDescent="0.4">
      <c r="F28" s="332"/>
      <c r="G28" s="82"/>
      <c r="H28" s="335" t="s">
        <v>136</v>
      </c>
      <c r="I28" s="335"/>
      <c r="J28" s="335"/>
      <c r="K28" s="335"/>
      <c r="L28" s="335"/>
      <c r="M28" s="335"/>
      <c r="N28" s="335"/>
      <c r="O28" s="335"/>
      <c r="P28" s="217"/>
      <c r="Q28" s="335" t="s">
        <v>137</v>
      </c>
      <c r="R28" s="335"/>
      <c r="S28" s="335"/>
      <c r="T28" s="335"/>
      <c r="U28" s="335"/>
      <c r="V28" s="335"/>
      <c r="W28" s="335"/>
      <c r="X28" s="335"/>
      <c r="Y28" s="217"/>
      <c r="Z28" s="335" t="s">
        <v>136</v>
      </c>
      <c r="AA28" s="335"/>
      <c r="AB28" s="335"/>
      <c r="AC28" s="335"/>
      <c r="AD28" s="335"/>
      <c r="AE28" s="335"/>
      <c r="AF28" s="335"/>
      <c r="AG28" s="335"/>
    </row>
    <row r="29" spans="2:34" ht="15" customHeight="1" thickTop="1" x14ac:dyDescent="0.35">
      <c r="F29" s="332"/>
      <c r="G29" s="83"/>
      <c r="H29" s="217" t="s">
        <v>63</v>
      </c>
      <c r="I29" s="334" t="str">
        <f>PY</f>
        <v>2021-22</v>
      </c>
      <c r="J29" s="334"/>
      <c r="K29" s="217"/>
      <c r="L29" s="334" t="str">
        <f>FY</f>
        <v>2022-23</v>
      </c>
      <c r="M29" s="334"/>
      <c r="N29" s="334"/>
      <c r="O29" s="334"/>
      <c r="P29" s="43"/>
      <c r="Q29" s="217" t="s">
        <v>63</v>
      </c>
      <c r="R29" s="334" t="str">
        <f>PY</f>
        <v>2021-22</v>
      </c>
      <c r="S29" s="334"/>
      <c r="T29" s="217"/>
      <c r="U29" s="334" t="str">
        <f>FY</f>
        <v>2022-23</v>
      </c>
      <c r="V29" s="334"/>
      <c r="W29" s="334"/>
      <c r="X29" s="334"/>
      <c r="Y29" s="43"/>
      <c r="Z29" s="217" t="s">
        <v>63</v>
      </c>
      <c r="AA29" s="334" t="str">
        <f>PY</f>
        <v>2021-22</v>
      </c>
      <c r="AB29" s="334"/>
      <c r="AC29" s="217"/>
      <c r="AD29" s="334" t="str">
        <f>FY</f>
        <v>2022-23</v>
      </c>
      <c r="AE29" s="334"/>
      <c r="AF29" s="334"/>
      <c r="AG29" s="334"/>
    </row>
    <row r="30" spans="2:34" ht="26" x14ac:dyDescent="0.35">
      <c r="F30" s="332"/>
      <c r="G30" s="83"/>
      <c r="H30" s="264"/>
      <c r="I30" s="265" t="s">
        <v>23</v>
      </c>
      <c r="J30" s="265" t="s">
        <v>25</v>
      </c>
      <c r="K30" s="266"/>
      <c r="L30" s="265" t="s">
        <v>22</v>
      </c>
      <c r="M30" s="267" t="s">
        <v>175</v>
      </c>
      <c r="N30" s="265" t="s">
        <v>23</v>
      </c>
      <c r="O30" s="265" t="s">
        <v>25</v>
      </c>
      <c r="P30" s="265"/>
      <c r="Q30" s="266"/>
      <c r="R30" s="265" t="s">
        <v>23</v>
      </c>
      <c r="S30" s="265" t="s">
        <v>25</v>
      </c>
      <c r="T30" s="266"/>
      <c r="U30" s="265" t="s">
        <v>22</v>
      </c>
      <c r="V30" s="267" t="s">
        <v>45</v>
      </c>
      <c r="W30" s="265" t="s">
        <v>23</v>
      </c>
      <c r="X30" s="265" t="s">
        <v>25</v>
      </c>
      <c r="Y30" s="265"/>
      <c r="Z30" s="266"/>
      <c r="AA30" s="265" t="s">
        <v>23</v>
      </c>
      <c r="AB30" s="265" t="s">
        <v>25</v>
      </c>
      <c r="AC30" s="266"/>
      <c r="AD30" s="265" t="s">
        <v>22</v>
      </c>
      <c r="AE30" s="267" t="s">
        <v>45</v>
      </c>
      <c r="AF30" s="265" t="s">
        <v>23</v>
      </c>
      <c r="AG30" s="265" t="s">
        <v>25</v>
      </c>
    </row>
    <row r="31" spans="2:34" ht="15" customHeight="1" x14ac:dyDescent="0.35">
      <c r="F31" s="332"/>
      <c r="G31" s="83"/>
      <c r="H31" s="265" t="s">
        <v>64</v>
      </c>
      <c r="I31" s="265" t="s">
        <v>41</v>
      </c>
      <c r="J31" s="265" t="s">
        <v>29</v>
      </c>
      <c r="K31" s="266"/>
      <c r="L31" s="265" t="s">
        <v>29</v>
      </c>
      <c r="M31" s="265" t="s">
        <v>29</v>
      </c>
      <c r="N31" s="265" t="s">
        <v>41</v>
      </c>
      <c r="O31" s="265" t="s">
        <v>29</v>
      </c>
      <c r="P31" s="265"/>
      <c r="Q31" s="265"/>
      <c r="R31" s="265" t="s">
        <v>41</v>
      </c>
      <c r="S31" s="265" t="s">
        <v>29</v>
      </c>
      <c r="T31" s="266"/>
      <c r="U31" s="265" t="s">
        <v>29</v>
      </c>
      <c r="V31" s="265" t="s">
        <v>29</v>
      </c>
      <c r="W31" s="265" t="s">
        <v>41</v>
      </c>
      <c r="X31" s="265" t="s">
        <v>29</v>
      </c>
      <c r="Y31" s="265"/>
      <c r="Z31" s="265"/>
      <c r="AA31" s="265" t="s">
        <v>41</v>
      </c>
      <c r="AB31" s="265" t="s">
        <v>29</v>
      </c>
      <c r="AC31" s="266"/>
      <c r="AD31" s="265" t="s">
        <v>29</v>
      </c>
      <c r="AE31" s="265" t="s">
        <v>29</v>
      </c>
      <c r="AF31" s="265" t="s">
        <v>41</v>
      </c>
      <c r="AG31" s="265" t="s">
        <v>29</v>
      </c>
    </row>
    <row r="32" spans="2:34" ht="15" customHeight="1" x14ac:dyDescent="0.35">
      <c r="F32" s="48" t="str">
        <f>"DMO "&amp;PY&amp;" price"</f>
        <v>DMO 2021-22 price</v>
      </c>
      <c r="G32" s="48"/>
      <c r="H32" s="268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1393</v>
      </c>
      <c r="I32" s="269"/>
      <c r="J32" s="269"/>
      <c r="K32" s="269"/>
      <c r="L32" s="269"/>
      <c r="M32" s="269"/>
      <c r="N32" s="269"/>
      <c r="O32" s="269"/>
      <c r="P32" s="269"/>
      <c r="Q32" s="268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1912</v>
      </c>
      <c r="R32" s="268"/>
      <c r="S32" s="269"/>
      <c r="T32" s="269"/>
      <c r="U32" s="269"/>
      <c r="V32" s="269"/>
      <c r="W32" s="270"/>
      <c r="X32" s="269"/>
      <c r="Y32" s="270"/>
      <c r="Z32" s="268"/>
      <c r="AA32" s="268"/>
      <c r="AB32" s="269"/>
      <c r="AC32" s="269"/>
      <c r="AD32" s="269"/>
      <c r="AE32" s="269"/>
      <c r="AF32" s="269"/>
      <c r="AG32" s="269"/>
    </row>
    <row r="33" spans="2:33" ht="15" customHeight="1" x14ac:dyDescent="0.35">
      <c r="F33" s="49" t="s">
        <v>58</v>
      </c>
      <c r="G33" s="49"/>
      <c r="H33" s="270"/>
      <c r="I33" s="268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556.64085399999999</v>
      </c>
      <c r="J33" s="269">
        <f t="shared" ref="J33:J38" ca="1" si="0">I33/H$32</f>
        <v>0.39959860301507538</v>
      </c>
      <c r="K33" s="269"/>
      <c r="L33" s="271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-3.2730818927638516E-2</v>
      </c>
      <c r="M33" s="269">
        <f ca="1">J33*L33</f>
        <v>-1.3079189519023739E-2</v>
      </c>
      <c r="N33" s="268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538.42154299999993</v>
      </c>
      <c r="O33" s="269">
        <f t="shared" ref="O33:O38" ca="1" si="1">N33/H$39</f>
        <v>0.35615000285430298</v>
      </c>
      <c r="P33" s="269"/>
      <c r="Q33" s="269"/>
      <c r="R33" s="268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729.62542889500014</v>
      </c>
      <c r="S33" s="269">
        <f t="shared" ref="S33:S38" ca="1" si="2">R33/Q$32</f>
        <v>0.38160325779027204</v>
      </c>
      <c r="T33" s="269"/>
      <c r="U33" s="271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-3.1289795682663435E-2</v>
      </c>
      <c r="V33" s="269">
        <f ca="1">S33*U33</f>
        <v>-1.1940287968096356E-2</v>
      </c>
      <c r="W33" s="268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706.79559829999994</v>
      </c>
      <c r="X33" s="269">
        <f t="shared" ref="X33:X38" ca="1" si="3">W33/Q$39</f>
        <v>0.33303382534352816</v>
      </c>
      <c r="Y33" s="270"/>
      <c r="Z33" s="270"/>
      <c r="AA33" s="268"/>
      <c r="AB33" s="269"/>
      <c r="AC33" s="269"/>
      <c r="AD33" s="271"/>
      <c r="AE33" s="269"/>
      <c r="AF33" s="268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1408.5695250000003</v>
      </c>
      <c r="AG33" s="269">
        <f t="shared" ref="AG33:AG38" ca="1" si="4">AF33/Z$39</f>
        <v>0.32310118262349607</v>
      </c>
    </row>
    <row r="34" spans="2:33" ht="15" customHeight="1" x14ac:dyDescent="0.35">
      <c r="F34" s="49" t="s">
        <v>59</v>
      </c>
      <c r="G34" s="49"/>
      <c r="H34" s="270"/>
      <c r="I34" s="268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377.26260000000002</v>
      </c>
      <c r="J34" s="269">
        <f t="shared" ca="1" si="0"/>
        <v>0.27082742282842787</v>
      </c>
      <c r="K34" s="269"/>
      <c r="L34" s="271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0.38992494882874684</v>
      </c>
      <c r="M34" s="269">
        <f ca="1">J34*L34</f>
        <v>0.10560236898779612</v>
      </c>
      <c r="N34" s="268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524.36670000000004</v>
      </c>
      <c r="O34" s="269">
        <f t="shared" ca="1" si="1"/>
        <v>0.34685313789849875</v>
      </c>
      <c r="P34" s="269"/>
      <c r="Q34" s="269"/>
      <c r="R34" s="268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595.13497999999993</v>
      </c>
      <c r="S34" s="269">
        <f t="shared" ca="1" si="2"/>
        <v>0.31126306485355643</v>
      </c>
      <c r="T34" s="269"/>
      <c r="U34" s="271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0.4103540679124591</v>
      </c>
      <c r="V34" s="269">
        <f ca="1">S34*U34</f>
        <v>0.12772806485355645</v>
      </c>
      <c r="W34" s="268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839.3510399999999</v>
      </c>
      <c r="X34" s="269">
        <f t="shared" ca="1" si="3"/>
        <v>0.39549240024924576</v>
      </c>
      <c r="Y34" s="270"/>
      <c r="Z34" s="270"/>
      <c r="AA34" s="268"/>
      <c r="AB34" s="269"/>
      <c r="AC34" s="269"/>
      <c r="AD34" s="271"/>
      <c r="AE34" s="269"/>
      <c r="AF34" s="268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1344.53</v>
      </c>
      <c r="AG34" s="269">
        <f t="shared" ca="1" si="4"/>
        <v>0.30841163702783436</v>
      </c>
    </row>
    <row r="35" spans="2:33" ht="15" customHeight="1" x14ac:dyDescent="0.35">
      <c r="F35" s="49" t="s">
        <v>60</v>
      </c>
      <c r="G35" s="49"/>
      <c r="H35" s="270"/>
      <c r="I35" s="268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82.2393</v>
      </c>
      <c r="J35" s="269">
        <f t="shared" ca="1" si="0"/>
        <v>5.9037544867193106E-2</v>
      </c>
      <c r="K35" s="269"/>
      <c r="L35" s="271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7.8768909754825422E-2</v>
      </c>
      <c r="M35" s="269">
        <f ca="1">J35*L35</f>
        <v>4.6503230437903902E-3</v>
      </c>
      <c r="N35" s="268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88.717200000000005</v>
      </c>
      <c r="O35" s="269">
        <f t="shared" ca="1" si="1"/>
        <v>5.8683816507739128E-2</v>
      </c>
      <c r="P35" s="269"/>
      <c r="Q35" s="269"/>
      <c r="R35" s="268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143.50160000000002</v>
      </c>
      <c r="S35" s="269">
        <f t="shared" ca="1" si="2"/>
        <v>7.5053138075313816E-2</v>
      </c>
      <c r="T35" s="269"/>
      <c r="U35" s="271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7.8861838474274748E-2</v>
      </c>
      <c r="V35" s="269">
        <f ca="1">S35*U35</f>
        <v>5.9188284518828377E-3</v>
      </c>
      <c r="W35" s="268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154.8184</v>
      </c>
      <c r="X35" s="269">
        <f t="shared" ca="1" si="3"/>
        <v>7.2948620661443198E-2</v>
      </c>
      <c r="Y35" s="270"/>
      <c r="Z35" s="270"/>
      <c r="AA35" s="268"/>
      <c r="AB35" s="269"/>
      <c r="AC35" s="269"/>
      <c r="AD35" s="271"/>
      <c r="AE35" s="269"/>
      <c r="AF35" s="268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227.48000000000002</v>
      </c>
      <c r="AG35" s="269">
        <f t="shared" ca="1" si="4"/>
        <v>5.217992844420858E-2</v>
      </c>
    </row>
    <row r="36" spans="2:33" ht="15" customHeight="1" x14ac:dyDescent="0.35">
      <c r="F36" s="49" t="s">
        <v>196</v>
      </c>
      <c r="G36" s="49"/>
      <c r="H36" s="270"/>
      <c r="I36" s="268">
        <f ca="1">H32-SUM(I33:I35)</f>
        <v>376.85724600000003</v>
      </c>
      <c r="J36" s="269">
        <f t="shared" ca="1" si="0"/>
        <v>0.27053642928930366</v>
      </c>
      <c r="K36" s="269"/>
      <c r="L36" s="269">
        <f ca="1">(N36-I36)/I36</f>
        <v>-1</v>
      </c>
      <c r="M36" s="269">
        <f ca="1">J36*L36</f>
        <v>-0.27053642928930366</v>
      </c>
      <c r="N36" s="268">
        <v>0</v>
      </c>
      <c r="O36" s="269">
        <f t="shared" ca="1" si="1"/>
        <v>0</v>
      </c>
      <c r="P36" s="269"/>
      <c r="Q36" s="269"/>
      <c r="R36" s="268">
        <f ca="1">Q32-SUM(R33:R35)</f>
        <v>443.73799110499976</v>
      </c>
      <c r="S36" s="269">
        <f t="shared" ca="1" si="2"/>
        <v>0.23208053928085762</v>
      </c>
      <c r="T36" s="269"/>
      <c r="U36" s="269">
        <f ca="1">(W36-R36)/R36</f>
        <v>-1</v>
      </c>
      <c r="V36" s="269">
        <f ca="1">S36*U36</f>
        <v>-0.23208053928085762</v>
      </c>
      <c r="W36" s="268">
        <v>0</v>
      </c>
      <c r="X36" s="269">
        <f t="shared" ca="1" si="3"/>
        <v>0</v>
      </c>
      <c r="Y36" s="270"/>
      <c r="Z36" s="270"/>
      <c r="AA36" s="268"/>
      <c r="AB36" s="269"/>
      <c r="AC36" s="269"/>
      <c r="AD36" s="269"/>
      <c r="AE36" s="269"/>
      <c r="AF36" s="268">
        <v>0</v>
      </c>
      <c r="AG36" s="269">
        <f t="shared" ca="1" si="4"/>
        <v>0</v>
      </c>
    </row>
    <row r="37" spans="2:33" ht="15" customHeight="1" x14ac:dyDescent="0.35">
      <c r="F37" s="49" t="s">
        <v>193</v>
      </c>
      <c r="G37" s="49"/>
      <c r="H37" s="270"/>
      <c r="I37" s="268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69">
        <f t="shared" ca="1" si="0"/>
        <v>0</v>
      </c>
      <c r="K37" s="269"/>
      <c r="L37" s="276" t="str">
        <f ca="1">IFERROR((N37-I37)/I37,"New cost component")</f>
        <v>New cost component</v>
      </c>
      <c r="M37" s="271">
        <f ca="1">(N37-I37)/H32</f>
        <v>0.15010719003245443</v>
      </c>
      <c r="N37" s="268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209.099315715209</v>
      </c>
      <c r="O37" s="269">
        <f t="shared" ca="1" si="1"/>
        <v>0.13831304273945907</v>
      </c>
      <c r="P37" s="269"/>
      <c r="Q37" s="269"/>
      <c r="R37" s="268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69">
        <f t="shared" ca="1" si="2"/>
        <v>0</v>
      </c>
      <c r="T37" s="269"/>
      <c r="U37" s="276" t="str">
        <f ca="1">IFERROR((W37-R37)/R37,"New cost component")</f>
        <v>New cost component</v>
      </c>
      <c r="V37" s="271">
        <f ca="1">(W37-R37)/Q32</f>
        <v>0.10936156679665743</v>
      </c>
      <c r="W37" s="268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209.099315715209</v>
      </c>
      <c r="X37" s="269">
        <f t="shared" ca="1" si="3"/>
        <v>9.8525153745782995E-2</v>
      </c>
      <c r="Y37" s="270"/>
      <c r="Z37" s="270"/>
      <c r="AA37" s="268"/>
      <c r="AB37" s="269"/>
      <c r="AC37" s="269"/>
      <c r="AD37" s="275"/>
      <c r="AE37" s="271"/>
      <c r="AF37" s="268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289.06850034020903</v>
      </c>
      <c r="AG37" s="269">
        <f t="shared" ca="1" si="4"/>
        <v>6.6307251904461004E-2</v>
      </c>
    </row>
    <row r="38" spans="2:33" ht="15" customHeight="1" x14ac:dyDescent="0.35">
      <c r="F38" s="49" t="s">
        <v>195</v>
      </c>
      <c r="G38" s="49"/>
      <c r="H38" s="270"/>
      <c r="I38" s="268">
        <v>0</v>
      </c>
      <c r="J38" s="269">
        <f t="shared" si="0"/>
        <v>0</v>
      </c>
      <c r="K38" s="269"/>
      <c r="L38" s="276" t="str">
        <f ca="1">IFERROR((N38-I38)/I38,"New cost component")</f>
        <v>New cost component</v>
      </c>
      <c r="M38" s="271">
        <f ca="1">(N38-I38)/H32</f>
        <v>0.10852714036174599</v>
      </c>
      <c r="N38" s="268">
        <f ca="1">SUM(N33:N37)/(1-SUMIFS('Detail inputs'!$J:$J,'Detail inputs'!$B:$B,$B$6,'Detail inputs'!$G:$G,$F$38,'Detail inputs'!$D:$D,$H$27,'Detail inputs'!$E:$E,H28))-SUM(N33:N37)</f>
        <v>151.17830652391217</v>
      </c>
      <c r="O38" s="269">
        <f t="shared" ca="1" si="1"/>
        <v>0.10000000000000003</v>
      </c>
      <c r="P38" s="269"/>
      <c r="Q38" s="269"/>
      <c r="R38" s="268">
        <v>0</v>
      </c>
      <c r="S38" s="269">
        <f t="shared" si="2"/>
        <v>0</v>
      </c>
      <c r="T38" s="269"/>
      <c r="U38" s="276" t="str">
        <f ca="1">IFERROR((W38-R38)/R38,"New cost component")</f>
        <v>New cost component</v>
      </c>
      <c r="V38" s="271">
        <f ca="1">(W38-R38)/Q32</f>
        <v>0.11099862587257128</v>
      </c>
      <c r="W38" s="268">
        <f ca="1">SUM(W33:W37)/(1-SUMIFS('Detail inputs'!$J:$J,'Detail inputs'!$B:$B,$B$6,'Detail inputs'!$G:$G,$F$38,'Detail inputs'!$D:$D,$Q$27,'Detail inputs'!$E:$E,Q28))-SUM(W33:W37)</f>
        <v>212.22937266835629</v>
      </c>
      <c r="X38" s="269">
        <f t="shared" ca="1" si="3"/>
        <v>9.9999999999999895E-2</v>
      </c>
      <c r="Y38" s="270"/>
      <c r="Z38" s="270"/>
      <c r="AA38" s="268"/>
      <c r="AB38" s="269"/>
      <c r="AC38" s="269"/>
      <c r="AD38" s="275"/>
      <c r="AE38" s="271"/>
      <c r="AF38" s="268">
        <f ca="1">SUM(AF33:AF37)/(1-SUMIFS('Detail inputs'!$J:$J,'Detail inputs'!$B:$B,$B$6,'Detail inputs'!$G:$G,$F$38,'Detail inputs'!$D:$D,$Z$27,'Detail inputs'!$E:$E,Z28))-SUM(AF33:AF37)</f>
        <v>1089.8826751134029</v>
      </c>
      <c r="AG38" s="269">
        <f t="shared" ca="1" si="4"/>
        <v>0.24999999999999994</v>
      </c>
    </row>
    <row r="39" spans="2:33" ht="15" thickBot="1" x14ac:dyDescent="0.4">
      <c r="B39" s="81"/>
      <c r="F39" s="77" t="str">
        <f>"DMO "&amp;FY&amp;" price"</f>
        <v>DMO 2022-23 price</v>
      </c>
      <c r="G39" s="77"/>
      <c r="H39" s="272">
        <f ca="1">SUM(N33:N38)</f>
        <v>1511.7830652391212</v>
      </c>
      <c r="I39" s="273"/>
      <c r="J39" s="273"/>
      <c r="K39" s="273"/>
      <c r="L39" s="273">
        <f ca="1">H39/H32-1</f>
        <v>8.5271403617459551E-2</v>
      </c>
      <c r="M39" s="273"/>
      <c r="N39" s="273"/>
      <c r="O39" s="273"/>
      <c r="P39" s="273"/>
      <c r="Q39" s="272">
        <f ca="1">SUM(W33:W38)</f>
        <v>2122.2937266835652</v>
      </c>
      <c r="R39" s="272"/>
      <c r="S39" s="273"/>
      <c r="T39" s="273"/>
      <c r="U39" s="273">
        <f ca="1">Q39/Q32-1</f>
        <v>0.1099862587257141</v>
      </c>
      <c r="V39" s="273"/>
      <c r="W39" s="274"/>
      <c r="X39" s="274"/>
      <c r="Y39" s="274"/>
      <c r="Z39" s="272">
        <f ca="1">SUM(AF33:AF38)</f>
        <v>4359.5307004536126</v>
      </c>
      <c r="AA39" s="272"/>
      <c r="AB39" s="273"/>
      <c r="AC39" s="273"/>
      <c r="AD39" s="273"/>
      <c r="AE39" s="273"/>
      <c r="AF39" s="273"/>
      <c r="AG39" s="273"/>
    </row>
    <row r="40" spans="2:33" ht="15" thickTop="1" x14ac:dyDescent="0.35">
      <c r="F40" s="120"/>
    </row>
    <row r="41" spans="2:33" x14ac:dyDescent="0.35">
      <c r="F41" s="107"/>
    </row>
    <row r="43" spans="2:33" x14ac:dyDescent="0.35">
      <c r="F43" s="120"/>
      <c r="O43" s="199"/>
    </row>
    <row r="44" spans="2:33" s="105" customFormat="1" ht="12" x14ac:dyDescent="0.35">
      <c r="H44" s="106"/>
    </row>
    <row r="48" spans="2:33" x14ac:dyDescent="0.35">
      <c r="H48" s="79"/>
    </row>
  </sheetData>
  <mergeCells count="15">
    <mergeCell ref="Z27:AG27"/>
    <mergeCell ref="H28:O28"/>
    <mergeCell ref="Q28:X28"/>
    <mergeCell ref="Z28:AG28"/>
    <mergeCell ref="I29:J29"/>
    <mergeCell ref="AA29:AB29"/>
    <mergeCell ref="AD29:AG29"/>
    <mergeCell ref="A1:B1"/>
    <mergeCell ref="B6:B7"/>
    <mergeCell ref="F27:F31"/>
    <mergeCell ref="H27:O27"/>
    <mergeCell ref="Q27:X27"/>
    <mergeCell ref="L29:O29"/>
    <mergeCell ref="R29:S29"/>
    <mergeCell ref="U29:X29"/>
  </mergeCells>
  <conditionalFormatting sqref="F36:H37 Y39:AE39 F39:M39 P39:V39 F32:AG35 Y36:Z37 V37 AE37 J36:Q37 F38:T38 V38:AC38 AE38:AG38">
    <cfRule type="expression" dxfId="1666" priority="56">
      <formula>MOD(ROW(),2)=0</formula>
    </cfRule>
    <cfRule type="expression" dxfId="1665" priority="57">
      <formula>AND(MOD(ROW(),2)=0,F$30="Proportion",$F32="Overall change in costs (%)")</formula>
    </cfRule>
    <cfRule type="expression" dxfId="1664" priority="58">
      <formula>AND(MOD(ROW(),1)=0,F$30="Proportion",$F32="Overall change in costs (%)")</formula>
    </cfRule>
  </conditionalFormatting>
  <conditionalFormatting sqref="P44:R44 G44:J44 Y44:AA44 M44:N44">
    <cfRule type="cellIs" dxfId="1663" priority="54" operator="equal">
      <formula>FALSE</formula>
    </cfRule>
    <cfRule type="cellIs" dxfId="1662" priority="55" operator="equal">
      <formula>TRUE</formula>
    </cfRule>
  </conditionalFormatting>
  <conditionalFormatting sqref="O39 X39 AG39">
    <cfRule type="expression" dxfId="1661" priority="59">
      <formula>MOD(ROW(),2)=0</formula>
    </cfRule>
    <cfRule type="expression" dxfId="1660" priority="60">
      <formula>AND(MOD(ROW(),2)=0,N$30="Proportion",$F39="Overall change in costs (%)")</formula>
    </cfRule>
    <cfRule type="expression" dxfId="1659" priority="61">
      <formula>AND(MOD(ROW(),1)=0,N$30="Proportion",$F39="Overall change in costs (%)")</formula>
    </cfRule>
  </conditionalFormatting>
  <conditionalFormatting sqref="N39 W39 AF39">
    <cfRule type="expression" dxfId="1658" priority="62">
      <formula>MOD(ROW(),2)=0</formula>
    </cfRule>
    <cfRule type="expression" dxfId="1657" priority="63">
      <formula>AND(MOD(ROW(),2)=0,#REF!="Proportion",$F39="Overall change in costs (%)")</formula>
    </cfRule>
    <cfRule type="expression" dxfId="1656" priority="64">
      <formula>AND(MOD(ROW(),1)=0,#REF!="Proportion",$F39="Overall change in costs (%)")</formula>
    </cfRule>
  </conditionalFormatting>
  <conditionalFormatting sqref="O44">
    <cfRule type="cellIs" dxfId="1655" priority="52" operator="equal">
      <formula>FALSE</formula>
    </cfRule>
    <cfRule type="cellIs" dxfId="1654" priority="53" operator="equal">
      <formula>TRUE</formula>
    </cfRule>
  </conditionalFormatting>
  <conditionalFormatting sqref="S44:T44">
    <cfRule type="cellIs" dxfId="1653" priority="50" operator="equal">
      <formula>FALSE</formula>
    </cfRule>
    <cfRule type="cellIs" dxfId="1652" priority="51" operator="equal">
      <formula>TRUE</formula>
    </cfRule>
  </conditionalFormatting>
  <conditionalFormatting sqref="X44">
    <cfRule type="cellIs" dxfId="1651" priority="48" operator="equal">
      <formula>FALSE</formula>
    </cfRule>
    <cfRule type="cellIs" dxfId="1650" priority="49" operator="equal">
      <formula>TRUE</formula>
    </cfRule>
  </conditionalFormatting>
  <conditionalFormatting sqref="W44">
    <cfRule type="cellIs" dxfId="1649" priority="46" operator="equal">
      <formula>FALSE</formula>
    </cfRule>
    <cfRule type="cellIs" dxfId="1648" priority="47" operator="equal">
      <formula>TRUE</formula>
    </cfRule>
  </conditionalFormatting>
  <conditionalFormatting sqref="AB44:AC44">
    <cfRule type="cellIs" dxfId="1647" priority="44" operator="equal">
      <formula>FALSE</formula>
    </cfRule>
    <cfRule type="cellIs" dxfId="1646" priority="45" operator="equal">
      <formula>TRUE</formula>
    </cfRule>
  </conditionalFormatting>
  <conditionalFormatting sqref="AG44">
    <cfRule type="cellIs" dxfId="1645" priority="42" operator="equal">
      <formula>FALSE</formula>
    </cfRule>
    <cfRule type="cellIs" dxfId="1644" priority="43" operator="equal">
      <formula>TRUE</formula>
    </cfRule>
  </conditionalFormatting>
  <conditionalFormatting sqref="AF44">
    <cfRule type="cellIs" dxfId="1643" priority="40" operator="equal">
      <formula>FALSE</formula>
    </cfRule>
    <cfRule type="cellIs" dxfId="1642" priority="41" operator="equal">
      <formula>TRUE</formula>
    </cfRule>
  </conditionalFormatting>
  <conditionalFormatting sqref="V44">
    <cfRule type="cellIs" dxfId="1641" priority="38" operator="equal">
      <formula>FALSE</formula>
    </cfRule>
    <cfRule type="cellIs" dxfId="1640" priority="39" operator="equal">
      <formula>TRUE</formula>
    </cfRule>
  </conditionalFormatting>
  <conditionalFormatting sqref="AE44">
    <cfRule type="cellIs" dxfId="1639" priority="36" operator="equal">
      <formula>FALSE</formula>
    </cfRule>
    <cfRule type="cellIs" dxfId="1638" priority="37" operator="equal">
      <formula>TRUE</formula>
    </cfRule>
  </conditionalFormatting>
  <conditionalFormatting sqref="AD44">
    <cfRule type="cellIs" dxfId="1637" priority="34" operator="equal">
      <formula>FALSE</formula>
    </cfRule>
    <cfRule type="cellIs" dxfId="1636" priority="35" operator="equal">
      <formula>TRUE</formula>
    </cfRule>
  </conditionalFormatting>
  <conditionalFormatting sqref="U44">
    <cfRule type="cellIs" dxfId="1635" priority="32" operator="equal">
      <formula>FALSE</formula>
    </cfRule>
    <cfRule type="cellIs" dxfId="1634" priority="33" operator="equal">
      <formula>TRUE</formula>
    </cfRule>
  </conditionalFormatting>
  <conditionalFormatting sqref="K44">
    <cfRule type="cellIs" dxfId="1633" priority="30" operator="equal">
      <formula>FALSE</formula>
    </cfRule>
    <cfRule type="cellIs" dxfId="1632" priority="31" operator="equal">
      <formula>TRUE</formula>
    </cfRule>
  </conditionalFormatting>
  <conditionalFormatting sqref="L44">
    <cfRule type="cellIs" dxfId="1631" priority="28" operator="equal">
      <formula>FALSE</formula>
    </cfRule>
    <cfRule type="cellIs" dxfId="1630" priority="29" operator="equal">
      <formula>TRUE</formula>
    </cfRule>
  </conditionalFormatting>
  <conditionalFormatting sqref="I36">
    <cfRule type="expression" dxfId="1629" priority="65">
      <formula>MOD(ROW(),2)=0</formula>
    </cfRule>
    <cfRule type="expression" dxfId="1628" priority="66">
      <formula>AND(MOD(ROW(),2)=0,I$30="Proportion",$F37="Overall change in costs (%)")</formula>
    </cfRule>
    <cfRule type="expression" dxfId="1627" priority="67">
      <formula>AND(MOD(ROW(),1)=0,I$30="Proportion",$F37="Overall change in costs (%)")</formula>
    </cfRule>
  </conditionalFormatting>
  <conditionalFormatting sqref="I37">
    <cfRule type="expression" dxfId="1626" priority="25">
      <formula>MOD(ROW(),2)=0</formula>
    </cfRule>
    <cfRule type="expression" dxfId="1625" priority="26">
      <formula>AND(MOD(ROW(),2)=0,I$30="Proportion",$F37="Overall change in costs (%)")</formula>
    </cfRule>
    <cfRule type="expression" dxfId="1624" priority="27">
      <formula>AND(MOD(ROW(),1)=0,I$30="Proportion",$F37="Overall change in costs (%)")</formula>
    </cfRule>
  </conditionalFormatting>
  <conditionalFormatting sqref="S36:X36 S37:U37 W37:X37">
    <cfRule type="expression" dxfId="1623" priority="19">
      <formula>MOD(ROW(),2)=0</formula>
    </cfRule>
    <cfRule type="expression" dxfId="1622" priority="20">
      <formula>AND(MOD(ROW(),2)=0,S$30="Proportion",$F36="Overall change in costs (%)")</formula>
    </cfRule>
    <cfRule type="expression" dxfId="1621" priority="21">
      <formula>AND(MOD(ROW(),1)=0,S$30="Proportion",$F36="Overall change in costs (%)")</formula>
    </cfRule>
  </conditionalFormatting>
  <conditionalFormatting sqref="R36">
    <cfRule type="expression" dxfId="1620" priority="22">
      <formula>MOD(ROW(),2)=0</formula>
    </cfRule>
    <cfRule type="expression" dxfId="1619" priority="23">
      <formula>AND(MOD(ROW(),2)=0,R$30="Proportion",$F37="Overall change in costs (%)")</formula>
    </cfRule>
    <cfRule type="expression" dxfId="1618" priority="24">
      <formula>AND(MOD(ROW(),1)=0,R$30="Proportion",$F37="Overall change in costs (%)")</formula>
    </cfRule>
  </conditionalFormatting>
  <conditionalFormatting sqref="R37">
    <cfRule type="expression" dxfId="1617" priority="16">
      <formula>MOD(ROW(),2)=0</formula>
    </cfRule>
    <cfRule type="expression" dxfId="1616" priority="17">
      <formula>AND(MOD(ROW(),2)=0,R$30="Proportion",$F37="Overall change in costs (%)")</formula>
    </cfRule>
    <cfRule type="expression" dxfId="1615" priority="18">
      <formula>AND(MOD(ROW(),1)=0,R$30="Proportion",$F37="Overall change in costs (%)")</formula>
    </cfRule>
  </conditionalFormatting>
  <conditionalFormatting sqref="AB36:AG36 AB37:AD37 AF37:AG37">
    <cfRule type="expression" dxfId="1614" priority="10">
      <formula>MOD(ROW(),2)=0</formula>
    </cfRule>
    <cfRule type="expression" dxfId="1613" priority="11">
      <formula>AND(MOD(ROW(),2)=0,AB$30="Proportion",$F36="Overall change in costs (%)")</formula>
    </cfRule>
    <cfRule type="expression" dxfId="1612" priority="12">
      <formula>AND(MOD(ROW(),1)=0,AB$30="Proportion",$F36="Overall change in costs (%)")</formula>
    </cfRule>
  </conditionalFormatting>
  <conditionalFormatting sqref="AA36">
    <cfRule type="expression" dxfId="1611" priority="13">
      <formula>MOD(ROW(),2)=0</formula>
    </cfRule>
    <cfRule type="expression" dxfId="1610" priority="14">
      <formula>AND(MOD(ROW(),2)=0,AA$30="Proportion",$F37="Overall change in costs (%)")</formula>
    </cfRule>
    <cfRule type="expression" dxfId="1609" priority="15">
      <formula>AND(MOD(ROW(),1)=0,AA$30="Proportion",$F37="Overall change in costs (%)")</formula>
    </cfRule>
  </conditionalFormatting>
  <conditionalFormatting sqref="AA37">
    <cfRule type="expression" dxfId="1608" priority="7">
      <formula>MOD(ROW(),2)=0</formula>
    </cfRule>
    <cfRule type="expression" dxfId="1607" priority="8">
      <formula>AND(MOD(ROW(),2)=0,AA$30="Proportion",$F37="Overall change in costs (%)")</formula>
    </cfRule>
    <cfRule type="expression" dxfId="1606" priority="9">
      <formula>AND(MOD(ROW(),1)=0,AA$30="Proportion",$F37="Overall change in costs (%)")</formula>
    </cfRule>
  </conditionalFormatting>
  <conditionalFormatting sqref="U38">
    <cfRule type="expression" dxfId="1605" priority="4">
      <formula>MOD(ROW(),2)=0</formula>
    </cfRule>
    <cfRule type="expression" dxfId="1604" priority="5">
      <formula>AND(MOD(ROW(),2)=0,U$30="Proportion",$F38="Overall change in costs (%)")</formula>
    </cfRule>
    <cfRule type="expression" dxfId="1603" priority="6">
      <formula>AND(MOD(ROW(),1)=0,U$30="Proportion",$F38="Overall change in costs (%)")</formula>
    </cfRule>
  </conditionalFormatting>
  <conditionalFormatting sqref="AD38">
    <cfRule type="expression" dxfId="1602" priority="1">
      <formula>MOD(ROW(),2)=0</formula>
    </cfRule>
    <cfRule type="expression" dxfId="1601" priority="2">
      <formula>AND(MOD(ROW(),2)=0,AD$30="Proportion",$F38="Overall change in costs (%)")</formula>
    </cfRule>
    <cfRule type="expression" dxfId="1600" priority="3">
      <formula>AND(MOD(ROW(),1)=0,AD$30="Proportion",$F38="Overall change in costs (%)")</formula>
    </cfRule>
  </conditionalFormatting>
  <hyperlinks>
    <hyperlink ref="A1" location="Index!A1" display="&lt;&lt;Back to Index" xr:uid="{A77B2390-B657-4C0B-9D89-BAD63160264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EAC0-1A46-494F-A660-038863C2596B}">
  <sheetPr>
    <tabColor rgb="FF00B050"/>
  </sheetPr>
  <dimension ref="A1:AH48"/>
  <sheetViews>
    <sheetView topLeftCell="L1" zoomScaleNormal="100" workbookViewId="0">
      <selection activeCell="A3" sqref="A3"/>
    </sheetView>
  </sheetViews>
  <sheetFormatPr defaultColWidth="8.81640625" defaultRowHeight="14.5" x14ac:dyDescent="0.35"/>
  <cols>
    <col min="1" max="1" width="1.81640625" style="3" customWidth="1"/>
    <col min="2" max="2" width="33.81640625" style="3" bestFit="1" customWidth="1"/>
    <col min="3" max="5" width="13.1796875" style="3" customWidth="1"/>
    <col min="6" max="6" width="26.81640625" style="3" customWidth="1"/>
    <col min="7" max="7" width="5.81640625" style="3" customWidth="1"/>
    <col min="8" max="10" width="10.81640625" style="3" customWidth="1"/>
    <col min="11" max="11" width="1.81640625" style="3" customWidth="1"/>
    <col min="12" max="12" width="10.81640625" style="3" customWidth="1"/>
    <col min="13" max="13" width="12.1796875" style="3" customWidth="1"/>
    <col min="14" max="14" width="13.1796875" style="3" customWidth="1"/>
    <col min="15" max="15" width="10.81640625" style="3" customWidth="1"/>
    <col min="16" max="16" width="5.81640625" style="3" customWidth="1"/>
    <col min="17" max="19" width="10.81640625" style="3" customWidth="1"/>
    <col min="20" max="20" width="1.81640625" style="3" customWidth="1"/>
    <col min="21" max="21" width="10.81640625" style="3" customWidth="1"/>
    <col min="22" max="22" width="12.1796875" style="3" customWidth="1"/>
    <col min="23" max="23" width="13.1796875" style="3" customWidth="1"/>
    <col min="24" max="24" width="10.81640625" style="3" customWidth="1"/>
    <col min="25" max="25" width="5.81640625" style="3" customWidth="1"/>
    <col min="26" max="28" width="10.81640625" style="3" customWidth="1"/>
    <col min="29" max="29" width="1.81640625" style="3" customWidth="1"/>
    <col min="30" max="30" width="10.81640625" style="3" customWidth="1"/>
    <col min="31" max="31" width="12.1796875" style="3" customWidth="1"/>
    <col min="32" max="32" width="8.81640625" style="3" customWidth="1"/>
    <col min="33" max="33" width="10.81640625" style="3" customWidth="1"/>
    <col min="34" max="16384" width="8.81640625" style="3"/>
  </cols>
  <sheetData>
    <row r="1" spans="1:34" ht="10.4" customHeight="1" x14ac:dyDescent="0.35">
      <c r="A1" s="302" t="s">
        <v>20</v>
      </c>
      <c r="B1" s="307"/>
    </row>
    <row r="2" spans="1:34" s="13" customFormat="1" ht="22.5" customHeight="1" x14ac:dyDescent="0.35">
      <c r="A2" s="14" t="s">
        <v>4</v>
      </c>
    </row>
    <row r="3" spans="1:34" s="70" customFormat="1" ht="15" thickBot="1" x14ac:dyDescent="0.4">
      <c r="C3" s="70" t="str">
        <f>$A$2&amp;" "&amp;C6&amp;" "&amp;C7</f>
        <v>Endeavour Residential without CL</v>
      </c>
      <c r="D3" s="70" t="str">
        <f>$A$2&amp;" "&amp;D6&amp;" "&amp;D7</f>
        <v>Endeavour Residential with CL</v>
      </c>
      <c r="E3" s="70" t="str">
        <f>$A$2&amp;" "&amp;E6&amp;" "&amp;E7</f>
        <v>Endeavour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5" x14ac:dyDescent="0.35">
      <c r="B4" s="34" t="s">
        <v>19</v>
      </c>
      <c r="F4" s="34"/>
      <c r="G4" s="84" t="s">
        <v>88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6"/>
    </row>
    <row r="5" spans="1:34" ht="5.15" customHeight="1" x14ac:dyDescent="0.35">
      <c r="B5" s="5"/>
      <c r="G5" s="87"/>
      <c r="H5" s="8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89"/>
    </row>
    <row r="6" spans="1:34" ht="20.149999999999999" customHeight="1" x14ac:dyDescent="0.35">
      <c r="B6" s="331" t="str">
        <f>A2</f>
        <v>Endeavour</v>
      </c>
      <c r="C6" s="46" t="s">
        <v>6</v>
      </c>
      <c r="D6" s="46" t="s">
        <v>6</v>
      </c>
      <c r="E6" s="46" t="s">
        <v>73</v>
      </c>
      <c r="G6" s="87"/>
      <c r="H6" s="8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89"/>
    </row>
    <row r="7" spans="1:34" ht="20.149999999999999" customHeight="1" x14ac:dyDescent="0.35">
      <c r="B7" s="331"/>
      <c r="C7" s="47" t="s">
        <v>136</v>
      </c>
      <c r="D7" s="47" t="s">
        <v>137</v>
      </c>
      <c r="E7" s="47" t="s">
        <v>136</v>
      </c>
      <c r="G7" s="87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89"/>
    </row>
    <row r="8" spans="1:34" ht="2.15" customHeight="1" x14ac:dyDescent="0.35">
      <c r="B8" s="32"/>
      <c r="C8" s="33"/>
      <c r="D8" s="33"/>
      <c r="E8" s="33"/>
      <c r="G8" s="87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89"/>
    </row>
    <row r="9" spans="1:34" s="44" customFormat="1" ht="30" customHeight="1" x14ac:dyDescent="0.35">
      <c r="B9" s="50" t="str">
        <f>"DMO "&amp;FY&amp;" price ($ pa, inc GST)"</f>
        <v>DMO 2022-23 price ($ pa, inc GST)</v>
      </c>
      <c r="C9" s="177">
        <f ca="1">ROUND(H39,0)</f>
        <v>1836</v>
      </c>
      <c r="D9" s="177">
        <f ca="1">ROUND(Q39,0)</f>
        <v>2383</v>
      </c>
      <c r="E9" s="177">
        <f ca="1">ROUND(Z39,0)</f>
        <v>3782</v>
      </c>
      <c r="F9" s="3"/>
      <c r="G9" s="8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90"/>
    </row>
    <row r="10" spans="1:34" ht="2.15" customHeight="1" x14ac:dyDescent="0.35">
      <c r="B10" s="51"/>
      <c r="C10" s="52"/>
      <c r="D10" s="52"/>
      <c r="E10" s="52"/>
      <c r="F10" s="44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89"/>
    </row>
    <row r="11" spans="1:34" ht="20.149999999999999" customHeight="1" x14ac:dyDescent="0.35">
      <c r="B11" s="53" t="s">
        <v>44</v>
      </c>
      <c r="C11" s="54">
        <f>SUM(C12:C13)</f>
        <v>4900</v>
      </c>
      <c r="D11" s="54">
        <f>SUM(D12:D13)</f>
        <v>7400</v>
      </c>
      <c r="E11" s="54">
        <f>SUM(E12:E13)</f>
        <v>10000</v>
      </c>
      <c r="G11" s="87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89"/>
    </row>
    <row r="12" spans="1:34" ht="20.149999999999999" customHeight="1" x14ac:dyDescent="0.35">
      <c r="B12" s="55" t="s">
        <v>47</v>
      </c>
      <c r="C12" s="56">
        <f t="array" ref="C12">INDEX(Usage!$B$5:$M$18,MATCH($B6,Usage!$B$5:$B$18,0),MATCH(C$6&amp;C$7&amp;"Flat rate"&amp;"Total",Usage!$B$5:$M$5&amp;Usage!$B$6:$M$6&amp;Usage!$B$7:$M$7&amp;Usage!$B$13:$M$13,0))</f>
        <v>4900</v>
      </c>
      <c r="D12" s="56">
        <f t="array" ref="D12">INDEX(Usage!$B$5:$M$18,MATCH($B6,Usage!$B$5:$B$18,0),MATCH(D$6&amp;D$7&amp;"Flat rate"&amp;"Total",Usage!$B$5:$M$5&amp;Usage!$B$6:$M$6&amp;Usage!$B$7:$M$7&amp;Usage!$B$13:$M$13,0))</f>
        <v>5200</v>
      </c>
      <c r="E12" s="56">
        <f t="array" ref="E12">INDEX(Usage!$B$5:$M$18,MATCH($B6,Usage!$B$5:$B$18,0),MATCH(E$6&amp;E$7&amp;"Flat rate"&amp;"Total",Usage!$B$5:$M$5&amp;Usage!$B$6:$M$6&amp;Usage!$B$7:$M$7&amp;Usage!$B$13:$M$13,0))</f>
        <v>10000</v>
      </c>
      <c r="G12" s="87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89"/>
    </row>
    <row r="13" spans="1:34" ht="20.149999999999999" customHeight="1" x14ac:dyDescent="0.35">
      <c r="B13" s="55" t="s">
        <v>46</v>
      </c>
      <c r="C13" s="56"/>
      <c r="D13" s="56">
        <f t="array" ref="D13">INDEX(Usage!$B$5:$M$18,MATCH($B6,Usage!$B$5:$B$18,0),MATCH(D$6&amp;D$7&amp;"CL"&amp;"Total",Usage!$B$5:$M$5&amp;Usage!$B$6:$M$6&amp;Usage!$B$7:$M$7&amp;Usage!$B$13:$M$13,0))</f>
        <v>2200</v>
      </c>
      <c r="E13" s="56"/>
      <c r="G13" s="8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89"/>
    </row>
    <row r="14" spans="1:34" ht="2.15" customHeight="1" x14ac:dyDescent="0.35">
      <c r="B14" s="57"/>
      <c r="C14" s="57"/>
      <c r="D14" s="57"/>
      <c r="E14" s="57"/>
      <c r="G14" s="87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89"/>
    </row>
    <row r="15" spans="1:34" ht="20.149999999999999" customHeight="1" x14ac:dyDescent="0.35">
      <c r="B15" s="55" t="str">
        <f>"Change from DMO "&amp;PY&amp; " price ($)"</f>
        <v>Change from DMO 2021-22 price ($)</v>
      </c>
      <c r="C15" s="128">
        <f ca="1">C9-H32</f>
        <v>227</v>
      </c>
      <c r="D15" s="128">
        <f ca="1">D9-Q32</f>
        <v>369</v>
      </c>
      <c r="E15" s="128"/>
      <c r="G15" s="87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89"/>
    </row>
    <row r="16" spans="1:34" ht="20.149999999999999" customHeight="1" thickBot="1" x14ac:dyDescent="0.4">
      <c r="B16" s="58" t="str">
        <f>"Change from DMO "&amp;PY&amp; " price (%)"</f>
        <v>Change from DMO 2021-22 price (%)</v>
      </c>
      <c r="C16" s="108">
        <f ca="1">C9/H32-1</f>
        <v>0.14108141702921073</v>
      </c>
      <c r="D16" s="108">
        <f ca="1">D9/Q32-1</f>
        <v>0.18321747765640506</v>
      </c>
      <c r="E16" s="108"/>
      <c r="G16" s="8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89"/>
    </row>
    <row r="17" spans="2:34" ht="15" thickTop="1" x14ac:dyDescent="0.35">
      <c r="B17" s="81" t="s">
        <v>87</v>
      </c>
      <c r="G17" s="8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89"/>
    </row>
    <row r="18" spans="2:34" x14ac:dyDescent="0.35">
      <c r="G18" s="87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89"/>
    </row>
    <row r="19" spans="2:34" x14ac:dyDescent="0.35">
      <c r="C19" s="79"/>
      <c r="D19" s="179"/>
      <c r="G19" s="87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89"/>
    </row>
    <row r="20" spans="2:34" ht="15.5" x14ac:dyDescent="0.35">
      <c r="B20" s="34"/>
      <c r="D20" s="179"/>
      <c r="G20" s="87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89"/>
    </row>
    <row r="21" spans="2:34" ht="15" customHeight="1" thickBot="1" x14ac:dyDescent="0.4">
      <c r="B21" s="32"/>
      <c r="D21" s="32"/>
      <c r="E21" s="32"/>
      <c r="F21" s="34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</row>
    <row r="22" spans="2:34" s="35" customFormat="1" ht="15.5" x14ac:dyDescent="0.35">
      <c r="F22" s="34"/>
      <c r="G22" s="3"/>
      <c r="H22" s="32"/>
      <c r="I22" s="32"/>
      <c r="J22" s="32"/>
      <c r="K22" s="3"/>
      <c r="L22" s="3"/>
      <c r="M22" s="3"/>
      <c r="N22" s="32"/>
      <c r="O22" s="32"/>
      <c r="P22" s="32"/>
      <c r="Q22" s="32"/>
      <c r="R22" s="32"/>
      <c r="S22" s="32"/>
      <c r="T22" s="3"/>
      <c r="U22" s="32"/>
      <c r="V22" s="32"/>
      <c r="W22" s="32"/>
      <c r="X22" s="32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5" hidden="1" x14ac:dyDescent="0.35">
      <c r="F23" s="34"/>
      <c r="G23" s="3"/>
      <c r="H23" s="32" t="str">
        <f>$H$27</f>
        <v>Residential</v>
      </c>
      <c r="I23" s="32" t="str">
        <f>$H$27</f>
        <v>Residential</v>
      </c>
      <c r="J23" s="32" t="str">
        <f>$H$27</f>
        <v>Residential</v>
      </c>
      <c r="K23" s="32"/>
      <c r="L23" s="32" t="str">
        <f>$H$27</f>
        <v>Residential</v>
      </c>
      <c r="M23" s="32" t="str">
        <f>$H$27</f>
        <v>Residential</v>
      </c>
      <c r="N23" s="32" t="str">
        <f>$H$27</f>
        <v>Residential</v>
      </c>
      <c r="O23" s="32" t="str">
        <f>$H$27</f>
        <v>Residential</v>
      </c>
      <c r="P23" s="32"/>
      <c r="Q23" s="32" t="str">
        <f>$Q$27</f>
        <v>Residential</v>
      </c>
      <c r="R23" s="32" t="str">
        <f>$Q$27</f>
        <v>Residential</v>
      </c>
      <c r="S23" s="32" t="str">
        <f>$Q$27</f>
        <v>Residential</v>
      </c>
      <c r="T23" s="3"/>
      <c r="U23" s="32" t="str">
        <f>$Q$27</f>
        <v>Residential</v>
      </c>
      <c r="V23" s="32" t="str">
        <f>$Q$27</f>
        <v>Residential</v>
      </c>
      <c r="W23" s="32" t="str">
        <f>$Q$27</f>
        <v>Residential</v>
      </c>
      <c r="X23" s="32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5" hidden="1" x14ac:dyDescent="0.35">
      <c r="F24" s="34"/>
      <c r="G24" s="3"/>
      <c r="H24" s="32" t="str">
        <f>$H$28</f>
        <v>without CL</v>
      </c>
      <c r="I24" s="32" t="str">
        <f>$H$28</f>
        <v>without CL</v>
      </c>
      <c r="J24" s="32" t="str">
        <f>$H$28</f>
        <v>without CL</v>
      </c>
      <c r="K24" s="32"/>
      <c r="L24" s="32" t="str">
        <f>$H$28</f>
        <v>without CL</v>
      </c>
      <c r="M24" s="32" t="str">
        <f>$H$28</f>
        <v>without CL</v>
      </c>
      <c r="N24" s="32" t="str">
        <f>$H$28</f>
        <v>without CL</v>
      </c>
      <c r="O24" s="32" t="str">
        <f>$H$28</f>
        <v>without CL</v>
      </c>
      <c r="P24" s="32"/>
      <c r="Q24" s="32" t="str">
        <f>$Q$28</f>
        <v>with CL</v>
      </c>
      <c r="R24" s="32" t="str">
        <f>$Q$28</f>
        <v>with CL</v>
      </c>
      <c r="S24" s="32" t="str">
        <f>$Q$28</f>
        <v>with CL</v>
      </c>
      <c r="T24" s="3"/>
      <c r="U24" s="32" t="str">
        <f>$Q$28</f>
        <v>with CL</v>
      </c>
      <c r="V24" s="32" t="str">
        <f>$Q$28</f>
        <v>with CL</v>
      </c>
      <c r="W24" s="32" t="str">
        <f>$Q$28</f>
        <v>with CL</v>
      </c>
      <c r="X24" s="32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5" hidden="1" x14ac:dyDescent="0.35">
      <c r="F25" s="34"/>
      <c r="G25" s="3"/>
      <c r="H25" s="32"/>
      <c r="I25" s="32" t="str">
        <f>$I$29</f>
        <v>2021-22</v>
      </c>
      <c r="J25" s="32" t="str">
        <f>$I$29</f>
        <v>2021-22</v>
      </c>
      <c r="K25" s="3"/>
      <c r="L25" s="32" t="str">
        <f>$L$29</f>
        <v>2022-23</v>
      </c>
      <c r="M25" s="32" t="str">
        <f>$L$29</f>
        <v>2022-23</v>
      </c>
      <c r="N25" s="32" t="str">
        <f>$L$29</f>
        <v>2022-23</v>
      </c>
      <c r="O25" s="32" t="str">
        <f>$L$29</f>
        <v>2022-23</v>
      </c>
      <c r="P25" s="32"/>
      <c r="Q25" s="32"/>
      <c r="R25" s="32" t="str">
        <f>$R$29</f>
        <v>2021-22</v>
      </c>
      <c r="S25" s="32" t="str">
        <f>$R$29</f>
        <v>2021-22</v>
      </c>
      <c r="T25" s="3"/>
      <c r="U25" s="32" t="str">
        <f>$U$29</f>
        <v>2022-23</v>
      </c>
      <c r="V25" s="32" t="str">
        <f>$U$29</f>
        <v>2022-23</v>
      </c>
      <c r="W25" s="32" t="str">
        <f>$U$29</f>
        <v>2022-23</v>
      </c>
      <c r="X25" s="32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5" customFormat="1" ht="15.5" x14ac:dyDescent="0.35">
      <c r="F26" s="34" t="s">
        <v>39</v>
      </c>
      <c r="G26" s="107" t="s">
        <v>138</v>
      </c>
      <c r="H26" s="32"/>
      <c r="I26" s="32"/>
      <c r="J26" s="32"/>
      <c r="K26" s="3"/>
      <c r="L26" s="3"/>
      <c r="M26" s="3"/>
      <c r="N26" s="32"/>
      <c r="O26" s="32"/>
      <c r="P26" s="32"/>
      <c r="Q26" s="32"/>
      <c r="R26" s="32"/>
      <c r="S26" s="32"/>
      <c r="T26" s="3"/>
      <c r="U26" s="32"/>
      <c r="V26" s="32"/>
      <c r="W26" s="32"/>
      <c r="X26" s="32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35">
      <c r="F27" s="332" t="s">
        <v>33</v>
      </c>
      <c r="G27" s="82"/>
      <c r="H27" s="333" t="s">
        <v>6</v>
      </c>
      <c r="I27" s="333"/>
      <c r="J27" s="333"/>
      <c r="K27" s="333"/>
      <c r="L27" s="333"/>
      <c r="M27" s="333"/>
      <c r="N27" s="333"/>
      <c r="O27" s="333"/>
      <c r="P27" s="219"/>
      <c r="Q27" s="333" t="s">
        <v>6</v>
      </c>
      <c r="R27" s="333"/>
      <c r="S27" s="333"/>
      <c r="T27" s="333"/>
      <c r="U27" s="333"/>
      <c r="V27" s="333"/>
      <c r="W27" s="333"/>
      <c r="X27" s="333"/>
      <c r="Y27" s="219"/>
      <c r="Z27" s="333" t="s">
        <v>73</v>
      </c>
      <c r="AA27" s="333"/>
      <c r="AB27" s="333"/>
      <c r="AC27" s="333"/>
      <c r="AD27" s="333"/>
      <c r="AE27" s="333"/>
      <c r="AF27" s="333"/>
      <c r="AG27" s="333"/>
    </row>
    <row r="28" spans="2:34" ht="15" thickBot="1" x14ac:dyDescent="0.4">
      <c r="F28" s="332"/>
      <c r="G28" s="82"/>
      <c r="H28" s="335" t="s">
        <v>136</v>
      </c>
      <c r="I28" s="335"/>
      <c r="J28" s="335"/>
      <c r="K28" s="335"/>
      <c r="L28" s="335"/>
      <c r="M28" s="335"/>
      <c r="N28" s="335"/>
      <c r="O28" s="335"/>
      <c r="P28" s="219"/>
      <c r="Q28" s="335" t="s">
        <v>137</v>
      </c>
      <c r="R28" s="335"/>
      <c r="S28" s="335"/>
      <c r="T28" s="335"/>
      <c r="U28" s="335"/>
      <c r="V28" s="335"/>
      <c r="W28" s="335"/>
      <c r="X28" s="335"/>
      <c r="Y28" s="219"/>
      <c r="Z28" s="335" t="s">
        <v>136</v>
      </c>
      <c r="AA28" s="335"/>
      <c r="AB28" s="335"/>
      <c r="AC28" s="335"/>
      <c r="AD28" s="335"/>
      <c r="AE28" s="335"/>
      <c r="AF28" s="335"/>
      <c r="AG28" s="335"/>
    </row>
    <row r="29" spans="2:34" ht="15" customHeight="1" thickTop="1" x14ac:dyDescent="0.35">
      <c r="F29" s="332"/>
      <c r="G29" s="83"/>
      <c r="H29" s="219" t="s">
        <v>63</v>
      </c>
      <c r="I29" s="334" t="str">
        <f>PY</f>
        <v>2021-22</v>
      </c>
      <c r="J29" s="334"/>
      <c r="K29" s="219"/>
      <c r="L29" s="334" t="str">
        <f>FY</f>
        <v>2022-23</v>
      </c>
      <c r="M29" s="334"/>
      <c r="N29" s="334"/>
      <c r="O29" s="334"/>
      <c r="P29" s="277"/>
      <c r="Q29" s="219" t="s">
        <v>63</v>
      </c>
      <c r="R29" s="334" t="str">
        <f>PY</f>
        <v>2021-22</v>
      </c>
      <c r="S29" s="334"/>
      <c r="T29" s="219"/>
      <c r="U29" s="334" t="str">
        <f>FY</f>
        <v>2022-23</v>
      </c>
      <c r="V29" s="334"/>
      <c r="W29" s="334"/>
      <c r="X29" s="334"/>
      <c r="Y29" s="277"/>
      <c r="Z29" s="219" t="s">
        <v>63</v>
      </c>
      <c r="AA29" s="334" t="str">
        <f>PY</f>
        <v>2021-22</v>
      </c>
      <c r="AB29" s="334"/>
      <c r="AC29" s="219"/>
      <c r="AD29" s="334" t="str">
        <f>FY</f>
        <v>2022-23</v>
      </c>
      <c r="AE29" s="334"/>
      <c r="AF29" s="334"/>
      <c r="AG29" s="334"/>
    </row>
    <row r="30" spans="2:34" ht="26" x14ac:dyDescent="0.35">
      <c r="F30" s="332"/>
      <c r="G30" s="83"/>
      <c r="H30" s="264"/>
      <c r="I30" s="265" t="s">
        <v>23</v>
      </c>
      <c r="J30" s="265" t="s">
        <v>25</v>
      </c>
      <c r="K30" s="266"/>
      <c r="L30" s="265" t="s">
        <v>22</v>
      </c>
      <c r="M30" s="267" t="s">
        <v>175</v>
      </c>
      <c r="N30" s="265" t="s">
        <v>23</v>
      </c>
      <c r="O30" s="265" t="s">
        <v>25</v>
      </c>
      <c r="P30" s="265"/>
      <c r="Q30" s="266"/>
      <c r="R30" s="265" t="s">
        <v>23</v>
      </c>
      <c r="S30" s="265" t="s">
        <v>25</v>
      </c>
      <c r="T30" s="266"/>
      <c r="U30" s="265" t="s">
        <v>22</v>
      </c>
      <c r="V30" s="267" t="s">
        <v>45</v>
      </c>
      <c r="W30" s="265" t="s">
        <v>23</v>
      </c>
      <c r="X30" s="265" t="s">
        <v>25</v>
      </c>
      <c r="Y30" s="265"/>
      <c r="Z30" s="266"/>
      <c r="AA30" s="265" t="s">
        <v>23</v>
      </c>
      <c r="AB30" s="265" t="s">
        <v>25</v>
      </c>
      <c r="AC30" s="266"/>
      <c r="AD30" s="265" t="s">
        <v>22</v>
      </c>
      <c r="AE30" s="267" t="s">
        <v>45</v>
      </c>
      <c r="AF30" s="265" t="s">
        <v>23</v>
      </c>
      <c r="AG30" s="265" t="s">
        <v>25</v>
      </c>
    </row>
    <row r="31" spans="2:34" ht="15" customHeight="1" x14ac:dyDescent="0.35">
      <c r="F31" s="332"/>
      <c r="G31" s="83"/>
      <c r="H31" s="265" t="s">
        <v>64</v>
      </c>
      <c r="I31" s="265" t="s">
        <v>41</v>
      </c>
      <c r="J31" s="265" t="s">
        <v>29</v>
      </c>
      <c r="K31" s="266"/>
      <c r="L31" s="265" t="s">
        <v>29</v>
      </c>
      <c r="M31" s="265" t="s">
        <v>29</v>
      </c>
      <c r="N31" s="265" t="s">
        <v>41</v>
      </c>
      <c r="O31" s="265" t="s">
        <v>29</v>
      </c>
      <c r="P31" s="265"/>
      <c r="Q31" s="265"/>
      <c r="R31" s="265" t="s">
        <v>41</v>
      </c>
      <c r="S31" s="265" t="s">
        <v>29</v>
      </c>
      <c r="T31" s="266"/>
      <c r="U31" s="265" t="s">
        <v>29</v>
      </c>
      <c r="V31" s="265" t="s">
        <v>29</v>
      </c>
      <c r="W31" s="265" t="s">
        <v>41</v>
      </c>
      <c r="X31" s="265" t="s">
        <v>29</v>
      </c>
      <c r="Y31" s="265"/>
      <c r="Z31" s="265"/>
      <c r="AA31" s="265" t="s">
        <v>41</v>
      </c>
      <c r="AB31" s="265" t="s">
        <v>29</v>
      </c>
      <c r="AC31" s="266"/>
      <c r="AD31" s="265" t="s">
        <v>29</v>
      </c>
      <c r="AE31" s="265" t="s">
        <v>29</v>
      </c>
      <c r="AF31" s="265" t="s">
        <v>41</v>
      </c>
      <c r="AG31" s="265" t="s">
        <v>29</v>
      </c>
    </row>
    <row r="32" spans="2:34" ht="15" customHeight="1" x14ac:dyDescent="0.35">
      <c r="F32" s="48" t="str">
        <f>"DMO "&amp;PY&amp;" price"</f>
        <v>DMO 2021-22 price</v>
      </c>
      <c r="G32" s="48"/>
      <c r="H32" s="268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1609</v>
      </c>
      <c r="I32" s="269"/>
      <c r="J32" s="269"/>
      <c r="K32" s="269"/>
      <c r="L32" s="269"/>
      <c r="M32" s="269"/>
      <c r="N32" s="269"/>
      <c r="O32" s="269"/>
      <c r="P32" s="269"/>
      <c r="Q32" s="268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2014</v>
      </c>
      <c r="R32" s="268"/>
      <c r="S32" s="269"/>
      <c r="T32" s="269"/>
      <c r="U32" s="269"/>
      <c r="V32" s="269"/>
      <c r="W32" s="270"/>
      <c r="X32" s="269"/>
      <c r="Y32" s="270"/>
      <c r="Z32" s="268"/>
      <c r="AA32" s="268"/>
      <c r="AB32" s="269"/>
      <c r="AC32" s="269"/>
      <c r="AD32" s="269"/>
      <c r="AE32" s="269"/>
      <c r="AF32" s="269"/>
      <c r="AG32" s="269"/>
    </row>
    <row r="33" spans="2:33" ht="15" customHeight="1" x14ac:dyDescent="0.35">
      <c r="F33" s="49" t="s">
        <v>58</v>
      </c>
      <c r="G33" s="49"/>
      <c r="H33" s="270"/>
      <c r="I33" s="268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622.77787000000001</v>
      </c>
      <c r="J33" s="269">
        <f t="shared" ref="J33:J38" ca="1" si="0">I33/H$32</f>
        <v>0.38705896208825358</v>
      </c>
      <c r="K33" s="269"/>
      <c r="L33" s="271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4.9623279003153886E-2</v>
      </c>
      <c r="M33" s="269">
        <f ca="1">J33*L33</f>
        <v>1.9207134866376568E-2</v>
      </c>
      <c r="N33" s="268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653.68214999999987</v>
      </c>
      <c r="O33" s="269">
        <f t="shared" ref="O33:O38" ca="1" si="1">N33/H$39</f>
        <v>0.35605618887075663</v>
      </c>
      <c r="P33" s="269"/>
      <c r="Q33" s="269"/>
      <c r="R33" s="268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727.84738840000011</v>
      </c>
      <c r="S33" s="269">
        <f t="shared" ref="S33:S38" ca="1" si="2">R33/Q$32</f>
        <v>0.36139393664349556</v>
      </c>
      <c r="T33" s="269"/>
      <c r="U33" s="271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5.8333258422941014E-2</v>
      </c>
      <c r="V33" s="269">
        <f ca="1">S33*U33</f>
        <v>2.1081285898708998E-2</v>
      </c>
      <c r="W33" s="268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770.30509819999997</v>
      </c>
      <c r="X33" s="269">
        <f t="shared" ref="X33:X38" ca="1" si="3">W33/Q$39</f>
        <v>0.32331392982489726</v>
      </c>
      <c r="Y33" s="270"/>
      <c r="Z33" s="270"/>
      <c r="AA33" s="268"/>
      <c r="AB33" s="269"/>
      <c r="AC33" s="269"/>
      <c r="AD33" s="271"/>
      <c r="AE33" s="269"/>
      <c r="AF33" s="268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1262.7708500000001</v>
      </c>
      <c r="AG33" s="269">
        <f t="shared" ref="AG33:AG38" ca="1" si="4">AF33/Z$39</f>
        <v>0.33385867399919511</v>
      </c>
    </row>
    <row r="34" spans="2:33" ht="15" customHeight="1" x14ac:dyDescent="0.35">
      <c r="F34" s="49" t="s">
        <v>59</v>
      </c>
      <c r="G34" s="49"/>
      <c r="H34" s="270"/>
      <c r="I34" s="268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475.77530000000002</v>
      </c>
      <c r="J34" s="269">
        <f t="shared" ca="1" si="0"/>
        <v>0.29569627097576134</v>
      </c>
      <c r="K34" s="269"/>
      <c r="L34" s="271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0.40761300555114999</v>
      </c>
      <c r="M34" s="269">
        <f ca="1">J34*L34</f>
        <v>0.12052964574269735</v>
      </c>
      <c r="N34" s="268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669.7075000000001</v>
      </c>
      <c r="O34" s="269">
        <f t="shared" ca="1" si="1"/>
        <v>0.3647850872295692</v>
      </c>
      <c r="P34" s="269"/>
      <c r="Q34" s="269"/>
      <c r="R34" s="268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706.46619999999996</v>
      </c>
      <c r="S34" s="269">
        <f t="shared" ca="1" si="2"/>
        <v>0.35077765640516384</v>
      </c>
      <c r="T34" s="269"/>
      <c r="U34" s="271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0.39822683661299019</v>
      </c>
      <c r="V34" s="269">
        <f ca="1">S34*U34</f>
        <v>0.13968907646474679</v>
      </c>
      <c r="W34" s="268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987.8</v>
      </c>
      <c r="X34" s="269">
        <f t="shared" ca="1" si="3"/>
        <v>0.41460130619324198</v>
      </c>
      <c r="Y34" s="270"/>
      <c r="Z34" s="270"/>
      <c r="AA34" s="268"/>
      <c r="AB34" s="269"/>
      <c r="AC34" s="269"/>
      <c r="AD34" s="271"/>
      <c r="AE34" s="269"/>
      <c r="AF34" s="268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1366.75</v>
      </c>
      <c r="AG34" s="269">
        <f t="shared" ca="1" si="4"/>
        <v>0.36134928414636736</v>
      </c>
    </row>
    <row r="35" spans="2:33" ht="15" customHeight="1" x14ac:dyDescent="0.35">
      <c r="F35" s="49" t="s">
        <v>60</v>
      </c>
      <c r="G35" s="49"/>
      <c r="H35" s="270"/>
      <c r="I35" s="268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104.0809</v>
      </c>
      <c r="J35" s="269">
        <f t="shared" ca="1" si="0"/>
        <v>6.4686699813548784E-2</v>
      </c>
      <c r="K35" s="269"/>
      <c r="L35" s="271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7.8197824961160123E-2</v>
      </c>
      <c r="M35" s="269">
        <f ca="1">J35*L35</f>
        <v>5.0583592293349973E-3</v>
      </c>
      <c r="N35" s="268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112.21980000000001</v>
      </c>
      <c r="O35" s="269">
        <f t="shared" ca="1" si="1"/>
        <v>6.112535626655638E-2</v>
      </c>
      <c r="P35" s="269"/>
      <c r="Q35" s="269"/>
      <c r="R35" s="268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157.18340000000001</v>
      </c>
      <c r="S35" s="269">
        <f t="shared" ca="1" si="2"/>
        <v>7.804538232373387E-2</v>
      </c>
      <c r="T35" s="269"/>
      <c r="U35" s="271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7.8197824961159901E-2</v>
      </c>
      <c r="V35" s="269">
        <f ca="1">S35*U35</f>
        <v>6.1029791459781442E-3</v>
      </c>
      <c r="W35" s="268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169.47479999999999</v>
      </c>
      <c r="X35" s="269">
        <f t="shared" ca="1" si="3"/>
        <v>7.1132287352539417E-2</v>
      </c>
      <c r="Y35" s="270"/>
      <c r="Z35" s="270"/>
      <c r="AA35" s="268"/>
      <c r="AB35" s="269"/>
      <c r="AC35" s="269"/>
      <c r="AD35" s="271"/>
      <c r="AE35" s="269"/>
      <c r="AF35" s="268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229.01999999999998</v>
      </c>
      <c r="AG35" s="269">
        <f t="shared" ca="1" si="4"/>
        <v>6.0549634574868158E-2</v>
      </c>
    </row>
    <row r="36" spans="2:33" ht="15" customHeight="1" x14ac:dyDescent="0.35">
      <c r="F36" s="49" t="s">
        <v>196</v>
      </c>
      <c r="G36" s="49"/>
      <c r="H36" s="270"/>
      <c r="I36" s="268">
        <f ca="1">H32-SUM(I33:I35)</f>
        <v>406.36592999999993</v>
      </c>
      <c r="J36" s="269">
        <f t="shared" ca="1" si="0"/>
        <v>0.25255806712243628</v>
      </c>
      <c r="K36" s="269"/>
      <c r="L36" s="269">
        <f ca="1">(N36-I36)/I36</f>
        <v>-1</v>
      </c>
      <c r="M36" s="269">
        <f ca="1">J36*L36</f>
        <v>-0.25255806712243628</v>
      </c>
      <c r="N36" s="268">
        <v>0</v>
      </c>
      <c r="O36" s="269">
        <f t="shared" ca="1" si="1"/>
        <v>0</v>
      </c>
      <c r="P36" s="269"/>
      <c r="Q36" s="269"/>
      <c r="R36" s="268">
        <f ca="1">Q32-SUM(R33:R35)</f>
        <v>422.50301159999981</v>
      </c>
      <c r="S36" s="269">
        <f t="shared" ca="1" si="2"/>
        <v>0.20978302462760665</v>
      </c>
      <c r="T36" s="269"/>
      <c r="U36" s="269">
        <f ca="1">(W36-R36)/R36</f>
        <v>-1</v>
      </c>
      <c r="V36" s="269">
        <f ca="1">S36*U36</f>
        <v>-0.20978302462760665</v>
      </c>
      <c r="W36" s="268">
        <v>0</v>
      </c>
      <c r="X36" s="269">
        <f t="shared" ca="1" si="3"/>
        <v>0</v>
      </c>
      <c r="Y36" s="270"/>
      <c r="Z36" s="270"/>
      <c r="AA36" s="268"/>
      <c r="AB36" s="269"/>
      <c r="AC36" s="269"/>
      <c r="AD36" s="269"/>
      <c r="AE36" s="269"/>
      <c r="AF36" s="268">
        <v>0</v>
      </c>
      <c r="AG36" s="269">
        <f t="shared" ca="1" si="4"/>
        <v>0</v>
      </c>
    </row>
    <row r="37" spans="2:33" ht="15" customHeight="1" x14ac:dyDescent="0.35">
      <c r="F37" s="49" t="s">
        <v>193</v>
      </c>
      <c r="G37" s="49"/>
      <c r="H37" s="270"/>
      <c r="I37" s="268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69">
        <f t="shared" ca="1" si="0"/>
        <v>0</v>
      </c>
      <c r="K37" s="269"/>
      <c r="L37" s="276" t="str">
        <f ca="1">IFERROR((N37-I37)/I37,"New cost component")</f>
        <v>New cost component</v>
      </c>
      <c r="M37" s="271">
        <f ca="1">(N37-I37)/H32</f>
        <v>0.13467805665954566</v>
      </c>
      <c r="N37" s="268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216.69699316520897</v>
      </c>
      <c r="O37" s="269">
        <f t="shared" ca="1" si="1"/>
        <v>0.1180333676331176</v>
      </c>
      <c r="P37" s="269"/>
      <c r="Q37" s="269"/>
      <c r="R37" s="268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69">
        <f t="shared" ca="1" si="2"/>
        <v>0</v>
      </c>
      <c r="T37" s="269"/>
      <c r="U37" s="276" t="str">
        <f ca="1">IFERROR((W37-R37)/R37,"New cost component")</f>
        <v>New cost component</v>
      </c>
      <c r="V37" s="271">
        <f ca="1">(W37-R37)/Q32</f>
        <v>0.10759532927766086</v>
      </c>
      <c r="W37" s="268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216.69699316520897</v>
      </c>
      <c r="X37" s="269">
        <f t="shared" ca="1" si="3"/>
        <v>9.0952476629321391E-2</v>
      </c>
      <c r="Y37" s="270"/>
      <c r="Z37" s="270"/>
      <c r="AA37" s="268"/>
      <c r="AB37" s="269"/>
      <c r="AC37" s="269"/>
      <c r="AD37" s="275"/>
      <c r="AE37" s="271"/>
      <c r="AF37" s="268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295.94028504020901</v>
      </c>
      <c r="AG37" s="269">
        <f t="shared" ca="1" si="4"/>
        <v>7.8242407279569368E-2</v>
      </c>
    </row>
    <row r="38" spans="2:33" ht="15" customHeight="1" x14ac:dyDescent="0.35">
      <c r="F38" s="49" t="s">
        <v>195</v>
      </c>
      <c r="G38" s="49"/>
      <c r="H38" s="270"/>
      <c r="I38" s="268">
        <v>0</v>
      </c>
      <c r="J38" s="269">
        <f t="shared" si="0"/>
        <v>0</v>
      </c>
      <c r="K38" s="269"/>
      <c r="L38" s="276" t="str">
        <f ca="1">IFERROR((N38-I38)/I38,"New cost component")</f>
        <v>New cost component</v>
      </c>
      <c r="M38" s="271">
        <f ca="1">(N38-I38)/H32</f>
        <v>0.11410168104172429</v>
      </c>
      <c r="N38" s="268">
        <f ca="1">SUM(N33:N37)/(1-SUMIFS('Detail inputs'!$J:$J,'Detail inputs'!$B:$B,$B$6,'Detail inputs'!$G:$G,$F$38,'Detail inputs'!$D:$D,$H$27,'Detail inputs'!$E:$E,H28))-SUM(N33:N37)</f>
        <v>183.58960479613438</v>
      </c>
      <c r="O38" s="269">
        <f t="shared" ca="1" si="1"/>
        <v>0.1</v>
      </c>
      <c r="P38" s="269"/>
      <c r="Q38" s="269"/>
      <c r="R38" s="268">
        <v>0</v>
      </c>
      <c r="S38" s="269">
        <f t="shared" si="2"/>
        <v>0</v>
      </c>
      <c r="T38" s="269"/>
      <c r="U38" s="276" t="str">
        <f ca="1">IFERROR((W38-R38)/R38,"New cost component")</f>
        <v>New cost component</v>
      </c>
      <c r="V38" s="271">
        <f ca="1">(W38-R38)/Q32</f>
        <v>0.11829840512883193</v>
      </c>
      <c r="W38" s="268">
        <f ca="1">SUM(W33:W37)/(1-SUMIFS('Detail inputs'!$J:$J,'Detail inputs'!$B:$B,$B$6,'Detail inputs'!$G:$G,$F$38,'Detail inputs'!$D:$D,$Q$27,'Detail inputs'!$E:$E,Q28))-SUM(W33:W37)</f>
        <v>238.25298792946751</v>
      </c>
      <c r="X38" s="269">
        <f t="shared" ca="1" si="3"/>
        <v>9.9999999999999936E-2</v>
      </c>
      <c r="Y38" s="270"/>
      <c r="Z38" s="270"/>
      <c r="AA38" s="268"/>
      <c r="AB38" s="269"/>
      <c r="AC38" s="269"/>
      <c r="AD38" s="275"/>
      <c r="AE38" s="271"/>
      <c r="AF38" s="268">
        <f ca="1">SUM(AF33:AF37)/(1-SUMIFS('Detail inputs'!$J:$J,'Detail inputs'!$B:$B,$B$6,'Detail inputs'!$G:$G,$F$38,'Detail inputs'!$D:$D,$Z$27,'Detail inputs'!$E:$E,Z28))-SUM(AF33:AF37)</f>
        <v>627.87034582335127</v>
      </c>
      <c r="AG38" s="269">
        <f t="shared" ca="1" si="4"/>
        <v>0.16600000000000009</v>
      </c>
    </row>
    <row r="39" spans="2:33" ht="15" thickBot="1" x14ac:dyDescent="0.4">
      <c r="B39" s="81"/>
      <c r="F39" s="77" t="str">
        <f>"DMO "&amp;FY&amp;" price"</f>
        <v>DMO 2022-23 price</v>
      </c>
      <c r="G39" s="77"/>
      <c r="H39" s="272">
        <f ca="1">SUM(N33:N38)</f>
        <v>1835.8960479613436</v>
      </c>
      <c r="I39" s="273"/>
      <c r="J39" s="273"/>
      <c r="K39" s="273"/>
      <c r="L39" s="273">
        <f ca="1">H39/H32-1</f>
        <v>0.14101681041724268</v>
      </c>
      <c r="M39" s="273"/>
      <c r="N39" s="273"/>
      <c r="O39" s="273"/>
      <c r="P39" s="273"/>
      <c r="Q39" s="272">
        <f ca="1">SUM(W33:W38)</f>
        <v>2382.5298792946764</v>
      </c>
      <c r="R39" s="272"/>
      <c r="S39" s="273"/>
      <c r="T39" s="273"/>
      <c r="U39" s="273">
        <f ca="1">Q39/Q32-1</f>
        <v>0.18298405128832007</v>
      </c>
      <c r="V39" s="273"/>
      <c r="W39" s="274"/>
      <c r="X39" s="274"/>
      <c r="Y39" s="274"/>
      <c r="Z39" s="272">
        <f ca="1">SUM(AF33:AF38)</f>
        <v>3782.35148086356</v>
      </c>
      <c r="AA39" s="272"/>
      <c r="AB39" s="273"/>
      <c r="AC39" s="273"/>
      <c r="AD39" s="273"/>
      <c r="AE39" s="273"/>
      <c r="AF39" s="273"/>
      <c r="AG39" s="273"/>
    </row>
    <row r="40" spans="2:33" ht="15" thickTop="1" x14ac:dyDescent="0.35">
      <c r="F40" s="120"/>
    </row>
    <row r="41" spans="2:33" x14ac:dyDescent="0.35">
      <c r="F41" s="107"/>
    </row>
    <row r="43" spans="2:33" x14ac:dyDescent="0.35">
      <c r="F43" s="120"/>
      <c r="O43" s="199"/>
    </row>
    <row r="44" spans="2:33" s="105" customFormat="1" ht="12" x14ac:dyDescent="0.35">
      <c r="H44" s="106"/>
    </row>
    <row r="48" spans="2:33" x14ac:dyDescent="0.35">
      <c r="H48" s="79"/>
    </row>
  </sheetData>
  <mergeCells count="15">
    <mergeCell ref="A1:B1"/>
    <mergeCell ref="B6:B7"/>
    <mergeCell ref="F27:F31"/>
    <mergeCell ref="H27:O27"/>
    <mergeCell ref="Q27:X27"/>
    <mergeCell ref="L29:O29"/>
    <mergeCell ref="R29:S29"/>
    <mergeCell ref="U29:X29"/>
    <mergeCell ref="Z27:AG27"/>
    <mergeCell ref="H28:O28"/>
    <mergeCell ref="Q28:X28"/>
    <mergeCell ref="Z28:AG28"/>
    <mergeCell ref="I29:J29"/>
    <mergeCell ref="AA29:AB29"/>
    <mergeCell ref="AD29:AG29"/>
  </mergeCells>
  <conditionalFormatting sqref="F36:H37 Y39:AE39 F39:M39 P39:V39 F32:AG35 Y36:Z37 V37 AE37 J36:Q37 F38:T38 V38:AC38 AE38:AG38">
    <cfRule type="expression" dxfId="1599" priority="56">
      <formula>MOD(ROW(),2)=0</formula>
    </cfRule>
    <cfRule type="expression" dxfId="1598" priority="57">
      <formula>AND(MOD(ROW(),2)=0,F$30="Proportion",$F32="Overall change in costs (%)")</formula>
    </cfRule>
    <cfRule type="expression" dxfId="1597" priority="58">
      <formula>AND(MOD(ROW(),1)=0,F$30="Proportion",$F32="Overall change in costs (%)")</formula>
    </cfRule>
  </conditionalFormatting>
  <conditionalFormatting sqref="P44:R44 G44:J44 Y44:AA44 M44:N44">
    <cfRule type="cellIs" dxfId="1596" priority="54" operator="equal">
      <formula>FALSE</formula>
    </cfRule>
    <cfRule type="cellIs" dxfId="1595" priority="55" operator="equal">
      <formula>TRUE</formula>
    </cfRule>
  </conditionalFormatting>
  <conditionalFormatting sqref="O39 X39 AG39">
    <cfRule type="expression" dxfId="1594" priority="59">
      <formula>MOD(ROW(),2)=0</formula>
    </cfRule>
    <cfRule type="expression" dxfId="1593" priority="60">
      <formula>AND(MOD(ROW(),2)=0,N$30="Proportion",$F39="Overall change in costs (%)")</formula>
    </cfRule>
    <cfRule type="expression" dxfId="1592" priority="61">
      <formula>AND(MOD(ROW(),1)=0,N$30="Proportion",$F39="Overall change in costs (%)")</formula>
    </cfRule>
  </conditionalFormatting>
  <conditionalFormatting sqref="N39 W39 AF39">
    <cfRule type="expression" dxfId="1591" priority="62">
      <formula>MOD(ROW(),2)=0</formula>
    </cfRule>
    <cfRule type="expression" dxfId="1590" priority="63">
      <formula>AND(MOD(ROW(),2)=0,#REF!="Proportion",$F39="Overall change in costs (%)")</formula>
    </cfRule>
    <cfRule type="expression" dxfId="1589" priority="64">
      <formula>AND(MOD(ROW(),1)=0,#REF!="Proportion",$F39="Overall change in costs (%)")</formula>
    </cfRule>
  </conditionalFormatting>
  <conditionalFormatting sqref="O44">
    <cfRule type="cellIs" dxfId="1588" priority="52" operator="equal">
      <formula>FALSE</formula>
    </cfRule>
    <cfRule type="cellIs" dxfId="1587" priority="53" operator="equal">
      <formula>TRUE</formula>
    </cfRule>
  </conditionalFormatting>
  <conditionalFormatting sqref="S44:T44">
    <cfRule type="cellIs" dxfId="1586" priority="50" operator="equal">
      <formula>FALSE</formula>
    </cfRule>
    <cfRule type="cellIs" dxfId="1585" priority="51" operator="equal">
      <formula>TRUE</formula>
    </cfRule>
  </conditionalFormatting>
  <conditionalFormatting sqref="X44">
    <cfRule type="cellIs" dxfId="1584" priority="48" operator="equal">
      <formula>FALSE</formula>
    </cfRule>
    <cfRule type="cellIs" dxfId="1583" priority="49" operator="equal">
      <formula>TRUE</formula>
    </cfRule>
  </conditionalFormatting>
  <conditionalFormatting sqref="W44">
    <cfRule type="cellIs" dxfId="1582" priority="46" operator="equal">
      <formula>FALSE</formula>
    </cfRule>
    <cfRule type="cellIs" dxfId="1581" priority="47" operator="equal">
      <formula>TRUE</formula>
    </cfRule>
  </conditionalFormatting>
  <conditionalFormatting sqref="AB44:AC44">
    <cfRule type="cellIs" dxfId="1580" priority="44" operator="equal">
      <formula>FALSE</formula>
    </cfRule>
    <cfRule type="cellIs" dxfId="1579" priority="45" operator="equal">
      <formula>TRUE</formula>
    </cfRule>
  </conditionalFormatting>
  <conditionalFormatting sqref="AG44">
    <cfRule type="cellIs" dxfId="1578" priority="42" operator="equal">
      <formula>FALSE</formula>
    </cfRule>
    <cfRule type="cellIs" dxfId="1577" priority="43" operator="equal">
      <formula>TRUE</formula>
    </cfRule>
  </conditionalFormatting>
  <conditionalFormatting sqref="AF44">
    <cfRule type="cellIs" dxfId="1576" priority="40" operator="equal">
      <formula>FALSE</formula>
    </cfRule>
    <cfRule type="cellIs" dxfId="1575" priority="41" operator="equal">
      <formula>TRUE</formula>
    </cfRule>
  </conditionalFormatting>
  <conditionalFormatting sqref="V44">
    <cfRule type="cellIs" dxfId="1574" priority="38" operator="equal">
      <formula>FALSE</formula>
    </cfRule>
    <cfRule type="cellIs" dxfId="1573" priority="39" operator="equal">
      <formula>TRUE</formula>
    </cfRule>
  </conditionalFormatting>
  <conditionalFormatting sqref="AE44">
    <cfRule type="cellIs" dxfId="1572" priority="36" operator="equal">
      <formula>FALSE</formula>
    </cfRule>
    <cfRule type="cellIs" dxfId="1571" priority="37" operator="equal">
      <formula>TRUE</formula>
    </cfRule>
  </conditionalFormatting>
  <conditionalFormatting sqref="AD44">
    <cfRule type="cellIs" dxfId="1570" priority="34" operator="equal">
      <formula>FALSE</formula>
    </cfRule>
    <cfRule type="cellIs" dxfId="1569" priority="35" operator="equal">
      <formula>TRUE</formula>
    </cfRule>
  </conditionalFormatting>
  <conditionalFormatting sqref="U44">
    <cfRule type="cellIs" dxfId="1568" priority="32" operator="equal">
      <formula>FALSE</formula>
    </cfRule>
    <cfRule type="cellIs" dxfId="1567" priority="33" operator="equal">
      <formula>TRUE</formula>
    </cfRule>
  </conditionalFormatting>
  <conditionalFormatting sqref="K44">
    <cfRule type="cellIs" dxfId="1566" priority="30" operator="equal">
      <formula>FALSE</formula>
    </cfRule>
    <cfRule type="cellIs" dxfId="1565" priority="31" operator="equal">
      <formula>TRUE</formula>
    </cfRule>
  </conditionalFormatting>
  <conditionalFormatting sqref="L44">
    <cfRule type="cellIs" dxfId="1564" priority="28" operator="equal">
      <formula>FALSE</formula>
    </cfRule>
    <cfRule type="cellIs" dxfId="1563" priority="29" operator="equal">
      <formula>TRUE</formula>
    </cfRule>
  </conditionalFormatting>
  <conditionalFormatting sqref="I36">
    <cfRule type="expression" dxfId="1562" priority="65">
      <formula>MOD(ROW(),2)=0</formula>
    </cfRule>
    <cfRule type="expression" dxfId="1561" priority="66">
      <formula>AND(MOD(ROW(),2)=0,I$30="Proportion",$F37="Overall change in costs (%)")</formula>
    </cfRule>
    <cfRule type="expression" dxfId="1560" priority="67">
      <formula>AND(MOD(ROW(),1)=0,I$30="Proportion",$F37="Overall change in costs (%)")</formula>
    </cfRule>
  </conditionalFormatting>
  <conditionalFormatting sqref="I37">
    <cfRule type="expression" dxfId="1559" priority="25">
      <formula>MOD(ROW(),2)=0</formula>
    </cfRule>
    <cfRule type="expression" dxfId="1558" priority="26">
      <formula>AND(MOD(ROW(),2)=0,I$30="Proportion",$F37="Overall change in costs (%)")</formula>
    </cfRule>
    <cfRule type="expression" dxfId="1557" priority="27">
      <formula>AND(MOD(ROW(),1)=0,I$30="Proportion",$F37="Overall change in costs (%)")</formula>
    </cfRule>
  </conditionalFormatting>
  <conditionalFormatting sqref="S36:X36 S37:U37 W37:X37">
    <cfRule type="expression" dxfId="1556" priority="19">
      <formula>MOD(ROW(),2)=0</formula>
    </cfRule>
    <cfRule type="expression" dxfId="1555" priority="20">
      <formula>AND(MOD(ROW(),2)=0,S$30="Proportion",$F36="Overall change in costs (%)")</formula>
    </cfRule>
    <cfRule type="expression" dxfId="1554" priority="21">
      <formula>AND(MOD(ROW(),1)=0,S$30="Proportion",$F36="Overall change in costs (%)")</formula>
    </cfRule>
  </conditionalFormatting>
  <conditionalFormatting sqref="R36">
    <cfRule type="expression" dxfId="1553" priority="22">
      <formula>MOD(ROW(),2)=0</formula>
    </cfRule>
    <cfRule type="expression" dxfId="1552" priority="23">
      <formula>AND(MOD(ROW(),2)=0,R$30="Proportion",$F37="Overall change in costs (%)")</formula>
    </cfRule>
    <cfRule type="expression" dxfId="1551" priority="24">
      <formula>AND(MOD(ROW(),1)=0,R$30="Proportion",$F37="Overall change in costs (%)")</formula>
    </cfRule>
  </conditionalFormatting>
  <conditionalFormatting sqref="R37">
    <cfRule type="expression" dxfId="1550" priority="16">
      <formula>MOD(ROW(),2)=0</formula>
    </cfRule>
    <cfRule type="expression" dxfId="1549" priority="17">
      <formula>AND(MOD(ROW(),2)=0,R$30="Proportion",$F37="Overall change in costs (%)")</formula>
    </cfRule>
    <cfRule type="expression" dxfId="1548" priority="18">
      <formula>AND(MOD(ROW(),1)=0,R$30="Proportion",$F37="Overall change in costs (%)")</formula>
    </cfRule>
  </conditionalFormatting>
  <conditionalFormatting sqref="AB36:AG36 AB37:AD37 AF37:AG37">
    <cfRule type="expression" dxfId="1547" priority="10">
      <formula>MOD(ROW(),2)=0</formula>
    </cfRule>
    <cfRule type="expression" dxfId="1546" priority="11">
      <formula>AND(MOD(ROW(),2)=0,AB$30="Proportion",$F36="Overall change in costs (%)")</formula>
    </cfRule>
    <cfRule type="expression" dxfId="1545" priority="12">
      <formula>AND(MOD(ROW(),1)=0,AB$30="Proportion",$F36="Overall change in costs (%)")</formula>
    </cfRule>
  </conditionalFormatting>
  <conditionalFormatting sqref="AA36">
    <cfRule type="expression" dxfId="1544" priority="13">
      <formula>MOD(ROW(),2)=0</formula>
    </cfRule>
    <cfRule type="expression" dxfId="1543" priority="14">
      <formula>AND(MOD(ROW(),2)=0,AA$30="Proportion",$F37="Overall change in costs (%)")</formula>
    </cfRule>
    <cfRule type="expression" dxfId="1542" priority="15">
      <formula>AND(MOD(ROW(),1)=0,AA$30="Proportion",$F37="Overall change in costs (%)")</formula>
    </cfRule>
  </conditionalFormatting>
  <conditionalFormatting sqref="AA37">
    <cfRule type="expression" dxfId="1541" priority="7">
      <formula>MOD(ROW(),2)=0</formula>
    </cfRule>
    <cfRule type="expression" dxfId="1540" priority="8">
      <formula>AND(MOD(ROW(),2)=0,AA$30="Proportion",$F37="Overall change in costs (%)")</formula>
    </cfRule>
    <cfRule type="expression" dxfId="1539" priority="9">
      <formula>AND(MOD(ROW(),1)=0,AA$30="Proportion",$F37="Overall change in costs (%)")</formula>
    </cfRule>
  </conditionalFormatting>
  <conditionalFormatting sqref="U38">
    <cfRule type="expression" dxfId="1538" priority="4">
      <formula>MOD(ROW(),2)=0</formula>
    </cfRule>
    <cfRule type="expression" dxfId="1537" priority="5">
      <formula>AND(MOD(ROW(),2)=0,U$30="Proportion",$F38="Overall change in costs (%)")</formula>
    </cfRule>
    <cfRule type="expression" dxfId="1536" priority="6">
      <formula>AND(MOD(ROW(),1)=0,U$30="Proportion",$F38="Overall change in costs (%)")</formula>
    </cfRule>
  </conditionalFormatting>
  <conditionalFormatting sqref="AD38">
    <cfRule type="expression" dxfId="1535" priority="1">
      <formula>MOD(ROW(),2)=0</formula>
    </cfRule>
    <cfRule type="expression" dxfId="1534" priority="2">
      <formula>AND(MOD(ROW(),2)=0,AD$30="Proportion",$F38="Overall change in costs (%)")</formula>
    </cfRule>
    <cfRule type="expression" dxfId="1533" priority="3">
      <formula>AND(MOD(ROW(),1)=0,AD$30="Proportion",$F38="Overall change in costs (%)")</formula>
    </cfRule>
  </conditionalFormatting>
  <hyperlinks>
    <hyperlink ref="A1" location="Index!A1" display="&lt;&lt;Back to Index" xr:uid="{02899E86-C1F9-41DA-9A3F-DAE2D2312876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0931-8508-4716-8D43-4290A71CBEF4}">
  <sheetPr>
    <tabColor rgb="FF00B050"/>
  </sheetPr>
  <dimension ref="A1:AH48"/>
  <sheetViews>
    <sheetView zoomScaleNormal="100" workbookViewId="0">
      <selection activeCell="A3" sqref="A3"/>
    </sheetView>
  </sheetViews>
  <sheetFormatPr defaultColWidth="8.81640625" defaultRowHeight="14.5" x14ac:dyDescent="0.35"/>
  <cols>
    <col min="1" max="1" width="1.81640625" style="3" customWidth="1"/>
    <col min="2" max="2" width="33.81640625" style="3" bestFit="1" customWidth="1"/>
    <col min="3" max="5" width="13.1796875" style="3" customWidth="1"/>
    <col min="6" max="6" width="26.81640625" style="3" customWidth="1"/>
    <col min="7" max="7" width="5.81640625" style="3" customWidth="1"/>
    <col min="8" max="10" width="10.81640625" style="3" customWidth="1"/>
    <col min="11" max="11" width="1.81640625" style="3" customWidth="1"/>
    <col min="12" max="12" width="10.81640625" style="3" customWidth="1"/>
    <col min="13" max="13" width="12.1796875" style="3" customWidth="1"/>
    <col min="14" max="14" width="13.1796875" style="3" customWidth="1"/>
    <col min="15" max="15" width="10.81640625" style="3" customWidth="1"/>
    <col min="16" max="16" width="5.81640625" style="3" customWidth="1"/>
    <col min="17" max="19" width="10.81640625" style="3" customWidth="1"/>
    <col min="20" max="20" width="1.81640625" style="3" customWidth="1"/>
    <col min="21" max="21" width="10.81640625" style="3" customWidth="1"/>
    <col min="22" max="22" width="12.1796875" style="3" customWidth="1"/>
    <col min="23" max="23" width="13.1796875" style="3" customWidth="1"/>
    <col min="24" max="24" width="10.81640625" style="3" customWidth="1"/>
    <col min="25" max="25" width="5.81640625" style="3" customWidth="1"/>
    <col min="26" max="28" width="10.81640625" style="3" customWidth="1"/>
    <col min="29" max="29" width="1.81640625" style="3" customWidth="1"/>
    <col min="30" max="30" width="10.81640625" style="3" customWidth="1"/>
    <col min="31" max="31" width="12.1796875" style="3" customWidth="1"/>
    <col min="32" max="32" width="8.81640625" style="3" customWidth="1"/>
    <col min="33" max="33" width="10.81640625" style="3" customWidth="1"/>
    <col min="34" max="16384" width="8.81640625" style="3"/>
  </cols>
  <sheetData>
    <row r="1" spans="1:34" ht="10.4" customHeight="1" x14ac:dyDescent="0.35">
      <c r="A1" s="302" t="s">
        <v>20</v>
      </c>
      <c r="B1" s="307"/>
    </row>
    <row r="2" spans="1:34" s="13" customFormat="1" ht="22.5" customHeight="1" x14ac:dyDescent="0.35">
      <c r="A2" s="14" t="s">
        <v>3</v>
      </c>
    </row>
    <row r="3" spans="1:34" s="70" customFormat="1" ht="15" thickBot="1" x14ac:dyDescent="0.4">
      <c r="C3" s="70" t="str">
        <f>$A$2&amp;" "&amp;C6&amp;" "&amp;C7</f>
        <v>Essential Residential without CL</v>
      </c>
      <c r="D3" s="70" t="str">
        <f>$A$2&amp;" "&amp;D6&amp;" "&amp;D7</f>
        <v>Essential Residential with CL</v>
      </c>
      <c r="E3" s="70" t="str">
        <f>$A$2&amp;" "&amp;E6&amp;" "&amp;E7</f>
        <v>Essential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5" x14ac:dyDescent="0.35">
      <c r="B4" s="34" t="s">
        <v>19</v>
      </c>
      <c r="F4" s="34"/>
      <c r="G4" s="84" t="s">
        <v>88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6"/>
    </row>
    <row r="5" spans="1:34" ht="5.15" customHeight="1" x14ac:dyDescent="0.35">
      <c r="B5" s="5"/>
      <c r="G5" s="87"/>
      <c r="H5" s="8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89"/>
    </row>
    <row r="6" spans="1:34" ht="20.149999999999999" customHeight="1" x14ac:dyDescent="0.35">
      <c r="B6" s="331" t="str">
        <f>A2</f>
        <v>Essential</v>
      </c>
      <c r="C6" s="46" t="s">
        <v>6</v>
      </c>
      <c r="D6" s="46" t="s">
        <v>6</v>
      </c>
      <c r="E6" s="46" t="s">
        <v>73</v>
      </c>
      <c r="G6" s="87"/>
      <c r="H6" s="8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89"/>
    </row>
    <row r="7" spans="1:34" ht="20.149999999999999" customHeight="1" x14ac:dyDescent="0.35">
      <c r="B7" s="331"/>
      <c r="C7" s="47" t="s">
        <v>136</v>
      </c>
      <c r="D7" s="47" t="s">
        <v>137</v>
      </c>
      <c r="E7" s="47" t="s">
        <v>136</v>
      </c>
      <c r="G7" s="87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89"/>
    </row>
    <row r="8" spans="1:34" ht="2.15" customHeight="1" x14ac:dyDescent="0.35">
      <c r="B8" s="32"/>
      <c r="C8" s="33"/>
      <c r="D8" s="33"/>
      <c r="E8" s="33"/>
      <c r="G8" s="87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89"/>
    </row>
    <row r="9" spans="1:34" s="44" customFormat="1" ht="30" customHeight="1" x14ac:dyDescent="0.35">
      <c r="B9" s="50" t="str">
        <f>"DMO "&amp;FY&amp;" price ($ pa, inc GST)"</f>
        <v>DMO 2022-23 price ($ pa, inc GST)</v>
      </c>
      <c r="C9" s="177">
        <f ca="1">ROUND(H39,0)</f>
        <v>2092</v>
      </c>
      <c r="D9" s="177">
        <f ca="1">ROUND(Q39,0)</f>
        <v>2490</v>
      </c>
      <c r="E9" s="177">
        <f ca="1">ROUND(Z39,0)</f>
        <v>4901</v>
      </c>
      <c r="F9" s="3"/>
      <c r="G9" s="8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90"/>
    </row>
    <row r="10" spans="1:34" ht="2.15" customHeight="1" x14ac:dyDescent="0.35">
      <c r="B10" s="51"/>
      <c r="C10" s="52"/>
      <c r="D10" s="52"/>
      <c r="E10" s="52"/>
      <c r="F10" s="44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89"/>
    </row>
    <row r="11" spans="1:34" ht="20.149999999999999" customHeight="1" x14ac:dyDescent="0.35">
      <c r="B11" s="53" t="s">
        <v>44</v>
      </c>
      <c r="C11" s="54">
        <f>SUM(C12:C13)</f>
        <v>4600</v>
      </c>
      <c r="D11" s="54">
        <f>SUM(D12:D13)</f>
        <v>6600</v>
      </c>
      <c r="E11" s="54">
        <f>SUM(E12:E13)</f>
        <v>10000</v>
      </c>
      <c r="G11" s="87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89"/>
    </row>
    <row r="12" spans="1:34" ht="20.149999999999999" customHeight="1" x14ac:dyDescent="0.35">
      <c r="B12" s="55" t="s">
        <v>47</v>
      </c>
      <c r="C12" s="56">
        <f t="array" ref="C12">INDEX(Usage!$B$5:$M$18,MATCH($B6,Usage!$B$5:$B$18,0),MATCH(C$6&amp;C$7&amp;"Flat rate"&amp;"Total",Usage!$B$5:$M$5&amp;Usage!$B$6:$M$6&amp;Usage!$B$7:$M$7&amp;Usage!$B$13:$M$13,0))</f>
        <v>4600</v>
      </c>
      <c r="D12" s="56">
        <f t="array" ref="D12">INDEX(Usage!$B$5:$M$18,MATCH($B6,Usage!$B$5:$B$18,0),MATCH(D$6&amp;D$7&amp;"Flat rate"&amp;"Total",Usage!$B$5:$M$5&amp;Usage!$B$6:$M$6&amp;Usage!$B$7:$M$7&amp;Usage!$B$13:$M$13,0))</f>
        <v>4600</v>
      </c>
      <c r="E12" s="56">
        <f t="array" ref="E12">INDEX(Usage!$B$5:$M$18,MATCH($B6,Usage!$B$5:$B$18,0),MATCH(E$6&amp;E$7&amp;"Flat rate"&amp;"Total",Usage!$B$5:$M$5&amp;Usage!$B$6:$M$6&amp;Usage!$B$7:$M$7&amp;Usage!$B$13:$M$13,0))</f>
        <v>10000</v>
      </c>
      <c r="G12" s="87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89"/>
    </row>
    <row r="13" spans="1:34" ht="20.149999999999999" customHeight="1" x14ac:dyDescent="0.35">
      <c r="B13" s="55" t="s">
        <v>46</v>
      </c>
      <c r="C13" s="56"/>
      <c r="D13" s="56">
        <f t="array" ref="D13">INDEX(Usage!$B$5:$M$18,MATCH($B6,Usage!$B$5:$B$18,0),MATCH(D$6&amp;D$7&amp;"CL"&amp;"Total",Usage!$B$5:$M$5&amp;Usage!$B$6:$M$6&amp;Usage!$B$7:$M$7&amp;Usage!$B$13:$M$13,0))</f>
        <v>2000</v>
      </c>
      <c r="E13" s="56"/>
      <c r="G13" s="8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89"/>
    </row>
    <row r="14" spans="1:34" ht="2.15" customHeight="1" x14ac:dyDescent="0.35">
      <c r="B14" s="57"/>
      <c r="C14" s="57"/>
      <c r="D14" s="57"/>
      <c r="E14" s="57"/>
      <c r="G14" s="87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89"/>
    </row>
    <row r="15" spans="1:34" ht="20.149999999999999" customHeight="1" x14ac:dyDescent="0.35">
      <c r="B15" s="55" t="str">
        <f>"Change from DMO "&amp;PY&amp; " price ($)"</f>
        <v>Change from DMO 2021-22 price ($)</v>
      </c>
      <c r="C15" s="128">
        <f ca="1">C9-H32</f>
        <v>185</v>
      </c>
      <c r="D15" s="128">
        <f ca="1">D9-Q32</f>
        <v>219</v>
      </c>
      <c r="E15" s="128"/>
      <c r="G15" s="87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89"/>
    </row>
    <row r="16" spans="1:34" ht="20.149999999999999" customHeight="1" thickBot="1" x14ac:dyDescent="0.4">
      <c r="B16" s="58" t="str">
        <f>"Change from DMO "&amp;PY&amp; " price (%)"</f>
        <v>Change from DMO 2021-22 price (%)</v>
      </c>
      <c r="C16" s="108">
        <f ca="1">C9/H32-1</f>
        <v>9.7011012060828516E-2</v>
      </c>
      <c r="D16" s="108">
        <f ca="1">D9/Q32-1</f>
        <v>9.643328929986783E-2</v>
      </c>
      <c r="E16" s="108"/>
      <c r="G16" s="8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89"/>
    </row>
    <row r="17" spans="2:34" ht="15" thickTop="1" x14ac:dyDescent="0.35">
      <c r="B17" s="81" t="s">
        <v>87</v>
      </c>
      <c r="G17" s="8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89"/>
    </row>
    <row r="18" spans="2:34" x14ac:dyDescent="0.35">
      <c r="G18" s="87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89"/>
    </row>
    <row r="19" spans="2:34" x14ac:dyDescent="0.35">
      <c r="C19" s="79"/>
      <c r="D19" s="179"/>
      <c r="G19" s="87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89"/>
    </row>
    <row r="20" spans="2:34" ht="15.5" x14ac:dyDescent="0.35">
      <c r="B20" s="34"/>
      <c r="D20" s="179"/>
      <c r="G20" s="87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89"/>
    </row>
    <row r="21" spans="2:34" ht="15" customHeight="1" thickBot="1" x14ac:dyDescent="0.4">
      <c r="B21" s="32"/>
      <c r="D21" s="32"/>
      <c r="E21" s="32"/>
      <c r="F21" s="34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</row>
    <row r="22" spans="2:34" s="35" customFormat="1" ht="15.5" x14ac:dyDescent="0.35">
      <c r="F22" s="34"/>
      <c r="G22" s="3"/>
      <c r="H22" s="32"/>
      <c r="I22" s="32"/>
      <c r="J22" s="32"/>
      <c r="K22" s="3"/>
      <c r="L22" s="3"/>
      <c r="M22" s="3"/>
      <c r="N22" s="32"/>
      <c r="O22" s="32"/>
      <c r="P22" s="32"/>
      <c r="Q22" s="32"/>
      <c r="R22" s="32"/>
      <c r="S22" s="32"/>
      <c r="T22" s="3"/>
      <c r="U22" s="32"/>
      <c r="V22" s="32"/>
      <c r="W22" s="32"/>
      <c r="X22" s="32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5" hidden="1" x14ac:dyDescent="0.35">
      <c r="F23" s="34"/>
      <c r="G23" s="3"/>
      <c r="H23" s="32" t="str">
        <f>$H$27</f>
        <v>Residential</v>
      </c>
      <c r="I23" s="32" t="str">
        <f>$H$27</f>
        <v>Residential</v>
      </c>
      <c r="J23" s="32" t="str">
        <f>$H$27</f>
        <v>Residential</v>
      </c>
      <c r="K23" s="32"/>
      <c r="L23" s="32" t="str">
        <f>$H$27</f>
        <v>Residential</v>
      </c>
      <c r="M23" s="32" t="str">
        <f>$H$27</f>
        <v>Residential</v>
      </c>
      <c r="N23" s="32" t="str">
        <f>$H$27</f>
        <v>Residential</v>
      </c>
      <c r="O23" s="32" t="str">
        <f>$H$27</f>
        <v>Residential</v>
      </c>
      <c r="P23" s="32"/>
      <c r="Q23" s="32" t="str">
        <f>$Q$27</f>
        <v>Residential</v>
      </c>
      <c r="R23" s="32" t="str">
        <f>$Q$27</f>
        <v>Residential</v>
      </c>
      <c r="S23" s="32" t="str">
        <f>$Q$27</f>
        <v>Residential</v>
      </c>
      <c r="T23" s="3"/>
      <c r="U23" s="32" t="str">
        <f>$Q$27</f>
        <v>Residential</v>
      </c>
      <c r="V23" s="32" t="str">
        <f>$Q$27</f>
        <v>Residential</v>
      </c>
      <c r="W23" s="32" t="str">
        <f>$Q$27</f>
        <v>Residential</v>
      </c>
      <c r="X23" s="32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5" hidden="1" x14ac:dyDescent="0.35">
      <c r="F24" s="34"/>
      <c r="G24" s="3"/>
      <c r="H24" s="32" t="str">
        <f>$H$28</f>
        <v>without CL</v>
      </c>
      <c r="I24" s="32" t="str">
        <f>$H$28</f>
        <v>without CL</v>
      </c>
      <c r="J24" s="32" t="str">
        <f>$H$28</f>
        <v>without CL</v>
      </c>
      <c r="K24" s="32"/>
      <c r="L24" s="32" t="str">
        <f>$H$28</f>
        <v>without CL</v>
      </c>
      <c r="M24" s="32" t="str">
        <f>$H$28</f>
        <v>without CL</v>
      </c>
      <c r="N24" s="32" t="str">
        <f>$H$28</f>
        <v>without CL</v>
      </c>
      <c r="O24" s="32" t="str">
        <f>$H$28</f>
        <v>without CL</v>
      </c>
      <c r="P24" s="32"/>
      <c r="Q24" s="32" t="str">
        <f>$Q$28</f>
        <v>with CL</v>
      </c>
      <c r="R24" s="32" t="str">
        <f>$Q$28</f>
        <v>with CL</v>
      </c>
      <c r="S24" s="32" t="str">
        <f>$Q$28</f>
        <v>with CL</v>
      </c>
      <c r="T24" s="3"/>
      <c r="U24" s="32" t="str">
        <f>$Q$28</f>
        <v>with CL</v>
      </c>
      <c r="V24" s="32" t="str">
        <f>$Q$28</f>
        <v>with CL</v>
      </c>
      <c r="W24" s="32" t="str">
        <f>$Q$28</f>
        <v>with CL</v>
      </c>
      <c r="X24" s="32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5" hidden="1" x14ac:dyDescent="0.35">
      <c r="F25" s="34"/>
      <c r="G25" s="3"/>
      <c r="H25" s="32"/>
      <c r="I25" s="32" t="str">
        <f>$I$29</f>
        <v>2021-22</v>
      </c>
      <c r="J25" s="32" t="str">
        <f>$I$29</f>
        <v>2021-22</v>
      </c>
      <c r="K25" s="3"/>
      <c r="L25" s="32" t="str">
        <f>$L$29</f>
        <v>2022-23</v>
      </c>
      <c r="M25" s="32" t="str">
        <f>$L$29</f>
        <v>2022-23</v>
      </c>
      <c r="N25" s="32" t="str">
        <f>$L$29</f>
        <v>2022-23</v>
      </c>
      <c r="O25" s="32" t="str">
        <f>$L$29</f>
        <v>2022-23</v>
      </c>
      <c r="P25" s="32"/>
      <c r="Q25" s="32"/>
      <c r="R25" s="32" t="str">
        <f>$R$29</f>
        <v>2021-22</v>
      </c>
      <c r="S25" s="32" t="str">
        <f>$R$29</f>
        <v>2021-22</v>
      </c>
      <c r="T25" s="3"/>
      <c r="U25" s="32" t="str">
        <f>$U$29</f>
        <v>2022-23</v>
      </c>
      <c r="V25" s="32" t="str">
        <f>$U$29</f>
        <v>2022-23</v>
      </c>
      <c r="W25" s="32" t="str">
        <f>$U$29</f>
        <v>2022-23</v>
      </c>
      <c r="X25" s="32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5" customFormat="1" ht="15.5" x14ac:dyDescent="0.35">
      <c r="F26" s="34" t="s">
        <v>39</v>
      </c>
      <c r="G26" s="107" t="s">
        <v>138</v>
      </c>
      <c r="H26" s="32"/>
      <c r="I26" s="32"/>
      <c r="J26" s="32"/>
      <c r="K26" s="3"/>
      <c r="L26" s="3"/>
      <c r="M26" s="3"/>
      <c r="N26" s="32"/>
      <c r="O26" s="32"/>
      <c r="P26" s="32"/>
      <c r="Q26" s="32"/>
      <c r="R26" s="32"/>
      <c r="S26" s="32"/>
      <c r="T26" s="3"/>
      <c r="U26" s="32"/>
      <c r="V26" s="32"/>
      <c r="W26" s="32"/>
      <c r="X26" s="32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35">
      <c r="F27" s="332" t="s">
        <v>33</v>
      </c>
      <c r="G27" s="82"/>
      <c r="H27" s="333" t="s">
        <v>6</v>
      </c>
      <c r="I27" s="333"/>
      <c r="J27" s="333"/>
      <c r="K27" s="333"/>
      <c r="L27" s="333"/>
      <c r="M27" s="333"/>
      <c r="N27" s="333"/>
      <c r="O27" s="333"/>
      <c r="P27" s="219"/>
      <c r="Q27" s="333" t="s">
        <v>6</v>
      </c>
      <c r="R27" s="333"/>
      <c r="S27" s="333"/>
      <c r="T27" s="333"/>
      <c r="U27" s="333"/>
      <c r="V27" s="333"/>
      <c r="W27" s="333"/>
      <c r="X27" s="333"/>
      <c r="Y27" s="219"/>
      <c r="Z27" s="333" t="s">
        <v>73</v>
      </c>
      <c r="AA27" s="333"/>
      <c r="AB27" s="333"/>
      <c r="AC27" s="333"/>
      <c r="AD27" s="333"/>
      <c r="AE27" s="333"/>
      <c r="AF27" s="333"/>
      <c r="AG27" s="333"/>
    </row>
    <row r="28" spans="2:34" ht="15" thickBot="1" x14ac:dyDescent="0.4">
      <c r="F28" s="332"/>
      <c r="G28" s="82"/>
      <c r="H28" s="335" t="s">
        <v>136</v>
      </c>
      <c r="I28" s="335"/>
      <c r="J28" s="335"/>
      <c r="K28" s="335"/>
      <c r="L28" s="335"/>
      <c r="M28" s="335"/>
      <c r="N28" s="335"/>
      <c r="O28" s="335"/>
      <c r="P28" s="219"/>
      <c r="Q28" s="335" t="s">
        <v>137</v>
      </c>
      <c r="R28" s="335"/>
      <c r="S28" s="335"/>
      <c r="T28" s="335"/>
      <c r="U28" s="335"/>
      <c r="V28" s="335"/>
      <c r="W28" s="335"/>
      <c r="X28" s="335"/>
      <c r="Y28" s="219"/>
      <c r="Z28" s="335" t="s">
        <v>136</v>
      </c>
      <c r="AA28" s="335"/>
      <c r="AB28" s="335"/>
      <c r="AC28" s="335"/>
      <c r="AD28" s="335"/>
      <c r="AE28" s="335"/>
      <c r="AF28" s="335"/>
      <c r="AG28" s="335"/>
    </row>
    <row r="29" spans="2:34" ht="15" customHeight="1" thickTop="1" x14ac:dyDescent="0.35">
      <c r="F29" s="332"/>
      <c r="G29" s="83"/>
      <c r="H29" s="219" t="s">
        <v>63</v>
      </c>
      <c r="I29" s="334" t="str">
        <f>PY</f>
        <v>2021-22</v>
      </c>
      <c r="J29" s="334"/>
      <c r="K29" s="219"/>
      <c r="L29" s="334" t="str">
        <f>FY</f>
        <v>2022-23</v>
      </c>
      <c r="M29" s="334"/>
      <c r="N29" s="334"/>
      <c r="O29" s="334"/>
      <c r="P29" s="277"/>
      <c r="Q29" s="219" t="s">
        <v>63</v>
      </c>
      <c r="R29" s="334" t="str">
        <f>PY</f>
        <v>2021-22</v>
      </c>
      <c r="S29" s="334"/>
      <c r="T29" s="219"/>
      <c r="U29" s="334" t="str">
        <f>FY</f>
        <v>2022-23</v>
      </c>
      <c r="V29" s="334"/>
      <c r="W29" s="334"/>
      <c r="X29" s="334"/>
      <c r="Y29" s="277"/>
      <c r="Z29" s="219" t="s">
        <v>63</v>
      </c>
      <c r="AA29" s="334" t="str">
        <f>PY</f>
        <v>2021-22</v>
      </c>
      <c r="AB29" s="334"/>
      <c r="AC29" s="219"/>
      <c r="AD29" s="334" t="str">
        <f>FY</f>
        <v>2022-23</v>
      </c>
      <c r="AE29" s="334"/>
      <c r="AF29" s="334"/>
      <c r="AG29" s="334"/>
    </row>
    <row r="30" spans="2:34" ht="26" x14ac:dyDescent="0.35">
      <c r="F30" s="332"/>
      <c r="G30" s="83"/>
      <c r="H30" s="264"/>
      <c r="I30" s="265" t="s">
        <v>23</v>
      </c>
      <c r="J30" s="265" t="s">
        <v>25</v>
      </c>
      <c r="K30" s="266"/>
      <c r="L30" s="265" t="s">
        <v>22</v>
      </c>
      <c r="M30" s="267" t="s">
        <v>175</v>
      </c>
      <c r="N30" s="265" t="s">
        <v>23</v>
      </c>
      <c r="O30" s="265" t="s">
        <v>25</v>
      </c>
      <c r="P30" s="265"/>
      <c r="Q30" s="266"/>
      <c r="R30" s="265" t="s">
        <v>23</v>
      </c>
      <c r="S30" s="265" t="s">
        <v>25</v>
      </c>
      <c r="T30" s="266"/>
      <c r="U30" s="265" t="s">
        <v>22</v>
      </c>
      <c r="V30" s="267" t="s">
        <v>45</v>
      </c>
      <c r="W30" s="265" t="s">
        <v>23</v>
      </c>
      <c r="X30" s="265" t="s">
        <v>25</v>
      </c>
      <c r="Y30" s="265"/>
      <c r="Z30" s="266"/>
      <c r="AA30" s="265" t="s">
        <v>23</v>
      </c>
      <c r="AB30" s="265" t="s">
        <v>25</v>
      </c>
      <c r="AC30" s="266"/>
      <c r="AD30" s="265" t="s">
        <v>22</v>
      </c>
      <c r="AE30" s="267" t="s">
        <v>45</v>
      </c>
      <c r="AF30" s="265" t="s">
        <v>23</v>
      </c>
      <c r="AG30" s="265" t="s">
        <v>25</v>
      </c>
    </row>
    <row r="31" spans="2:34" ht="15" customHeight="1" x14ac:dyDescent="0.35">
      <c r="F31" s="332"/>
      <c r="G31" s="83"/>
      <c r="H31" s="265" t="s">
        <v>64</v>
      </c>
      <c r="I31" s="265" t="s">
        <v>41</v>
      </c>
      <c r="J31" s="265" t="s">
        <v>29</v>
      </c>
      <c r="K31" s="266"/>
      <c r="L31" s="265" t="s">
        <v>29</v>
      </c>
      <c r="M31" s="265" t="s">
        <v>29</v>
      </c>
      <c r="N31" s="265" t="s">
        <v>41</v>
      </c>
      <c r="O31" s="265" t="s">
        <v>29</v>
      </c>
      <c r="P31" s="265"/>
      <c r="Q31" s="265"/>
      <c r="R31" s="265" t="s">
        <v>41</v>
      </c>
      <c r="S31" s="265" t="s">
        <v>29</v>
      </c>
      <c r="T31" s="266"/>
      <c r="U31" s="265" t="s">
        <v>29</v>
      </c>
      <c r="V31" s="265" t="s">
        <v>29</v>
      </c>
      <c r="W31" s="265" t="s">
        <v>41</v>
      </c>
      <c r="X31" s="265" t="s">
        <v>29</v>
      </c>
      <c r="Y31" s="265"/>
      <c r="Z31" s="265"/>
      <c r="AA31" s="265" t="s">
        <v>41</v>
      </c>
      <c r="AB31" s="265" t="s">
        <v>29</v>
      </c>
      <c r="AC31" s="266"/>
      <c r="AD31" s="265" t="s">
        <v>29</v>
      </c>
      <c r="AE31" s="265" t="s">
        <v>29</v>
      </c>
      <c r="AF31" s="265" t="s">
        <v>41</v>
      </c>
      <c r="AG31" s="265" t="s">
        <v>29</v>
      </c>
    </row>
    <row r="32" spans="2:34" ht="15" customHeight="1" x14ac:dyDescent="0.35">
      <c r="F32" s="48" t="str">
        <f>"DMO "&amp;PY&amp;" price"</f>
        <v>DMO 2021-22 price</v>
      </c>
      <c r="G32" s="48"/>
      <c r="H32" s="268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1907</v>
      </c>
      <c r="I32" s="269"/>
      <c r="J32" s="269"/>
      <c r="K32" s="269"/>
      <c r="L32" s="269"/>
      <c r="M32" s="269"/>
      <c r="N32" s="269"/>
      <c r="O32" s="269"/>
      <c r="P32" s="269"/>
      <c r="Q32" s="268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2271</v>
      </c>
      <c r="R32" s="268"/>
      <c r="S32" s="269"/>
      <c r="T32" s="269"/>
      <c r="U32" s="269"/>
      <c r="V32" s="269"/>
      <c r="W32" s="270"/>
      <c r="X32" s="269"/>
      <c r="Y32" s="270"/>
      <c r="Z32" s="268"/>
      <c r="AA32" s="268"/>
      <c r="AB32" s="269"/>
      <c r="AC32" s="269"/>
      <c r="AD32" s="269"/>
      <c r="AE32" s="269"/>
      <c r="AF32" s="269"/>
      <c r="AG32" s="269"/>
    </row>
    <row r="33" spans="2:33" ht="15" customHeight="1" x14ac:dyDescent="0.35">
      <c r="F33" s="49" t="s">
        <v>58</v>
      </c>
      <c r="G33" s="49"/>
      <c r="H33" s="270"/>
      <c r="I33" s="268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952.05351999999993</v>
      </c>
      <c r="J33" s="269">
        <f t="shared" ref="J33:J38" ca="1" si="0">I33/H$32</f>
        <v>0.49924148925013107</v>
      </c>
      <c r="K33" s="269"/>
      <c r="L33" s="271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2.9437903869101945E-2</v>
      </c>
      <c r="M33" s="269">
        <f ca="1">J33*L33</f>
        <v>1.469662296801265E-2</v>
      </c>
      <c r="N33" s="268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980.07997999999998</v>
      </c>
      <c r="O33" s="269">
        <f t="shared" ref="O33:O38" ca="1" si="1">N33/H$39</f>
        <v>0.46844342711589848</v>
      </c>
      <c r="P33" s="269"/>
      <c r="Q33" s="269"/>
      <c r="R33" s="268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1069.405436</v>
      </c>
      <c r="S33" s="269">
        <f t="shared" ref="S33:S38" ca="1" si="2">R33/Q$32</f>
        <v>0.47089627300748571</v>
      </c>
      <c r="T33" s="269"/>
      <c r="U33" s="271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2.9023991233947832E-2</v>
      </c>
      <c r="V33" s="269">
        <f ca="1">S33*U33</f>
        <v>1.366728929986797E-2</v>
      </c>
      <c r="W33" s="268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1100.4438500000001</v>
      </c>
      <c r="X33" s="269">
        <f t="shared" ref="X33:X38" ca="1" si="3">W33/Q$39</f>
        <v>0.4419857635637921</v>
      </c>
      <c r="Y33" s="270"/>
      <c r="Z33" s="270"/>
      <c r="AA33" s="268"/>
      <c r="AB33" s="269"/>
      <c r="AC33" s="269"/>
      <c r="AD33" s="271"/>
      <c r="AE33" s="269"/>
      <c r="AF33" s="268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2122.8972600000002</v>
      </c>
      <c r="AG33" s="269">
        <f t="shared" ref="AG33:AG38" ca="1" si="4">AF33/Z$39</f>
        <v>0.43315414131029539</v>
      </c>
    </row>
    <row r="34" spans="2:33" ht="15" customHeight="1" x14ac:dyDescent="0.35">
      <c r="F34" s="49" t="s">
        <v>59</v>
      </c>
      <c r="G34" s="49"/>
      <c r="H34" s="270"/>
      <c r="I34" s="268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406.5204</v>
      </c>
      <c r="J34" s="269">
        <f t="shared" ca="1" si="0"/>
        <v>0.21317273203985318</v>
      </c>
      <c r="K34" s="269"/>
      <c r="L34" s="271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0.44349016679113751</v>
      </c>
      <c r="M34" s="269">
        <f ca="1">J34*L34</f>
        <v>9.4540010487676948E-2</v>
      </c>
      <c r="N34" s="268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586.80819999999994</v>
      </c>
      <c r="O34" s="269">
        <f t="shared" ca="1" si="1"/>
        <v>0.28047348163127622</v>
      </c>
      <c r="P34" s="269"/>
      <c r="Q34" s="269"/>
      <c r="R34" s="268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554.58039999999994</v>
      </c>
      <c r="S34" s="269">
        <f t="shared" ca="1" si="2"/>
        <v>0.2442009687362395</v>
      </c>
      <c r="T34" s="269"/>
      <c r="U34" s="271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0.40514197761046034</v>
      </c>
      <c r="V34" s="269">
        <f ca="1">S34*U34</f>
        <v>9.8936063408190264E-2</v>
      </c>
      <c r="W34" s="268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779.26420000000007</v>
      </c>
      <c r="X34" s="269">
        <f t="shared" ca="1" si="3"/>
        <v>0.31298614868439456</v>
      </c>
      <c r="Y34" s="270"/>
      <c r="Z34" s="270"/>
      <c r="AA34" s="268"/>
      <c r="AB34" s="269"/>
      <c r="AC34" s="269"/>
      <c r="AD34" s="271"/>
      <c r="AE34" s="269"/>
      <c r="AF34" s="268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1275.67</v>
      </c>
      <c r="AG34" s="269">
        <f t="shared" ca="1" si="4"/>
        <v>0.26028661577588758</v>
      </c>
    </row>
    <row r="35" spans="2:33" ht="15" customHeight="1" x14ac:dyDescent="0.35">
      <c r="F35" s="49" t="s">
        <v>60</v>
      </c>
      <c r="G35" s="49"/>
      <c r="H35" s="270"/>
      <c r="I35" s="268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96.342399999999998</v>
      </c>
      <c r="J35" s="269">
        <f t="shared" ca="1" si="0"/>
        <v>5.052039853172522E-2</v>
      </c>
      <c r="K35" s="269"/>
      <c r="L35" s="271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7.4054621848739455E-2</v>
      </c>
      <c r="M35" s="269">
        <f ca="1">J35*L35</f>
        <v>3.7412690089145234E-3</v>
      </c>
      <c r="N35" s="268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103.47699999999999</v>
      </c>
      <c r="O35" s="269">
        <f t="shared" ca="1" si="1"/>
        <v>4.945833145951193E-2</v>
      </c>
      <c r="P35" s="269"/>
      <c r="Q35" s="269"/>
      <c r="R35" s="268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138.2304</v>
      </c>
      <c r="S35" s="269">
        <f t="shared" ca="1" si="2"/>
        <v>6.0867635402906212E-2</v>
      </c>
      <c r="T35" s="269"/>
      <c r="U35" s="271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7.4054621848739455E-2</v>
      </c>
      <c r="V35" s="269">
        <f ca="1">S35*U35</f>
        <v>4.5075297225891653E-3</v>
      </c>
      <c r="W35" s="268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148.46699999999998</v>
      </c>
      <c r="X35" s="269">
        <f t="shared" ca="1" si="3"/>
        <v>5.9630757497554747E-2</v>
      </c>
      <c r="Y35" s="270"/>
      <c r="Z35" s="270"/>
      <c r="AA35" s="268"/>
      <c r="AB35" s="269"/>
      <c r="AC35" s="269"/>
      <c r="AD35" s="271"/>
      <c r="AE35" s="269"/>
      <c r="AF35" s="268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224.95</v>
      </c>
      <c r="AG35" s="269">
        <f t="shared" ca="1" si="4"/>
        <v>4.5898605610217302E-2</v>
      </c>
    </row>
    <row r="36" spans="2:33" ht="15" customHeight="1" x14ac:dyDescent="0.35">
      <c r="F36" s="49" t="s">
        <v>196</v>
      </c>
      <c r="G36" s="49"/>
      <c r="H36" s="270"/>
      <c r="I36" s="268">
        <f ca="1">H32-SUM(I33:I35)</f>
        <v>452.08368000000019</v>
      </c>
      <c r="J36" s="269">
        <f t="shared" ca="1" si="0"/>
        <v>0.2370653801782906</v>
      </c>
      <c r="K36" s="269"/>
      <c r="L36" s="269">
        <f ca="1">(N36-I36)/I36</f>
        <v>-1</v>
      </c>
      <c r="M36" s="269">
        <f ca="1">J36*L36</f>
        <v>-0.2370653801782906</v>
      </c>
      <c r="N36" s="268">
        <v>0</v>
      </c>
      <c r="O36" s="269">
        <f t="shared" ca="1" si="1"/>
        <v>0</v>
      </c>
      <c r="P36" s="269"/>
      <c r="Q36" s="269"/>
      <c r="R36" s="268">
        <f ca="1">Q32-SUM(R33:R35)</f>
        <v>508.78376400000025</v>
      </c>
      <c r="S36" s="269">
        <f t="shared" ca="1" si="2"/>
        <v>0.22403512285336866</v>
      </c>
      <c r="T36" s="269"/>
      <c r="U36" s="269">
        <f ca="1">(W36-R36)/R36</f>
        <v>-1</v>
      </c>
      <c r="V36" s="269">
        <f ca="1">S36*U36</f>
        <v>-0.22403512285336866</v>
      </c>
      <c r="W36" s="268">
        <v>0</v>
      </c>
      <c r="X36" s="269">
        <f t="shared" ca="1" si="3"/>
        <v>0</v>
      </c>
      <c r="Y36" s="270"/>
      <c r="Z36" s="270"/>
      <c r="AA36" s="268"/>
      <c r="AB36" s="269"/>
      <c r="AC36" s="269"/>
      <c r="AD36" s="269"/>
      <c r="AE36" s="269"/>
      <c r="AF36" s="268">
        <v>0</v>
      </c>
      <c r="AG36" s="269">
        <f t="shared" ca="1" si="4"/>
        <v>0</v>
      </c>
    </row>
    <row r="37" spans="2:33" ht="15" customHeight="1" x14ac:dyDescent="0.35">
      <c r="F37" s="49" t="s">
        <v>193</v>
      </c>
      <c r="G37" s="49"/>
      <c r="H37" s="270"/>
      <c r="I37" s="268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69">
        <f t="shared" ca="1" si="0"/>
        <v>0</v>
      </c>
      <c r="K37" s="269"/>
      <c r="L37" s="276" t="str">
        <f ca="1">IFERROR((N37-I37)/I37,"New cost component")</f>
        <v>New cost component</v>
      </c>
      <c r="M37" s="271">
        <f ca="1">(N37-I37)/H32</f>
        <v>0.11149443919911324</v>
      </c>
      <c r="N37" s="268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212.61989555270895</v>
      </c>
      <c r="O37" s="269">
        <f t="shared" ca="1" si="1"/>
        <v>0.10162475979331337</v>
      </c>
      <c r="P37" s="269"/>
      <c r="Q37" s="269"/>
      <c r="R37" s="268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69">
        <f t="shared" ca="1" si="2"/>
        <v>0</v>
      </c>
      <c r="T37" s="269"/>
      <c r="U37" s="276" t="str">
        <f ca="1">IFERROR((W37-R37)/R37,"New cost component")</f>
        <v>New cost component</v>
      </c>
      <c r="V37" s="271">
        <f ca="1">(W37-R37)/Q32</f>
        <v>9.3623908213434151E-2</v>
      </c>
      <c r="W37" s="268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212.61989555270895</v>
      </c>
      <c r="X37" s="269">
        <f t="shared" ca="1" si="3"/>
        <v>8.539733025425858E-2</v>
      </c>
      <c r="Y37" s="270"/>
      <c r="Z37" s="270"/>
      <c r="AA37" s="268"/>
      <c r="AB37" s="269"/>
      <c r="AC37" s="269"/>
      <c r="AD37" s="275"/>
      <c r="AE37" s="271"/>
      <c r="AF37" s="268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282.59595665270899</v>
      </c>
      <c r="AG37" s="269">
        <f t="shared" ca="1" si="4"/>
        <v>5.7660637303599716E-2</v>
      </c>
    </row>
    <row r="38" spans="2:33" ht="15" customHeight="1" x14ac:dyDescent="0.35">
      <c r="F38" s="49" t="s">
        <v>195</v>
      </c>
      <c r="G38" s="49"/>
      <c r="H38" s="270"/>
      <c r="I38" s="268">
        <v>0</v>
      </c>
      <c r="J38" s="269">
        <f t="shared" si="0"/>
        <v>0</v>
      </c>
      <c r="K38" s="269"/>
      <c r="L38" s="276" t="str">
        <f ca="1">IFERROR((N38-I38)/I38,"New cost component")</f>
        <v>New cost component</v>
      </c>
      <c r="M38" s="271">
        <f ca="1">(N38-I38)/H32</f>
        <v>0.1097118846094918</v>
      </c>
      <c r="N38" s="268">
        <f ca="1">SUM(N33:N37)/(1-SUMIFS('Detail inputs'!$J:$J,'Detail inputs'!$B:$B,$B$6,'Detail inputs'!$G:$G,$F$38,'Detail inputs'!$D:$D,$H$27,'Detail inputs'!$E:$E,H28))-SUM(N33:N37)</f>
        <v>209.22056395030086</v>
      </c>
      <c r="O38" s="269">
        <f t="shared" ca="1" si="1"/>
        <v>9.9999999999999936E-2</v>
      </c>
      <c r="P38" s="269"/>
      <c r="Q38" s="269"/>
      <c r="R38" s="268">
        <v>0</v>
      </c>
      <c r="S38" s="269">
        <f t="shared" si="2"/>
        <v>0</v>
      </c>
      <c r="T38" s="269"/>
      <c r="U38" s="276" t="str">
        <f ca="1">IFERROR((W38-R38)/R38,"New cost component")</f>
        <v>New cost component</v>
      </c>
      <c r="V38" s="271">
        <f ca="1">(W38-R38)/Q32</f>
        <v>0.10963329642119031</v>
      </c>
      <c r="W38" s="268">
        <f ca="1">SUM(W33:W37)/(1-SUMIFS('Detail inputs'!$J:$J,'Detail inputs'!$B:$B,$B$6,'Detail inputs'!$G:$G,$F$38,'Detail inputs'!$D:$D,$Q$27,'Detail inputs'!$E:$E,Q28))-SUM(W33:W37)</f>
        <v>248.97721617252319</v>
      </c>
      <c r="X38" s="269">
        <f t="shared" ca="1" si="3"/>
        <v>9.9999999999999978E-2</v>
      </c>
      <c r="Y38" s="270"/>
      <c r="Z38" s="270"/>
      <c r="AA38" s="268"/>
      <c r="AB38" s="269"/>
      <c r="AC38" s="269"/>
      <c r="AD38" s="275"/>
      <c r="AE38" s="271"/>
      <c r="AF38" s="268">
        <f ca="1">SUM(AF33:AF37)/(1-SUMIFS('Detail inputs'!$J:$J,'Detail inputs'!$B:$B,$B$6,'Detail inputs'!$G:$G,$F$38,'Detail inputs'!$D:$D,$Z$27,'Detail inputs'!$E:$E,Z28))-SUM(AF33:AF37)</f>
        <v>994.90713046486826</v>
      </c>
      <c r="AG38" s="269">
        <f t="shared" ca="1" si="4"/>
        <v>0.20300000000000001</v>
      </c>
    </row>
    <row r="39" spans="2:33" ht="15" thickBot="1" x14ac:dyDescent="0.4">
      <c r="B39" s="81"/>
      <c r="F39" s="77" t="str">
        <f>"DMO "&amp;FY&amp;" price"</f>
        <v>DMO 2022-23 price</v>
      </c>
      <c r="G39" s="77"/>
      <c r="H39" s="272">
        <f ca="1">SUM(N33:N38)</f>
        <v>2092.2056395030099</v>
      </c>
      <c r="I39" s="273"/>
      <c r="J39" s="273"/>
      <c r="K39" s="273"/>
      <c r="L39" s="273">
        <f ca="1">H39/H32-1</f>
        <v>9.7118846094918609E-2</v>
      </c>
      <c r="M39" s="273"/>
      <c r="N39" s="273"/>
      <c r="O39" s="273"/>
      <c r="P39" s="273"/>
      <c r="Q39" s="272">
        <f ca="1">SUM(W33:W38)</f>
        <v>2489.7721617252323</v>
      </c>
      <c r="R39" s="272"/>
      <c r="S39" s="273"/>
      <c r="T39" s="273"/>
      <c r="U39" s="273">
        <f ca="1">Q39/Q32-1</f>
        <v>9.6332964211903294E-2</v>
      </c>
      <c r="V39" s="273"/>
      <c r="W39" s="274"/>
      <c r="X39" s="274"/>
      <c r="Y39" s="274"/>
      <c r="Z39" s="272">
        <f ca="1">SUM(AF33:AF38)</f>
        <v>4901.0203471175773</v>
      </c>
      <c r="AA39" s="272"/>
      <c r="AB39" s="273"/>
      <c r="AC39" s="273"/>
      <c r="AD39" s="273"/>
      <c r="AE39" s="273"/>
      <c r="AF39" s="273"/>
      <c r="AG39" s="273"/>
    </row>
    <row r="40" spans="2:33" ht="15" thickTop="1" x14ac:dyDescent="0.35">
      <c r="F40" s="120"/>
    </row>
    <row r="41" spans="2:33" x14ac:dyDescent="0.35">
      <c r="F41" s="107"/>
    </row>
    <row r="43" spans="2:33" x14ac:dyDescent="0.35">
      <c r="F43" s="120"/>
      <c r="O43" s="199"/>
    </row>
    <row r="44" spans="2:33" s="105" customFormat="1" ht="12" x14ac:dyDescent="0.35">
      <c r="H44" s="106"/>
    </row>
    <row r="48" spans="2:33" x14ac:dyDescent="0.35">
      <c r="H48" s="79"/>
    </row>
  </sheetData>
  <mergeCells count="15">
    <mergeCell ref="A1:B1"/>
    <mergeCell ref="B6:B7"/>
    <mergeCell ref="F27:F31"/>
    <mergeCell ref="H27:O27"/>
    <mergeCell ref="Q27:X27"/>
    <mergeCell ref="L29:O29"/>
    <mergeCell ref="R29:S29"/>
    <mergeCell ref="U29:X29"/>
    <mergeCell ref="Z27:AG27"/>
    <mergeCell ref="H28:O28"/>
    <mergeCell ref="Q28:X28"/>
    <mergeCell ref="Z28:AG28"/>
    <mergeCell ref="I29:J29"/>
    <mergeCell ref="AA29:AB29"/>
    <mergeCell ref="AD29:AG29"/>
  </mergeCells>
  <conditionalFormatting sqref="F36:H37 Y39:AE39 F39:M39 P39:V39 F32:AG35 Y36:Z37 V37 AE37 J36:Q37 F38:T38 V38:AC38 AE38:AG38">
    <cfRule type="expression" dxfId="1532" priority="56">
      <formula>MOD(ROW(),2)=0</formula>
    </cfRule>
    <cfRule type="expression" dxfId="1531" priority="57">
      <formula>AND(MOD(ROW(),2)=0,F$30="Proportion",$F32="Overall change in costs (%)")</formula>
    </cfRule>
    <cfRule type="expression" dxfId="1530" priority="58">
      <formula>AND(MOD(ROW(),1)=0,F$30="Proportion",$F32="Overall change in costs (%)")</formula>
    </cfRule>
  </conditionalFormatting>
  <conditionalFormatting sqref="P44:R44 G44:J44 Y44:AA44 M44:N44">
    <cfRule type="cellIs" dxfId="1529" priority="54" operator="equal">
      <formula>FALSE</formula>
    </cfRule>
    <cfRule type="cellIs" dxfId="1528" priority="55" operator="equal">
      <formula>TRUE</formula>
    </cfRule>
  </conditionalFormatting>
  <conditionalFormatting sqref="O39 X39 AG39">
    <cfRule type="expression" dxfId="1527" priority="59">
      <formula>MOD(ROW(),2)=0</formula>
    </cfRule>
    <cfRule type="expression" dxfId="1526" priority="60">
      <formula>AND(MOD(ROW(),2)=0,N$30="Proportion",$F39="Overall change in costs (%)")</formula>
    </cfRule>
    <cfRule type="expression" dxfId="1525" priority="61">
      <formula>AND(MOD(ROW(),1)=0,N$30="Proportion",$F39="Overall change in costs (%)")</formula>
    </cfRule>
  </conditionalFormatting>
  <conditionalFormatting sqref="N39 W39 AF39">
    <cfRule type="expression" dxfId="1524" priority="62">
      <formula>MOD(ROW(),2)=0</formula>
    </cfRule>
    <cfRule type="expression" dxfId="1523" priority="63">
      <formula>AND(MOD(ROW(),2)=0,#REF!="Proportion",$F39="Overall change in costs (%)")</formula>
    </cfRule>
    <cfRule type="expression" dxfId="1522" priority="64">
      <formula>AND(MOD(ROW(),1)=0,#REF!="Proportion",$F39="Overall change in costs (%)")</formula>
    </cfRule>
  </conditionalFormatting>
  <conditionalFormatting sqref="O44">
    <cfRule type="cellIs" dxfId="1521" priority="52" operator="equal">
      <formula>FALSE</formula>
    </cfRule>
    <cfRule type="cellIs" dxfId="1520" priority="53" operator="equal">
      <formula>TRUE</formula>
    </cfRule>
  </conditionalFormatting>
  <conditionalFormatting sqref="S44:T44">
    <cfRule type="cellIs" dxfId="1519" priority="50" operator="equal">
      <formula>FALSE</formula>
    </cfRule>
    <cfRule type="cellIs" dxfId="1518" priority="51" operator="equal">
      <formula>TRUE</formula>
    </cfRule>
  </conditionalFormatting>
  <conditionalFormatting sqref="X44">
    <cfRule type="cellIs" dxfId="1517" priority="48" operator="equal">
      <formula>FALSE</formula>
    </cfRule>
    <cfRule type="cellIs" dxfId="1516" priority="49" operator="equal">
      <formula>TRUE</formula>
    </cfRule>
  </conditionalFormatting>
  <conditionalFormatting sqref="W44">
    <cfRule type="cellIs" dxfId="1515" priority="46" operator="equal">
      <formula>FALSE</formula>
    </cfRule>
    <cfRule type="cellIs" dxfId="1514" priority="47" operator="equal">
      <formula>TRUE</formula>
    </cfRule>
  </conditionalFormatting>
  <conditionalFormatting sqref="AB44:AC44">
    <cfRule type="cellIs" dxfId="1513" priority="44" operator="equal">
      <formula>FALSE</formula>
    </cfRule>
    <cfRule type="cellIs" dxfId="1512" priority="45" operator="equal">
      <formula>TRUE</formula>
    </cfRule>
  </conditionalFormatting>
  <conditionalFormatting sqref="AG44">
    <cfRule type="cellIs" dxfId="1511" priority="42" operator="equal">
      <formula>FALSE</formula>
    </cfRule>
    <cfRule type="cellIs" dxfId="1510" priority="43" operator="equal">
      <formula>TRUE</formula>
    </cfRule>
  </conditionalFormatting>
  <conditionalFormatting sqref="AF44">
    <cfRule type="cellIs" dxfId="1509" priority="40" operator="equal">
      <formula>FALSE</formula>
    </cfRule>
    <cfRule type="cellIs" dxfId="1508" priority="41" operator="equal">
      <formula>TRUE</formula>
    </cfRule>
  </conditionalFormatting>
  <conditionalFormatting sqref="V44">
    <cfRule type="cellIs" dxfId="1507" priority="38" operator="equal">
      <formula>FALSE</formula>
    </cfRule>
    <cfRule type="cellIs" dxfId="1506" priority="39" operator="equal">
      <formula>TRUE</formula>
    </cfRule>
  </conditionalFormatting>
  <conditionalFormatting sqref="AE44">
    <cfRule type="cellIs" dxfId="1505" priority="36" operator="equal">
      <formula>FALSE</formula>
    </cfRule>
    <cfRule type="cellIs" dxfId="1504" priority="37" operator="equal">
      <formula>TRUE</formula>
    </cfRule>
  </conditionalFormatting>
  <conditionalFormatting sqref="AD44">
    <cfRule type="cellIs" dxfId="1503" priority="34" operator="equal">
      <formula>FALSE</formula>
    </cfRule>
    <cfRule type="cellIs" dxfId="1502" priority="35" operator="equal">
      <formula>TRUE</formula>
    </cfRule>
  </conditionalFormatting>
  <conditionalFormatting sqref="U44">
    <cfRule type="cellIs" dxfId="1501" priority="32" operator="equal">
      <formula>FALSE</formula>
    </cfRule>
    <cfRule type="cellIs" dxfId="1500" priority="33" operator="equal">
      <formula>TRUE</formula>
    </cfRule>
  </conditionalFormatting>
  <conditionalFormatting sqref="K44">
    <cfRule type="cellIs" dxfId="1499" priority="30" operator="equal">
      <formula>FALSE</formula>
    </cfRule>
    <cfRule type="cellIs" dxfId="1498" priority="31" operator="equal">
      <formula>TRUE</formula>
    </cfRule>
  </conditionalFormatting>
  <conditionalFormatting sqref="L44">
    <cfRule type="cellIs" dxfId="1497" priority="28" operator="equal">
      <formula>FALSE</formula>
    </cfRule>
    <cfRule type="cellIs" dxfId="1496" priority="29" operator="equal">
      <formula>TRUE</formula>
    </cfRule>
  </conditionalFormatting>
  <conditionalFormatting sqref="I36">
    <cfRule type="expression" dxfId="1495" priority="65">
      <formula>MOD(ROW(),2)=0</formula>
    </cfRule>
    <cfRule type="expression" dxfId="1494" priority="66">
      <formula>AND(MOD(ROW(),2)=0,I$30="Proportion",$F37="Overall change in costs (%)")</formula>
    </cfRule>
    <cfRule type="expression" dxfId="1493" priority="67">
      <formula>AND(MOD(ROW(),1)=0,I$30="Proportion",$F37="Overall change in costs (%)")</formula>
    </cfRule>
  </conditionalFormatting>
  <conditionalFormatting sqref="I37">
    <cfRule type="expression" dxfId="1492" priority="25">
      <formula>MOD(ROW(),2)=0</formula>
    </cfRule>
    <cfRule type="expression" dxfId="1491" priority="26">
      <formula>AND(MOD(ROW(),2)=0,I$30="Proportion",$F37="Overall change in costs (%)")</formula>
    </cfRule>
    <cfRule type="expression" dxfId="1490" priority="27">
      <formula>AND(MOD(ROW(),1)=0,I$30="Proportion",$F37="Overall change in costs (%)")</formula>
    </cfRule>
  </conditionalFormatting>
  <conditionalFormatting sqref="S36:X36 S37:U37 W37:X37">
    <cfRule type="expression" dxfId="1489" priority="19">
      <formula>MOD(ROW(),2)=0</formula>
    </cfRule>
    <cfRule type="expression" dxfId="1488" priority="20">
      <formula>AND(MOD(ROW(),2)=0,S$30="Proportion",$F36="Overall change in costs (%)")</formula>
    </cfRule>
    <cfRule type="expression" dxfId="1487" priority="21">
      <formula>AND(MOD(ROW(),1)=0,S$30="Proportion",$F36="Overall change in costs (%)")</formula>
    </cfRule>
  </conditionalFormatting>
  <conditionalFormatting sqref="R36">
    <cfRule type="expression" dxfId="1486" priority="22">
      <formula>MOD(ROW(),2)=0</formula>
    </cfRule>
    <cfRule type="expression" dxfId="1485" priority="23">
      <formula>AND(MOD(ROW(),2)=0,R$30="Proportion",$F37="Overall change in costs (%)")</formula>
    </cfRule>
    <cfRule type="expression" dxfId="1484" priority="24">
      <formula>AND(MOD(ROW(),1)=0,R$30="Proportion",$F37="Overall change in costs (%)")</formula>
    </cfRule>
  </conditionalFormatting>
  <conditionalFormatting sqref="R37">
    <cfRule type="expression" dxfId="1483" priority="16">
      <formula>MOD(ROW(),2)=0</formula>
    </cfRule>
    <cfRule type="expression" dxfId="1482" priority="17">
      <formula>AND(MOD(ROW(),2)=0,R$30="Proportion",$F37="Overall change in costs (%)")</formula>
    </cfRule>
    <cfRule type="expression" dxfId="1481" priority="18">
      <formula>AND(MOD(ROW(),1)=0,R$30="Proportion",$F37="Overall change in costs (%)")</formula>
    </cfRule>
  </conditionalFormatting>
  <conditionalFormatting sqref="AB36:AG36 AB37:AD37 AF37:AG37">
    <cfRule type="expression" dxfId="1480" priority="10">
      <formula>MOD(ROW(),2)=0</formula>
    </cfRule>
    <cfRule type="expression" dxfId="1479" priority="11">
      <formula>AND(MOD(ROW(),2)=0,AB$30="Proportion",$F36="Overall change in costs (%)")</formula>
    </cfRule>
    <cfRule type="expression" dxfId="1478" priority="12">
      <formula>AND(MOD(ROW(),1)=0,AB$30="Proportion",$F36="Overall change in costs (%)")</formula>
    </cfRule>
  </conditionalFormatting>
  <conditionalFormatting sqref="AA36">
    <cfRule type="expression" dxfId="1477" priority="13">
      <formula>MOD(ROW(),2)=0</formula>
    </cfRule>
    <cfRule type="expression" dxfId="1476" priority="14">
      <formula>AND(MOD(ROW(),2)=0,AA$30="Proportion",$F37="Overall change in costs (%)")</formula>
    </cfRule>
    <cfRule type="expression" dxfId="1475" priority="15">
      <formula>AND(MOD(ROW(),1)=0,AA$30="Proportion",$F37="Overall change in costs (%)")</formula>
    </cfRule>
  </conditionalFormatting>
  <conditionalFormatting sqref="AA37">
    <cfRule type="expression" dxfId="1474" priority="7">
      <formula>MOD(ROW(),2)=0</formula>
    </cfRule>
    <cfRule type="expression" dxfId="1473" priority="8">
      <formula>AND(MOD(ROW(),2)=0,AA$30="Proportion",$F37="Overall change in costs (%)")</formula>
    </cfRule>
    <cfRule type="expression" dxfId="1472" priority="9">
      <formula>AND(MOD(ROW(),1)=0,AA$30="Proportion",$F37="Overall change in costs (%)")</formula>
    </cfRule>
  </conditionalFormatting>
  <conditionalFormatting sqref="U38">
    <cfRule type="expression" dxfId="1471" priority="4">
      <formula>MOD(ROW(),2)=0</formula>
    </cfRule>
    <cfRule type="expression" dxfId="1470" priority="5">
      <formula>AND(MOD(ROW(),2)=0,U$30="Proportion",$F38="Overall change in costs (%)")</formula>
    </cfRule>
    <cfRule type="expression" dxfId="1469" priority="6">
      <formula>AND(MOD(ROW(),1)=0,U$30="Proportion",$F38="Overall change in costs (%)")</formula>
    </cfRule>
  </conditionalFormatting>
  <conditionalFormatting sqref="AD38">
    <cfRule type="expression" dxfId="1468" priority="1">
      <formula>MOD(ROW(),2)=0</formula>
    </cfRule>
    <cfRule type="expression" dxfId="1467" priority="2">
      <formula>AND(MOD(ROW(),2)=0,AD$30="Proportion",$F38="Overall change in costs (%)")</formula>
    </cfRule>
    <cfRule type="expression" dxfId="1466" priority="3">
      <formula>AND(MOD(ROW(),1)=0,AD$30="Proportion",$F38="Overall change in costs (%)")</formula>
    </cfRule>
  </conditionalFormatting>
  <hyperlinks>
    <hyperlink ref="A1" location="Index!A1" display="&lt;&lt;Back to Index" xr:uid="{FEA934E0-9C98-426D-B682-0CFD560E1068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6384-8E6C-448E-B177-43215007D96F}">
  <sheetPr>
    <tabColor rgb="FF00B050"/>
  </sheetPr>
  <dimension ref="A1:AH48"/>
  <sheetViews>
    <sheetView topLeftCell="H1" zoomScaleNormal="100" workbookViewId="0">
      <selection activeCell="A3" sqref="A3"/>
    </sheetView>
  </sheetViews>
  <sheetFormatPr defaultColWidth="8.81640625" defaultRowHeight="14.5" x14ac:dyDescent="0.35"/>
  <cols>
    <col min="1" max="1" width="1.81640625" style="3" customWidth="1"/>
    <col min="2" max="2" width="33.81640625" style="3" bestFit="1" customWidth="1"/>
    <col min="3" max="5" width="13.1796875" style="3" customWidth="1"/>
    <col min="6" max="6" width="26.81640625" style="3" customWidth="1"/>
    <col min="7" max="7" width="5.81640625" style="3" customWidth="1"/>
    <col min="8" max="10" width="10.81640625" style="3" customWidth="1"/>
    <col min="11" max="11" width="1.81640625" style="3" customWidth="1"/>
    <col min="12" max="12" width="10.81640625" style="3" customWidth="1"/>
    <col min="13" max="13" width="12.1796875" style="3" customWidth="1"/>
    <col min="14" max="14" width="13.1796875" style="3" customWidth="1"/>
    <col min="15" max="15" width="10.81640625" style="3" customWidth="1"/>
    <col min="16" max="16" width="5.81640625" style="3" customWidth="1"/>
    <col min="17" max="19" width="10.81640625" style="3" customWidth="1"/>
    <col min="20" max="20" width="1.81640625" style="3" customWidth="1"/>
    <col min="21" max="21" width="10.81640625" style="3" customWidth="1"/>
    <col min="22" max="22" width="12.1796875" style="3" customWidth="1"/>
    <col min="23" max="23" width="13.1796875" style="3" customWidth="1"/>
    <col min="24" max="24" width="10.81640625" style="3" customWidth="1"/>
    <col min="25" max="25" width="5.81640625" style="3" customWidth="1"/>
    <col min="26" max="28" width="10.81640625" style="3" customWidth="1"/>
    <col min="29" max="29" width="1.81640625" style="3" customWidth="1"/>
    <col min="30" max="30" width="10.81640625" style="3" customWidth="1"/>
    <col min="31" max="31" width="12.1796875" style="3" customWidth="1"/>
    <col min="32" max="32" width="8.81640625" style="3" customWidth="1"/>
    <col min="33" max="33" width="10.81640625" style="3" customWidth="1"/>
    <col min="34" max="16384" width="8.81640625" style="3"/>
  </cols>
  <sheetData>
    <row r="1" spans="1:34" ht="10.4" customHeight="1" x14ac:dyDescent="0.35">
      <c r="A1" s="302" t="s">
        <v>20</v>
      </c>
      <c r="B1" s="307"/>
    </row>
    <row r="2" spans="1:34" s="13" customFormat="1" ht="22.5" customHeight="1" x14ac:dyDescent="0.35">
      <c r="A2" s="14" t="s">
        <v>0</v>
      </c>
    </row>
    <row r="3" spans="1:34" s="70" customFormat="1" ht="15" thickBot="1" x14ac:dyDescent="0.4">
      <c r="C3" s="70" t="str">
        <f>$A$2&amp;" "&amp;C6&amp;" "&amp;C7</f>
        <v>Energex Residential without CL</v>
      </c>
      <c r="D3" s="70" t="str">
        <f>$A$2&amp;" "&amp;D6&amp;" "&amp;D7</f>
        <v>Energex Residential with CL</v>
      </c>
      <c r="E3" s="70" t="str">
        <f>$A$2&amp;" "&amp;E6&amp;" "&amp;E7</f>
        <v>Energex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5" x14ac:dyDescent="0.35">
      <c r="B4" s="34" t="s">
        <v>19</v>
      </c>
      <c r="F4" s="34"/>
      <c r="G4" s="84" t="s">
        <v>88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6"/>
    </row>
    <row r="5" spans="1:34" ht="5.15" customHeight="1" x14ac:dyDescent="0.35">
      <c r="B5" s="5"/>
      <c r="G5" s="87"/>
      <c r="H5" s="8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89"/>
    </row>
    <row r="6" spans="1:34" ht="20.149999999999999" customHeight="1" x14ac:dyDescent="0.35">
      <c r="B6" s="331" t="str">
        <f>A2</f>
        <v>Energex</v>
      </c>
      <c r="C6" s="46" t="s">
        <v>6</v>
      </c>
      <c r="D6" s="46" t="s">
        <v>6</v>
      </c>
      <c r="E6" s="46" t="s">
        <v>73</v>
      </c>
      <c r="G6" s="87"/>
      <c r="H6" s="8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89"/>
    </row>
    <row r="7" spans="1:34" ht="20.149999999999999" customHeight="1" x14ac:dyDescent="0.35">
      <c r="B7" s="331"/>
      <c r="C7" s="47" t="s">
        <v>136</v>
      </c>
      <c r="D7" s="47" t="s">
        <v>137</v>
      </c>
      <c r="E7" s="47" t="s">
        <v>136</v>
      </c>
      <c r="G7" s="87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89"/>
    </row>
    <row r="8" spans="1:34" ht="2.15" customHeight="1" x14ac:dyDescent="0.35">
      <c r="B8" s="32"/>
      <c r="C8" s="33"/>
      <c r="D8" s="33"/>
      <c r="E8" s="33"/>
      <c r="G8" s="87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89"/>
    </row>
    <row r="9" spans="1:34" s="44" customFormat="1" ht="30" customHeight="1" x14ac:dyDescent="0.35">
      <c r="B9" s="50" t="str">
        <f>"DMO "&amp;FY&amp;" price ($ pa, inc GST)"</f>
        <v>DMO 2022-23 price ($ pa, inc GST)</v>
      </c>
      <c r="C9" s="177">
        <f ca="1">ROUND(H39,0)</f>
        <v>1620</v>
      </c>
      <c r="D9" s="177">
        <f ca="1">ROUND(Q39,0)</f>
        <v>1961</v>
      </c>
      <c r="E9" s="177">
        <f ca="1">ROUND(Z39,0)</f>
        <v>3446</v>
      </c>
      <c r="F9" s="3"/>
      <c r="G9" s="8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90"/>
    </row>
    <row r="10" spans="1:34" ht="2.15" customHeight="1" x14ac:dyDescent="0.35">
      <c r="B10" s="51"/>
      <c r="C10" s="52"/>
      <c r="D10" s="52"/>
      <c r="E10" s="52"/>
      <c r="F10" s="44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89"/>
    </row>
    <row r="11" spans="1:34" ht="20.149999999999999" customHeight="1" x14ac:dyDescent="0.35">
      <c r="B11" s="53" t="s">
        <v>44</v>
      </c>
      <c r="C11" s="54">
        <f>SUM(C12:C13)</f>
        <v>4600</v>
      </c>
      <c r="D11" s="54">
        <f>SUM(D12:D13)</f>
        <v>6300</v>
      </c>
      <c r="E11" s="54">
        <f>SUM(E12:E13)</f>
        <v>10000</v>
      </c>
      <c r="G11" s="87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89"/>
    </row>
    <row r="12" spans="1:34" ht="20.149999999999999" customHeight="1" x14ac:dyDescent="0.35">
      <c r="B12" s="55" t="s">
        <v>47</v>
      </c>
      <c r="C12" s="56">
        <f t="array" ref="C12">INDEX(Usage!$B$5:$M$18,MATCH($B6,Usage!$B$5:$B$18,0),MATCH(C$6&amp;C$7&amp;"Flat rate"&amp;"Total",Usage!$B$5:$M$5&amp;Usage!$B$6:$M$6&amp;Usage!$B$7:$M$7&amp;Usage!$B$13:$M$13,0))</f>
        <v>4600</v>
      </c>
      <c r="D12" s="56">
        <f t="array" ref="D12">INDEX(Usage!$B$5:$M$18,MATCH($B6,Usage!$B$5:$B$18,0),MATCH(D$6&amp;D$7&amp;"Flat rate"&amp;"Total",Usage!$B$5:$M$5&amp;Usage!$B$6:$M$6&amp;Usage!$B$7:$M$7&amp;Usage!$B$13:$M$13,0))</f>
        <v>4400</v>
      </c>
      <c r="E12" s="56">
        <f t="array" ref="E12">INDEX(Usage!$B$5:$M$18,MATCH($B6,Usage!$B$5:$B$18,0),MATCH(E$6&amp;E$7&amp;"Flat rate"&amp;"Total",Usage!$B$5:$M$5&amp;Usage!$B$6:$M$6&amp;Usage!$B$7:$M$7&amp;Usage!$B$13:$M$13,0))</f>
        <v>10000</v>
      </c>
      <c r="G12" s="87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89"/>
    </row>
    <row r="13" spans="1:34" ht="20.149999999999999" customHeight="1" x14ac:dyDescent="0.35">
      <c r="B13" s="55" t="s">
        <v>46</v>
      </c>
      <c r="C13" s="56"/>
      <c r="D13" s="56">
        <f t="array" ref="D13">INDEX(Usage!$B$5:$M$18,MATCH($B6,Usage!$B$5:$B$18,0),MATCH(D$6&amp;D$7&amp;"CL"&amp;"Total",Usage!$B$5:$M$5&amp;Usage!$B$6:$M$6&amp;Usage!$B$7:$M$7&amp;Usage!$B$13:$M$13,0))</f>
        <v>1900</v>
      </c>
      <c r="E13" s="56"/>
      <c r="G13" s="8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89"/>
    </row>
    <row r="14" spans="1:34" ht="2.15" customHeight="1" x14ac:dyDescent="0.35">
      <c r="B14" s="57"/>
      <c r="C14" s="57"/>
      <c r="D14" s="57"/>
      <c r="E14" s="57"/>
      <c r="G14" s="87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89"/>
    </row>
    <row r="15" spans="1:34" ht="20.149999999999999" customHeight="1" x14ac:dyDescent="0.35">
      <c r="B15" s="55" t="str">
        <f>"Change from DMO "&amp;PY&amp; " price ($)"</f>
        <v>Change from DMO 2021-22 price ($)</v>
      </c>
      <c r="C15" s="128">
        <f ca="1">C9-H32</f>
        <v>165</v>
      </c>
      <c r="D15" s="128">
        <f ca="1">D9-Q32</f>
        <v>220</v>
      </c>
      <c r="E15" s="128"/>
      <c r="G15" s="87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89"/>
    </row>
    <row r="16" spans="1:34" ht="20.149999999999999" customHeight="1" thickBot="1" x14ac:dyDescent="0.4">
      <c r="B16" s="58" t="str">
        <f>"Change from DMO "&amp;PY&amp; " price (%)"</f>
        <v>Change from DMO 2021-22 price (%)</v>
      </c>
      <c r="C16" s="108">
        <f ca="1">C9/H32-1</f>
        <v>0.11340206185567014</v>
      </c>
      <c r="D16" s="108">
        <f ca="1">D9/Q32-1</f>
        <v>0.12636415852958072</v>
      </c>
      <c r="E16" s="108"/>
      <c r="G16" s="8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89"/>
    </row>
    <row r="17" spans="2:34" ht="15" thickTop="1" x14ac:dyDescent="0.35">
      <c r="B17" s="81" t="s">
        <v>87</v>
      </c>
      <c r="G17" s="8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89"/>
    </row>
    <row r="18" spans="2:34" x14ac:dyDescent="0.35">
      <c r="G18" s="87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89"/>
    </row>
    <row r="19" spans="2:34" x14ac:dyDescent="0.35">
      <c r="C19" s="79"/>
      <c r="D19" s="179"/>
      <c r="G19" s="87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89"/>
    </row>
    <row r="20" spans="2:34" ht="15.5" x14ac:dyDescent="0.35">
      <c r="B20" s="34"/>
      <c r="D20" s="179"/>
      <c r="G20" s="87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89"/>
    </row>
    <row r="21" spans="2:34" ht="15" customHeight="1" thickBot="1" x14ac:dyDescent="0.4">
      <c r="B21" s="32"/>
      <c r="D21" s="32"/>
      <c r="E21" s="32"/>
      <c r="F21" s="34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</row>
    <row r="22" spans="2:34" s="35" customFormat="1" ht="15.5" x14ac:dyDescent="0.35">
      <c r="F22" s="34"/>
      <c r="G22" s="3"/>
      <c r="H22" s="32"/>
      <c r="I22" s="32"/>
      <c r="J22" s="32"/>
      <c r="K22" s="3"/>
      <c r="L22" s="3"/>
      <c r="M22" s="3"/>
      <c r="N22" s="32"/>
      <c r="O22" s="32"/>
      <c r="P22" s="32"/>
      <c r="Q22" s="32"/>
      <c r="R22" s="32"/>
      <c r="S22" s="32"/>
      <c r="T22" s="3"/>
      <c r="U22" s="32"/>
      <c r="V22" s="32"/>
      <c r="W22" s="32"/>
      <c r="X22" s="32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5" hidden="1" x14ac:dyDescent="0.35">
      <c r="F23" s="34"/>
      <c r="G23" s="3"/>
      <c r="H23" s="32" t="str">
        <f>$H$27</f>
        <v>Residential</v>
      </c>
      <c r="I23" s="32" t="str">
        <f>$H$27</f>
        <v>Residential</v>
      </c>
      <c r="J23" s="32" t="str">
        <f>$H$27</f>
        <v>Residential</v>
      </c>
      <c r="K23" s="32"/>
      <c r="L23" s="32" t="str">
        <f>$H$27</f>
        <v>Residential</v>
      </c>
      <c r="M23" s="32" t="str">
        <f>$H$27</f>
        <v>Residential</v>
      </c>
      <c r="N23" s="32" t="str">
        <f>$H$27</f>
        <v>Residential</v>
      </c>
      <c r="O23" s="32" t="str">
        <f>$H$27</f>
        <v>Residential</v>
      </c>
      <c r="P23" s="32"/>
      <c r="Q23" s="32" t="str">
        <f>$Q$27</f>
        <v>Residential</v>
      </c>
      <c r="R23" s="32" t="str">
        <f>$Q$27</f>
        <v>Residential</v>
      </c>
      <c r="S23" s="32" t="str">
        <f>$Q$27</f>
        <v>Residential</v>
      </c>
      <c r="T23" s="3"/>
      <c r="U23" s="32" t="str">
        <f>$Q$27</f>
        <v>Residential</v>
      </c>
      <c r="V23" s="32" t="str">
        <f>$Q$27</f>
        <v>Residential</v>
      </c>
      <c r="W23" s="32" t="str">
        <f>$Q$27</f>
        <v>Residential</v>
      </c>
      <c r="X23" s="32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5" hidden="1" x14ac:dyDescent="0.35">
      <c r="F24" s="34"/>
      <c r="G24" s="3"/>
      <c r="H24" s="32" t="str">
        <f>$H$28</f>
        <v>without CL</v>
      </c>
      <c r="I24" s="32" t="str">
        <f>$H$28</f>
        <v>without CL</v>
      </c>
      <c r="J24" s="32" t="str">
        <f>$H$28</f>
        <v>without CL</v>
      </c>
      <c r="K24" s="32"/>
      <c r="L24" s="32" t="str">
        <f>$H$28</f>
        <v>without CL</v>
      </c>
      <c r="M24" s="32" t="str">
        <f>$H$28</f>
        <v>without CL</v>
      </c>
      <c r="N24" s="32" t="str">
        <f>$H$28</f>
        <v>without CL</v>
      </c>
      <c r="O24" s="32" t="str">
        <f>$H$28</f>
        <v>without CL</v>
      </c>
      <c r="P24" s="32"/>
      <c r="Q24" s="32" t="str">
        <f>$Q$28</f>
        <v>with CL</v>
      </c>
      <c r="R24" s="32" t="str">
        <f>$Q$28</f>
        <v>with CL</v>
      </c>
      <c r="S24" s="32" t="str">
        <f>$Q$28</f>
        <v>with CL</v>
      </c>
      <c r="T24" s="3"/>
      <c r="U24" s="32" t="str">
        <f>$Q$28</f>
        <v>with CL</v>
      </c>
      <c r="V24" s="32" t="str">
        <f>$Q$28</f>
        <v>with CL</v>
      </c>
      <c r="W24" s="32" t="str">
        <f>$Q$28</f>
        <v>with CL</v>
      </c>
      <c r="X24" s="32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5" hidden="1" x14ac:dyDescent="0.35">
      <c r="F25" s="34"/>
      <c r="G25" s="3"/>
      <c r="H25" s="32"/>
      <c r="I25" s="32" t="str">
        <f>$I$29</f>
        <v>2021-22</v>
      </c>
      <c r="J25" s="32" t="str">
        <f>$I$29</f>
        <v>2021-22</v>
      </c>
      <c r="K25" s="3"/>
      <c r="L25" s="32" t="str">
        <f>$L$29</f>
        <v>2022-23</v>
      </c>
      <c r="M25" s="32" t="str">
        <f>$L$29</f>
        <v>2022-23</v>
      </c>
      <c r="N25" s="32" t="str">
        <f>$L$29</f>
        <v>2022-23</v>
      </c>
      <c r="O25" s="32" t="str">
        <f>$L$29</f>
        <v>2022-23</v>
      </c>
      <c r="P25" s="32"/>
      <c r="Q25" s="32"/>
      <c r="R25" s="32" t="str">
        <f>$R$29</f>
        <v>2021-22</v>
      </c>
      <c r="S25" s="32" t="str">
        <f>$R$29</f>
        <v>2021-22</v>
      </c>
      <c r="T25" s="3"/>
      <c r="U25" s="32" t="str">
        <f>$U$29</f>
        <v>2022-23</v>
      </c>
      <c r="V25" s="32" t="str">
        <f>$U$29</f>
        <v>2022-23</v>
      </c>
      <c r="W25" s="32" t="str">
        <f>$U$29</f>
        <v>2022-23</v>
      </c>
      <c r="X25" s="32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5" customFormat="1" ht="15.5" x14ac:dyDescent="0.35">
      <c r="F26" s="34" t="s">
        <v>39</v>
      </c>
      <c r="G26" s="107" t="s">
        <v>138</v>
      </c>
      <c r="H26" s="32"/>
      <c r="I26" s="32"/>
      <c r="J26" s="32"/>
      <c r="K26" s="3"/>
      <c r="L26" s="3"/>
      <c r="M26" s="3"/>
      <c r="N26" s="32"/>
      <c r="O26" s="32"/>
      <c r="P26" s="32"/>
      <c r="Q26" s="32"/>
      <c r="R26" s="32"/>
      <c r="S26" s="32"/>
      <c r="T26" s="3"/>
      <c r="U26" s="32"/>
      <c r="V26" s="32"/>
      <c r="W26" s="32"/>
      <c r="X26" s="32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35">
      <c r="F27" s="332" t="s">
        <v>33</v>
      </c>
      <c r="G27" s="82"/>
      <c r="H27" s="333" t="s">
        <v>6</v>
      </c>
      <c r="I27" s="333"/>
      <c r="J27" s="333"/>
      <c r="K27" s="333"/>
      <c r="L27" s="333"/>
      <c r="M27" s="333"/>
      <c r="N27" s="333"/>
      <c r="O27" s="333"/>
      <c r="P27" s="219"/>
      <c r="Q27" s="333" t="s">
        <v>6</v>
      </c>
      <c r="R27" s="333"/>
      <c r="S27" s="333"/>
      <c r="T27" s="333"/>
      <c r="U27" s="333"/>
      <c r="V27" s="333"/>
      <c r="W27" s="333"/>
      <c r="X27" s="333"/>
      <c r="Y27" s="219"/>
      <c r="Z27" s="333" t="s">
        <v>73</v>
      </c>
      <c r="AA27" s="333"/>
      <c r="AB27" s="333"/>
      <c r="AC27" s="333"/>
      <c r="AD27" s="333"/>
      <c r="AE27" s="333"/>
      <c r="AF27" s="333"/>
      <c r="AG27" s="333"/>
    </row>
    <row r="28" spans="2:34" ht="15" thickBot="1" x14ac:dyDescent="0.4">
      <c r="F28" s="332"/>
      <c r="G28" s="82"/>
      <c r="H28" s="335" t="s">
        <v>136</v>
      </c>
      <c r="I28" s="335"/>
      <c r="J28" s="335"/>
      <c r="K28" s="335"/>
      <c r="L28" s="335"/>
      <c r="M28" s="335"/>
      <c r="N28" s="335"/>
      <c r="O28" s="335"/>
      <c r="P28" s="219"/>
      <c r="Q28" s="335" t="s">
        <v>137</v>
      </c>
      <c r="R28" s="335"/>
      <c r="S28" s="335"/>
      <c r="T28" s="335"/>
      <c r="U28" s="335"/>
      <c r="V28" s="335"/>
      <c r="W28" s="335"/>
      <c r="X28" s="335"/>
      <c r="Y28" s="219"/>
      <c r="Z28" s="335" t="s">
        <v>136</v>
      </c>
      <c r="AA28" s="335"/>
      <c r="AB28" s="335"/>
      <c r="AC28" s="335"/>
      <c r="AD28" s="335"/>
      <c r="AE28" s="335"/>
      <c r="AF28" s="335"/>
      <c r="AG28" s="335"/>
    </row>
    <row r="29" spans="2:34" ht="15" customHeight="1" thickTop="1" x14ac:dyDescent="0.35">
      <c r="F29" s="332"/>
      <c r="G29" s="83"/>
      <c r="H29" s="219" t="s">
        <v>63</v>
      </c>
      <c r="I29" s="334" t="str">
        <f>PY</f>
        <v>2021-22</v>
      </c>
      <c r="J29" s="334"/>
      <c r="K29" s="219"/>
      <c r="L29" s="334" t="str">
        <f>FY</f>
        <v>2022-23</v>
      </c>
      <c r="M29" s="334"/>
      <c r="N29" s="334"/>
      <c r="O29" s="334"/>
      <c r="P29" s="277"/>
      <c r="Q29" s="219" t="s">
        <v>63</v>
      </c>
      <c r="R29" s="334" t="str">
        <f>PY</f>
        <v>2021-22</v>
      </c>
      <c r="S29" s="334"/>
      <c r="T29" s="219"/>
      <c r="U29" s="334" t="str">
        <f>FY</f>
        <v>2022-23</v>
      </c>
      <c r="V29" s="334"/>
      <c r="W29" s="334"/>
      <c r="X29" s="334"/>
      <c r="Y29" s="277"/>
      <c r="Z29" s="219" t="s">
        <v>63</v>
      </c>
      <c r="AA29" s="334" t="str">
        <f>PY</f>
        <v>2021-22</v>
      </c>
      <c r="AB29" s="334"/>
      <c r="AC29" s="219"/>
      <c r="AD29" s="334" t="str">
        <f>FY</f>
        <v>2022-23</v>
      </c>
      <c r="AE29" s="334"/>
      <c r="AF29" s="334"/>
      <c r="AG29" s="334"/>
    </row>
    <row r="30" spans="2:34" ht="26" x14ac:dyDescent="0.35">
      <c r="F30" s="332"/>
      <c r="G30" s="83"/>
      <c r="H30" s="264"/>
      <c r="I30" s="265" t="s">
        <v>23</v>
      </c>
      <c r="J30" s="265" t="s">
        <v>25</v>
      </c>
      <c r="K30" s="266"/>
      <c r="L30" s="265" t="s">
        <v>22</v>
      </c>
      <c r="M30" s="267" t="s">
        <v>175</v>
      </c>
      <c r="N30" s="265" t="s">
        <v>23</v>
      </c>
      <c r="O30" s="265" t="s">
        <v>25</v>
      </c>
      <c r="P30" s="265"/>
      <c r="Q30" s="266"/>
      <c r="R30" s="265" t="s">
        <v>23</v>
      </c>
      <c r="S30" s="265" t="s">
        <v>25</v>
      </c>
      <c r="T30" s="266"/>
      <c r="U30" s="265" t="s">
        <v>22</v>
      </c>
      <c r="V30" s="267" t="s">
        <v>45</v>
      </c>
      <c r="W30" s="265" t="s">
        <v>23</v>
      </c>
      <c r="X30" s="265" t="s">
        <v>25</v>
      </c>
      <c r="Y30" s="265"/>
      <c r="Z30" s="266"/>
      <c r="AA30" s="265" t="s">
        <v>23</v>
      </c>
      <c r="AB30" s="265" t="s">
        <v>25</v>
      </c>
      <c r="AC30" s="266"/>
      <c r="AD30" s="265" t="s">
        <v>22</v>
      </c>
      <c r="AE30" s="267" t="s">
        <v>45</v>
      </c>
      <c r="AF30" s="265" t="s">
        <v>23</v>
      </c>
      <c r="AG30" s="265" t="s">
        <v>25</v>
      </c>
    </row>
    <row r="31" spans="2:34" ht="15" customHeight="1" x14ac:dyDescent="0.35">
      <c r="F31" s="332"/>
      <c r="G31" s="83"/>
      <c r="H31" s="265" t="s">
        <v>64</v>
      </c>
      <c r="I31" s="265" t="s">
        <v>41</v>
      </c>
      <c r="J31" s="265" t="s">
        <v>29</v>
      </c>
      <c r="K31" s="266"/>
      <c r="L31" s="265" t="s">
        <v>29</v>
      </c>
      <c r="M31" s="265" t="s">
        <v>29</v>
      </c>
      <c r="N31" s="265" t="s">
        <v>41</v>
      </c>
      <c r="O31" s="265" t="s">
        <v>29</v>
      </c>
      <c r="P31" s="265"/>
      <c r="Q31" s="265"/>
      <c r="R31" s="265" t="s">
        <v>41</v>
      </c>
      <c r="S31" s="265" t="s">
        <v>29</v>
      </c>
      <c r="T31" s="266"/>
      <c r="U31" s="265" t="s">
        <v>29</v>
      </c>
      <c r="V31" s="265" t="s">
        <v>29</v>
      </c>
      <c r="W31" s="265" t="s">
        <v>41</v>
      </c>
      <c r="X31" s="265" t="s">
        <v>29</v>
      </c>
      <c r="Y31" s="265"/>
      <c r="Z31" s="265"/>
      <c r="AA31" s="265" t="s">
        <v>41</v>
      </c>
      <c r="AB31" s="265" t="s">
        <v>29</v>
      </c>
      <c r="AC31" s="266"/>
      <c r="AD31" s="265" t="s">
        <v>29</v>
      </c>
      <c r="AE31" s="265" t="s">
        <v>29</v>
      </c>
      <c r="AF31" s="265" t="s">
        <v>41</v>
      </c>
      <c r="AG31" s="265" t="s">
        <v>29</v>
      </c>
    </row>
    <row r="32" spans="2:34" ht="15" customHeight="1" x14ac:dyDescent="0.35">
      <c r="F32" s="48" t="str">
        <f>"DMO "&amp;PY&amp;" price"</f>
        <v>DMO 2021-22 price</v>
      </c>
      <c r="G32" s="48"/>
      <c r="H32" s="268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1455</v>
      </c>
      <c r="I32" s="269"/>
      <c r="J32" s="269"/>
      <c r="K32" s="269"/>
      <c r="L32" s="269"/>
      <c r="M32" s="269"/>
      <c r="N32" s="269"/>
      <c r="O32" s="269"/>
      <c r="P32" s="269"/>
      <c r="Q32" s="268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1741</v>
      </c>
      <c r="R32" s="268"/>
      <c r="S32" s="269"/>
      <c r="T32" s="269"/>
      <c r="U32" s="269"/>
      <c r="V32" s="269"/>
      <c r="W32" s="270"/>
      <c r="X32" s="269"/>
      <c r="Y32" s="270"/>
      <c r="Z32" s="268"/>
      <c r="AA32" s="268"/>
      <c r="AB32" s="269"/>
      <c r="AC32" s="269"/>
      <c r="AD32" s="269"/>
      <c r="AE32" s="269"/>
      <c r="AF32" s="269"/>
      <c r="AG32" s="269"/>
    </row>
    <row r="33" spans="2:33" ht="15" customHeight="1" x14ac:dyDescent="0.35">
      <c r="F33" s="49" t="s">
        <v>58</v>
      </c>
      <c r="G33" s="49"/>
      <c r="H33" s="270"/>
      <c r="I33" s="268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676.75234000000023</v>
      </c>
      <c r="J33" s="269">
        <f t="shared" ref="J33:J38" ca="1" si="0">I33/H$32</f>
        <v>0.46512188316151221</v>
      </c>
      <c r="K33" s="269"/>
      <c r="L33" s="271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-7.3634972580959634E-2</v>
      </c>
      <c r="M33" s="269">
        <f ca="1">J33*L33</f>
        <v>-3.4249237113402262E-2</v>
      </c>
      <c r="N33" s="268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626.91969999999992</v>
      </c>
      <c r="O33" s="269">
        <f t="shared" ref="O33:O38" ca="1" si="1">N33/H$39</f>
        <v>0.38693704521496397</v>
      </c>
      <c r="P33" s="269"/>
      <c r="Q33" s="269"/>
      <c r="R33" s="268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767.09935500000006</v>
      </c>
      <c r="S33" s="269">
        <f t="shared" ref="S33:S38" ca="1" si="2">R33/Q$32</f>
        <v>0.44060847501435962</v>
      </c>
      <c r="T33" s="269"/>
      <c r="U33" s="271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-7.6439452878956149E-2</v>
      </c>
      <c r="V33" s="269">
        <f ca="1">S33*U33</f>
        <v>-3.3679870763928872E-2</v>
      </c>
      <c r="W33" s="268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708.46269999999993</v>
      </c>
      <c r="X33" s="269">
        <f t="shared" ref="X33:X38" ca="1" si="3">W33/Q$39</f>
        <v>0.36135087036594671</v>
      </c>
      <c r="Y33" s="270"/>
      <c r="Z33" s="270"/>
      <c r="AA33" s="268"/>
      <c r="AB33" s="269"/>
      <c r="AC33" s="269"/>
      <c r="AD33" s="271"/>
      <c r="AE33" s="269"/>
      <c r="AF33" s="268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1220.2773000000002</v>
      </c>
      <c r="AG33" s="269">
        <f t="shared" ref="AG33:AG38" ca="1" si="4">AF33/Z$39</f>
        <v>0.35412052679336936</v>
      </c>
    </row>
    <row r="34" spans="2:33" ht="15" customHeight="1" x14ac:dyDescent="0.35">
      <c r="F34" s="49" t="s">
        <v>59</v>
      </c>
      <c r="G34" s="49"/>
      <c r="H34" s="270"/>
      <c r="I34" s="268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374.59180000000003</v>
      </c>
      <c r="J34" s="269">
        <f t="shared" ca="1" si="0"/>
        <v>0.25745140893470791</v>
      </c>
      <c r="K34" s="269"/>
      <c r="L34" s="271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0.49304336079967559</v>
      </c>
      <c r="M34" s="269">
        <f ca="1">J34*L34</f>
        <v>0.12693470790378003</v>
      </c>
      <c r="N34" s="268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559.28179999999998</v>
      </c>
      <c r="O34" s="269">
        <f t="shared" ca="1" si="1"/>
        <v>0.34519069529081065</v>
      </c>
      <c r="P34" s="269"/>
      <c r="Q34" s="269"/>
      <c r="R34" s="268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484.75312600000001</v>
      </c>
      <c r="S34" s="269">
        <f t="shared" ca="1" si="2"/>
        <v>0.27843373118897186</v>
      </c>
      <c r="T34" s="269"/>
      <c r="U34" s="271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0.49804892232917752</v>
      </c>
      <c r="V34" s="269">
        <f ca="1">S34*U34</f>
        <v>0.13867361975875933</v>
      </c>
      <c r="W34" s="268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726.183898</v>
      </c>
      <c r="X34" s="269">
        <f t="shared" ca="1" si="3"/>
        <v>0.37038955415441899</v>
      </c>
      <c r="Y34" s="270"/>
      <c r="Z34" s="270"/>
      <c r="AA34" s="268"/>
      <c r="AB34" s="269"/>
      <c r="AC34" s="269"/>
      <c r="AD34" s="271"/>
      <c r="AE34" s="269"/>
      <c r="AF34" s="268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1215.83</v>
      </c>
      <c r="AG34" s="269">
        <f t="shared" ca="1" si="4"/>
        <v>0.35282993471334934</v>
      </c>
    </row>
    <row r="35" spans="2:33" ht="15" customHeight="1" x14ac:dyDescent="0.35">
      <c r="F35" s="49" t="s">
        <v>60</v>
      </c>
      <c r="G35" s="49"/>
      <c r="H35" s="270"/>
      <c r="I35" s="268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84.754999999999995</v>
      </c>
      <c r="J35" s="269">
        <f t="shared" ca="1" si="0"/>
        <v>5.8250859106529204E-2</v>
      </c>
      <c r="K35" s="269"/>
      <c r="L35" s="271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2.0895522388059806E-2</v>
      </c>
      <c r="M35" s="269">
        <f ca="1">J35*L35</f>
        <v>1.2171821305841984E-3</v>
      </c>
      <c r="N35" s="268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86.525999999999996</v>
      </c>
      <c r="O35" s="269">
        <f t="shared" ca="1" si="1"/>
        <v>5.3404151718744797E-2</v>
      </c>
      <c r="P35" s="269"/>
      <c r="Q35" s="269"/>
      <c r="R35" s="268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116.07749999999999</v>
      </c>
      <c r="S35" s="269">
        <f t="shared" ca="1" si="2"/>
        <v>6.6672889144170008E-2</v>
      </c>
      <c r="T35" s="269"/>
      <c r="U35" s="271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2.0895522388059806E-2</v>
      </c>
      <c r="V35" s="269">
        <f ca="1">S35*U35</f>
        <v>1.3931648477886341E-3</v>
      </c>
      <c r="W35" s="268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118.50299999999999</v>
      </c>
      <c r="X35" s="269">
        <f t="shared" ca="1" si="3"/>
        <v>6.044236653669386E-2</v>
      </c>
      <c r="Y35" s="270"/>
      <c r="Z35" s="270"/>
      <c r="AA35" s="268"/>
      <c r="AB35" s="269"/>
      <c r="AC35" s="269"/>
      <c r="AD35" s="271"/>
      <c r="AE35" s="269"/>
      <c r="AF35" s="268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188.1</v>
      </c>
      <c r="AG35" s="269">
        <f t="shared" ca="1" si="4"/>
        <v>5.4586011794067434E-2</v>
      </c>
    </row>
    <row r="36" spans="2:33" ht="15" customHeight="1" x14ac:dyDescent="0.35">
      <c r="F36" s="49" t="s">
        <v>196</v>
      </c>
      <c r="G36" s="49"/>
      <c r="H36" s="270"/>
      <c r="I36" s="268">
        <f ca="1">H32-SUM(I33:I35)</f>
        <v>318.90085999999974</v>
      </c>
      <c r="J36" s="269">
        <f t="shared" ca="1" si="0"/>
        <v>0.21917584879725069</v>
      </c>
      <c r="K36" s="269"/>
      <c r="L36" s="269">
        <f ca="1">(N36-I36)/I36</f>
        <v>-1</v>
      </c>
      <c r="M36" s="269">
        <f ca="1">J36*L36</f>
        <v>-0.21917584879725069</v>
      </c>
      <c r="N36" s="268">
        <v>0</v>
      </c>
      <c r="O36" s="269">
        <f t="shared" ca="1" si="1"/>
        <v>0</v>
      </c>
      <c r="P36" s="269"/>
      <c r="Q36" s="269"/>
      <c r="R36" s="268">
        <f ca="1">Q32-SUM(R33:R35)</f>
        <v>373.07001899999977</v>
      </c>
      <c r="S36" s="269">
        <f t="shared" ca="1" si="2"/>
        <v>0.21428490465249844</v>
      </c>
      <c r="T36" s="269"/>
      <c r="U36" s="269">
        <f ca="1">(W36-R36)/R36</f>
        <v>-1</v>
      </c>
      <c r="V36" s="269">
        <f ca="1">S36*U36</f>
        <v>-0.21428490465249844</v>
      </c>
      <c r="W36" s="268">
        <v>0</v>
      </c>
      <c r="X36" s="269">
        <f t="shared" ca="1" si="3"/>
        <v>0</v>
      </c>
      <c r="Y36" s="270"/>
      <c r="Z36" s="270"/>
      <c r="AA36" s="268"/>
      <c r="AB36" s="269"/>
      <c r="AC36" s="269"/>
      <c r="AD36" s="269"/>
      <c r="AE36" s="269"/>
      <c r="AF36" s="268">
        <v>0</v>
      </c>
      <c r="AG36" s="269">
        <f t="shared" ca="1" si="4"/>
        <v>0</v>
      </c>
    </row>
    <row r="37" spans="2:33" ht="15" customHeight="1" x14ac:dyDescent="0.35">
      <c r="F37" s="49" t="s">
        <v>193</v>
      </c>
      <c r="G37" s="49"/>
      <c r="H37" s="270"/>
      <c r="I37" s="268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69">
        <f t="shared" ca="1" si="0"/>
        <v>0</v>
      </c>
      <c r="K37" s="269"/>
      <c r="L37" s="276" t="str">
        <f ca="1">IFERROR((N37-I37)/I37,"New cost component")</f>
        <v>New cost component</v>
      </c>
      <c r="M37" s="271">
        <f ca="1">(N37-I37)/H32</f>
        <v>0.14528239029395806</v>
      </c>
      <c r="N37" s="268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211.38587787770896</v>
      </c>
      <c r="O37" s="269">
        <f t="shared" ca="1" si="1"/>
        <v>0.13046810777548054</v>
      </c>
      <c r="P37" s="269"/>
      <c r="Q37" s="269"/>
      <c r="R37" s="268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69">
        <f t="shared" ca="1" si="2"/>
        <v>0</v>
      </c>
      <c r="T37" s="269"/>
      <c r="U37" s="276" t="str">
        <f ca="1">IFERROR((W37-R37)/R37,"New cost component")</f>
        <v>New cost component</v>
      </c>
      <c r="V37" s="271">
        <f ca="1">(W37-R37)/Q32</f>
        <v>0.12141635719569728</v>
      </c>
      <c r="W37" s="268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211.38587787770896</v>
      </c>
      <c r="X37" s="269">
        <f t="shared" ca="1" si="3"/>
        <v>0.10781720894294063</v>
      </c>
      <c r="Y37" s="270"/>
      <c r="Z37" s="270"/>
      <c r="AA37" s="268"/>
      <c r="AB37" s="269"/>
      <c r="AC37" s="269"/>
      <c r="AD37" s="275"/>
      <c r="AE37" s="271"/>
      <c r="AF37" s="268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235.92105282770893</v>
      </c>
      <c r="AG37" s="269">
        <f t="shared" ca="1" si="4"/>
        <v>6.8463526699213864E-2</v>
      </c>
    </row>
    <row r="38" spans="2:33" ht="15" customHeight="1" x14ac:dyDescent="0.35">
      <c r="F38" s="49" t="s">
        <v>195</v>
      </c>
      <c r="G38" s="49"/>
      <c r="H38" s="270"/>
      <c r="I38" s="268">
        <v>0</v>
      </c>
      <c r="J38" s="269">
        <f t="shared" si="0"/>
        <v>0</v>
      </c>
      <c r="K38" s="269"/>
      <c r="L38" s="276" t="str">
        <f ca="1">IFERROR((N38-I38)/I38,"New cost component")</f>
        <v>New cost component</v>
      </c>
      <c r="M38" s="271">
        <f ca="1">(N38-I38)/H32</f>
        <v>9.3537961060135635E-2</v>
      </c>
      <c r="N38" s="268">
        <f ca="1">SUM(N33:N37)/(1-SUMIFS('Detail inputs'!$J:$J,'Detail inputs'!$B:$B,$B$6,'Detail inputs'!$G:$G,$F$38,'Detail inputs'!$D:$D,$H$27,'Detail inputs'!$E:$E,H28))-SUM(N33:N37)</f>
        <v>136.09773334249735</v>
      </c>
      <c r="O38" s="269">
        <f t="shared" ca="1" si="1"/>
        <v>8.4000000000000019E-2</v>
      </c>
      <c r="P38" s="269"/>
      <c r="Q38" s="269"/>
      <c r="R38" s="268">
        <v>0</v>
      </c>
      <c r="S38" s="269">
        <f t="shared" si="2"/>
        <v>0</v>
      </c>
      <c r="T38" s="269"/>
      <c r="U38" s="276" t="str">
        <f ca="1">IFERROR((W38-R38)/R38,"New cost component")</f>
        <v>New cost component</v>
      </c>
      <c r="V38" s="271">
        <f ca="1">(W38-R38)/Q32</f>
        <v>0.11261315182064636</v>
      </c>
      <c r="W38" s="268">
        <f ca="1">SUM(W33:W37)/(1-SUMIFS('Detail inputs'!$J:$J,'Detail inputs'!$B:$B,$B$6,'Detail inputs'!$G:$G,$F$38,'Detail inputs'!$D:$D,$Q$27,'Detail inputs'!$E:$E,Q28))-SUM(W33:W37)</f>
        <v>196.05949731974533</v>
      </c>
      <c r="X38" s="269">
        <f t="shared" ca="1" si="3"/>
        <v>9.9999999999999964E-2</v>
      </c>
      <c r="Y38" s="270"/>
      <c r="Z38" s="270"/>
      <c r="AA38" s="268"/>
      <c r="AB38" s="269"/>
      <c r="AC38" s="269"/>
      <c r="AD38" s="275"/>
      <c r="AE38" s="271"/>
      <c r="AF38" s="268">
        <f ca="1">SUM(AF33:AF37)/(1-SUMIFS('Detail inputs'!$J:$J,'Detail inputs'!$B:$B,$B$6,'Detail inputs'!$G:$G,$F$38,'Detail inputs'!$D:$D,$Z$27,'Detail inputs'!$E:$E,Z28))-SUM(AF33:AF37)</f>
        <v>585.80942166350678</v>
      </c>
      <c r="AG38" s="269">
        <f t="shared" ca="1" si="4"/>
        <v>0.17000000000000004</v>
      </c>
    </row>
    <row r="39" spans="2:33" ht="15" thickBot="1" x14ac:dyDescent="0.4">
      <c r="B39" s="81"/>
      <c r="F39" s="77" t="str">
        <f>"DMO "&amp;FY&amp;" price"</f>
        <v>DMO 2022-23 price</v>
      </c>
      <c r="G39" s="77"/>
      <c r="H39" s="272">
        <f ca="1">SUM(N33:N38)</f>
        <v>1620.2111112202062</v>
      </c>
      <c r="I39" s="273"/>
      <c r="J39" s="273"/>
      <c r="K39" s="273"/>
      <c r="L39" s="273">
        <f ca="1">H39/H32-1</f>
        <v>0.11354715547780492</v>
      </c>
      <c r="M39" s="273"/>
      <c r="N39" s="273"/>
      <c r="O39" s="273"/>
      <c r="P39" s="273"/>
      <c r="Q39" s="272">
        <f ca="1">SUM(W33:W38)</f>
        <v>1960.594973197454</v>
      </c>
      <c r="R39" s="272"/>
      <c r="S39" s="273"/>
      <c r="T39" s="273"/>
      <c r="U39" s="273">
        <f ca="1">Q39/Q32-1</f>
        <v>0.12613151820646418</v>
      </c>
      <c r="V39" s="273"/>
      <c r="W39" s="274"/>
      <c r="X39" s="274"/>
      <c r="Y39" s="274"/>
      <c r="Z39" s="272">
        <f ca="1">SUM(AF33:AF38)</f>
        <v>3445.9377744912158</v>
      </c>
      <c r="AA39" s="272"/>
      <c r="AB39" s="273"/>
      <c r="AC39" s="273"/>
      <c r="AD39" s="273"/>
      <c r="AE39" s="273"/>
      <c r="AF39" s="273"/>
      <c r="AG39" s="273"/>
    </row>
    <row r="40" spans="2:33" ht="15" thickTop="1" x14ac:dyDescent="0.35">
      <c r="F40" s="120"/>
    </row>
    <row r="41" spans="2:33" x14ac:dyDescent="0.35">
      <c r="F41" s="107"/>
    </row>
    <row r="43" spans="2:33" x14ac:dyDescent="0.35">
      <c r="F43" s="120"/>
      <c r="O43" s="199"/>
    </row>
    <row r="44" spans="2:33" s="105" customFormat="1" ht="12" x14ac:dyDescent="0.35">
      <c r="H44" s="106"/>
    </row>
    <row r="48" spans="2:33" x14ac:dyDescent="0.35">
      <c r="H48" s="79"/>
    </row>
  </sheetData>
  <mergeCells count="15">
    <mergeCell ref="A1:B1"/>
    <mergeCell ref="B6:B7"/>
    <mergeCell ref="F27:F31"/>
    <mergeCell ref="H27:O27"/>
    <mergeCell ref="Q27:X27"/>
    <mergeCell ref="L29:O29"/>
    <mergeCell ref="R29:S29"/>
    <mergeCell ref="U29:X29"/>
    <mergeCell ref="Z27:AG27"/>
    <mergeCell ref="H28:O28"/>
    <mergeCell ref="Q28:X28"/>
    <mergeCell ref="Z28:AG28"/>
    <mergeCell ref="I29:J29"/>
    <mergeCell ref="AA29:AB29"/>
    <mergeCell ref="AD29:AG29"/>
  </mergeCells>
  <conditionalFormatting sqref="F36:H37 Y39:AE39 F39:M39 P39:V39 F32:AG35 Y36:Z37 V37 AE37 J36:Q37 F38:T38 V38:AC38 AE38:AG38">
    <cfRule type="expression" dxfId="1465" priority="56">
      <formula>MOD(ROW(),2)=0</formula>
    </cfRule>
    <cfRule type="expression" dxfId="1464" priority="57">
      <formula>AND(MOD(ROW(),2)=0,F$30="Proportion",$F32="Overall change in costs (%)")</formula>
    </cfRule>
    <cfRule type="expression" dxfId="1463" priority="58">
      <formula>AND(MOD(ROW(),1)=0,F$30="Proportion",$F32="Overall change in costs (%)")</formula>
    </cfRule>
  </conditionalFormatting>
  <conditionalFormatting sqref="P44:R44 G44:J44 Y44:AA44 M44:N44">
    <cfRule type="cellIs" dxfId="1462" priority="54" operator="equal">
      <formula>FALSE</formula>
    </cfRule>
    <cfRule type="cellIs" dxfId="1461" priority="55" operator="equal">
      <formula>TRUE</formula>
    </cfRule>
  </conditionalFormatting>
  <conditionalFormatting sqref="O39 X39 AG39">
    <cfRule type="expression" dxfId="1460" priority="59">
      <formula>MOD(ROW(),2)=0</formula>
    </cfRule>
    <cfRule type="expression" dxfId="1459" priority="60">
      <formula>AND(MOD(ROW(),2)=0,N$30="Proportion",$F39="Overall change in costs (%)")</formula>
    </cfRule>
    <cfRule type="expression" dxfId="1458" priority="61">
      <formula>AND(MOD(ROW(),1)=0,N$30="Proportion",$F39="Overall change in costs (%)")</formula>
    </cfRule>
  </conditionalFormatting>
  <conditionalFormatting sqref="N39 W39 AF39">
    <cfRule type="expression" dxfId="1457" priority="62">
      <formula>MOD(ROW(),2)=0</formula>
    </cfRule>
    <cfRule type="expression" dxfId="1456" priority="63">
      <formula>AND(MOD(ROW(),2)=0,#REF!="Proportion",$F39="Overall change in costs (%)")</formula>
    </cfRule>
    <cfRule type="expression" dxfId="1455" priority="64">
      <formula>AND(MOD(ROW(),1)=0,#REF!="Proportion",$F39="Overall change in costs (%)")</formula>
    </cfRule>
  </conditionalFormatting>
  <conditionalFormatting sqref="O44">
    <cfRule type="cellIs" dxfId="1454" priority="52" operator="equal">
      <formula>FALSE</formula>
    </cfRule>
    <cfRule type="cellIs" dxfId="1453" priority="53" operator="equal">
      <formula>TRUE</formula>
    </cfRule>
  </conditionalFormatting>
  <conditionalFormatting sqref="S44:T44">
    <cfRule type="cellIs" dxfId="1452" priority="50" operator="equal">
      <formula>FALSE</formula>
    </cfRule>
    <cfRule type="cellIs" dxfId="1451" priority="51" operator="equal">
      <formula>TRUE</formula>
    </cfRule>
  </conditionalFormatting>
  <conditionalFormatting sqref="X44">
    <cfRule type="cellIs" dxfId="1450" priority="48" operator="equal">
      <formula>FALSE</formula>
    </cfRule>
    <cfRule type="cellIs" dxfId="1449" priority="49" operator="equal">
      <formula>TRUE</formula>
    </cfRule>
  </conditionalFormatting>
  <conditionalFormatting sqref="W44">
    <cfRule type="cellIs" dxfId="1448" priority="46" operator="equal">
      <formula>FALSE</formula>
    </cfRule>
    <cfRule type="cellIs" dxfId="1447" priority="47" operator="equal">
      <formula>TRUE</formula>
    </cfRule>
  </conditionalFormatting>
  <conditionalFormatting sqref="AB44:AC44">
    <cfRule type="cellIs" dxfId="1446" priority="44" operator="equal">
      <formula>FALSE</formula>
    </cfRule>
    <cfRule type="cellIs" dxfId="1445" priority="45" operator="equal">
      <formula>TRUE</formula>
    </cfRule>
  </conditionalFormatting>
  <conditionalFormatting sqref="AG44">
    <cfRule type="cellIs" dxfId="1444" priority="42" operator="equal">
      <formula>FALSE</formula>
    </cfRule>
    <cfRule type="cellIs" dxfId="1443" priority="43" operator="equal">
      <formula>TRUE</formula>
    </cfRule>
  </conditionalFormatting>
  <conditionalFormatting sqref="AF44">
    <cfRule type="cellIs" dxfId="1442" priority="40" operator="equal">
      <formula>FALSE</formula>
    </cfRule>
    <cfRule type="cellIs" dxfId="1441" priority="41" operator="equal">
      <formula>TRUE</formula>
    </cfRule>
  </conditionalFormatting>
  <conditionalFormatting sqref="V44">
    <cfRule type="cellIs" dxfId="1440" priority="38" operator="equal">
      <formula>FALSE</formula>
    </cfRule>
    <cfRule type="cellIs" dxfId="1439" priority="39" operator="equal">
      <formula>TRUE</formula>
    </cfRule>
  </conditionalFormatting>
  <conditionalFormatting sqref="AE44">
    <cfRule type="cellIs" dxfId="1438" priority="36" operator="equal">
      <formula>FALSE</formula>
    </cfRule>
    <cfRule type="cellIs" dxfId="1437" priority="37" operator="equal">
      <formula>TRUE</formula>
    </cfRule>
  </conditionalFormatting>
  <conditionalFormatting sqref="AD44">
    <cfRule type="cellIs" dxfId="1436" priority="34" operator="equal">
      <formula>FALSE</formula>
    </cfRule>
    <cfRule type="cellIs" dxfId="1435" priority="35" operator="equal">
      <formula>TRUE</formula>
    </cfRule>
  </conditionalFormatting>
  <conditionalFormatting sqref="U44">
    <cfRule type="cellIs" dxfId="1434" priority="32" operator="equal">
      <formula>FALSE</formula>
    </cfRule>
    <cfRule type="cellIs" dxfId="1433" priority="33" operator="equal">
      <formula>TRUE</formula>
    </cfRule>
  </conditionalFormatting>
  <conditionalFormatting sqref="K44">
    <cfRule type="cellIs" dxfId="1432" priority="30" operator="equal">
      <formula>FALSE</formula>
    </cfRule>
    <cfRule type="cellIs" dxfId="1431" priority="31" operator="equal">
      <formula>TRUE</formula>
    </cfRule>
  </conditionalFormatting>
  <conditionalFormatting sqref="L44">
    <cfRule type="cellIs" dxfId="1430" priority="28" operator="equal">
      <formula>FALSE</formula>
    </cfRule>
    <cfRule type="cellIs" dxfId="1429" priority="29" operator="equal">
      <formula>TRUE</formula>
    </cfRule>
  </conditionalFormatting>
  <conditionalFormatting sqref="I36">
    <cfRule type="expression" dxfId="1428" priority="65">
      <formula>MOD(ROW(),2)=0</formula>
    </cfRule>
    <cfRule type="expression" dxfId="1427" priority="66">
      <formula>AND(MOD(ROW(),2)=0,I$30="Proportion",$F37="Overall change in costs (%)")</formula>
    </cfRule>
    <cfRule type="expression" dxfId="1426" priority="67">
      <formula>AND(MOD(ROW(),1)=0,I$30="Proportion",$F37="Overall change in costs (%)")</formula>
    </cfRule>
  </conditionalFormatting>
  <conditionalFormatting sqref="I37">
    <cfRule type="expression" dxfId="1425" priority="25">
      <formula>MOD(ROW(),2)=0</formula>
    </cfRule>
    <cfRule type="expression" dxfId="1424" priority="26">
      <formula>AND(MOD(ROW(),2)=0,I$30="Proportion",$F37="Overall change in costs (%)")</formula>
    </cfRule>
    <cfRule type="expression" dxfId="1423" priority="27">
      <formula>AND(MOD(ROW(),1)=0,I$30="Proportion",$F37="Overall change in costs (%)")</formula>
    </cfRule>
  </conditionalFormatting>
  <conditionalFormatting sqref="S36:X36 S37:U37 W37:X37">
    <cfRule type="expression" dxfId="1422" priority="19">
      <formula>MOD(ROW(),2)=0</formula>
    </cfRule>
    <cfRule type="expression" dxfId="1421" priority="20">
      <formula>AND(MOD(ROW(),2)=0,S$30="Proportion",$F36="Overall change in costs (%)")</formula>
    </cfRule>
    <cfRule type="expression" dxfId="1420" priority="21">
      <formula>AND(MOD(ROW(),1)=0,S$30="Proportion",$F36="Overall change in costs (%)")</formula>
    </cfRule>
  </conditionalFormatting>
  <conditionalFormatting sqref="R36">
    <cfRule type="expression" dxfId="1419" priority="22">
      <formula>MOD(ROW(),2)=0</formula>
    </cfRule>
    <cfRule type="expression" dxfId="1418" priority="23">
      <formula>AND(MOD(ROW(),2)=0,R$30="Proportion",$F37="Overall change in costs (%)")</formula>
    </cfRule>
    <cfRule type="expression" dxfId="1417" priority="24">
      <formula>AND(MOD(ROW(),1)=0,R$30="Proportion",$F37="Overall change in costs (%)")</formula>
    </cfRule>
  </conditionalFormatting>
  <conditionalFormatting sqref="R37">
    <cfRule type="expression" dxfId="1416" priority="16">
      <formula>MOD(ROW(),2)=0</formula>
    </cfRule>
    <cfRule type="expression" dxfId="1415" priority="17">
      <formula>AND(MOD(ROW(),2)=0,R$30="Proportion",$F37="Overall change in costs (%)")</formula>
    </cfRule>
    <cfRule type="expression" dxfId="1414" priority="18">
      <formula>AND(MOD(ROW(),1)=0,R$30="Proportion",$F37="Overall change in costs (%)")</formula>
    </cfRule>
  </conditionalFormatting>
  <conditionalFormatting sqref="AB36:AG36 AB37:AD37 AF37:AG37">
    <cfRule type="expression" dxfId="1413" priority="10">
      <formula>MOD(ROW(),2)=0</formula>
    </cfRule>
    <cfRule type="expression" dxfId="1412" priority="11">
      <formula>AND(MOD(ROW(),2)=0,AB$30="Proportion",$F36="Overall change in costs (%)")</formula>
    </cfRule>
    <cfRule type="expression" dxfId="1411" priority="12">
      <formula>AND(MOD(ROW(),1)=0,AB$30="Proportion",$F36="Overall change in costs (%)")</formula>
    </cfRule>
  </conditionalFormatting>
  <conditionalFormatting sqref="AA36">
    <cfRule type="expression" dxfId="1410" priority="13">
      <formula>MOD(ROW(),2)=0</formula>
    </cfRule>
    <cfRule type="expression" dxfId="1409" priority="14">
      <formula>AND(MOD(ROW(),2)=0,AA$30="Proportion",$F37="Overall change in costs (%)")</formula>
    </cfRule>
    <cfRule type="expression" dxfId="1408" priority="15">
      <formula>AND(MOD(ROW(),1)=0,AA$30="Proportion",$F37="Overall change in costs (%)")</formula>
    </cfRule>
  </conditionalFormatting>
  <conditionalFormatting sqref="AA37">
    <cfRule type="expression" dxfId="1407" priority="7">
      <formula>MOD(ROW(),2)=0</formula>
    </cfRule>
    <cfRule type="expression" dxfId="1406" priority="8">
      <formula>AND(MOD(ROW(),2)=0,AA$30="Proportion",$F37="Overall change in costs (%)")</formula>
    </cfRule>
    <cfRule type="expression" dxfId="1405" priority="9">
      <formula>AND(MOD(ROW(),1)=0,AA$30="Proportion",$F37="Overall change in costs (%)")</formula>
    </cfRule>
  </conditionalFormatting>
  <conditionalFormatting sqref="U38">
    <cfRule type="expression" dxfId="1404" priority="4">
      <formula>MOD(ROW(),2)=0</formula>
    </cfRule>
    <cfRule type="expression" dxfId="1403" priority="5">
      <formula>AND(MOD(ROW(),2)=0,U$30="Proportion",$F38="Overall change in costs (%)")</formula>
    </cfRule>
    <cfRule type="expression" dxfId="1402" priority="6">
      <formula>AND(MOD(ROW(),1)=0,U$30="Proportion",$F38="Overall change in costs (%)")</formula>
    </cfRule>
  </conditionalFormatting>
  <conditionalFormatting sqref="AD38">
    <cfRule type="expression" dxfId="1401" priority="1">
      <formula>MOD(ROW(),2)=0</formula>
    </cfRule>
    <cfRule type="expression" dxfId="1400" priority="2">
      <formula>AND(MOD(ROW(),2)=0,AD$30="Proportion",$F38="Overall change in costs (%)")</formula>
    </cfRule>
    <cfRule type="expression" dxfId="1399" priority="3">
      <formula>AND(MOD(ROW(),1)=0,AD$30="Proportion",$F38="Overall change in costs (%)")</formula>
    </cfRule>
  </conditionalFormatting>
  <hyperlinks>
    <hyperlink ref="A1" location="Index!A1" display="&lt;&lt;Back to Index" xr:uid="{F8984767-7B89-4486-85A3-2A7FACF70FC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E180-0EE3-4380-A1E9-FD398A29AB7C}">
  <sheetPr>
    <tabColor rgb="FF00B050"/>
  </sheetPr>
  <dimension ref="A1:AH48"/>
  <sheetViews>
    <sheetView zoomScaleNormal="100" workbookViewId="0">
      <selection activeCell="L51" sqref="L51"/>
    </sheetView>
  </sheetViews>
  <sheetFormatPr defaultColWidth="8.81640625" defaultRowHeight="14.5" x14ac:dyDescent="0.35"/>
  <cols>
    <col min="1" max="1" width="1.81640625" style="3" customWidth="1"/>
    <col min="2" max="2" width="33.81640625" style="3" bestFit="1" customWidth="1"/>
    <col min="3" max="5" width="13.1796875" style="3" customWidth="1"/>
    <col min="6" max="6" width="26.81640625" style="3" customWidth="1"/>
    <col min="7" max="7" width="5.81640625" style="3" customWidth="1"/>
    <col min="8" max="10" width="10.81640625" style="3" customWidth="1"/>
    <col min="11" max="11" width="1.81640625" style="3" customWidth="1"/>
    <col min="12" max="12" width="10.81640625" style="3" customWidth="1"/>
    <col min="13" max="13" width="12.1796875" style="3" customWidth="1"/>
    <col min="14" max="14" width="13.1796875" style="3" customWidth="1"/>
    <col min="15" max="15" width="10.81640625" style="3" customWidth="1"/>
    <col min="16" max="16" width="5.81640625" style="3" customWidth="1"/>
    <col min="17" max="19" width="10.81640625" style="3" customWidth="1"/>
    <col min="20" max="20" width="1.81640625" style="3" customWidth="1"/>
    <col min="21" max="21" width="10.81640625" style="3" customWidth="1"/>
    <col min="22" max="22" width="12.1796875" style="3" customWidth="1"/>
    <col min="23" max="23" width="13.1796875" style="3" customWidth="1"/>
    <col min="24" max="24" width="10.81640625" style="3" customWidth="1"/>
    <col min="25" max="25" width="5.81640625" style="3" customWidth="1"/>
    <col min="26" max="28" width="10.81640625" style="3" customWidth="1"/>
    <col min="29" max="29" width="1.81640625" style="3" customWidth="1"/>
    <col min="30" max="30" width="10.81640625" style="3" customWidth="1"/>
    <col min="31" max="31" width="12.1796875" style="3" customWidth="1"/>
    <col min="32" max="32" width="8.81640625" style="3" customWidth="1"/>
    <col min="33" max="33" width="10.81640625" style="3" customWidth="1"/>
    <col min="34" max="16384" width="8.81640625" style="3"/>
  </cols>
  <sheetData>
    <row r="1" spans="1:34" ht="10.4" customHeight="1" x14ac:dyDescent="0.35">
      <c r="A1" s="302" t="s">
        <v>20</v>
      </c>
      <c r="B1" s="307"/>
    </row>
    <row r="2" spans="1:34" s="13" customFormat="1" ht="22.5" customHeight="1" x14ac:dyDescent="0.35">
      <c r="A2" s="14" t="s">
        <v>5</v>
      </c>
    </row>
    <row r="3" spans="1:34" s="70" customFormat="1" ht="15" thickBot="1" x14ac:dyDescent="0.4">
      <c r="C3" s="70" t="str">
        <f>$A$2&amp;" "&amp;C6&amp;" "&amp;C7</f>
        <v>SAPN Residential without CL</v>
      </c>
      <c r="D3" s="70" t="str">
        <f>$A$2&amp;" "&amp;D6&amp;" "&amp;D7</f>
        <v>SAPN Residential with CL</v>
      </c>
      <c r="E3" s="70" t="str">
        <f>$A$2&amp;" "&amp;E6&amp;" "&amp;E7</f>
        <v>SAPN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5" x14ac:dyDescent="0.35">
      <c r="B4" s="34" t="s">
        <v>19</v>
      </c>
      <c r="F4" s="34"/>
      <c r="G4" s="84" t="s">
        <v>88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6"/>
    </row>
    <row r="5" spans="1:34" ht="5.15" customHeight="1" x14ac:dyDescent="0.35">
      <c r="B5" s="5"/>
      <c r="G5" s="87"/>
      <c r="H5" s="8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89"/>
    </row>
    <row r="6" spans="1:34" ht="20.149999999999999" customHeight="1" x14ac:dyDescent="0.35">
      <c r="B6" s="331" t="str">
        <f>A2</f>
        <v>SAPN</v>
      </c>
      <c r="C6" s="46" t="s">
        <v>6</v>
      </c>
      <c r="D6" s="46" t="s">
        <v>6</v>
      </c>
      <c r="E6" s="46" t="s">
        <v>73</v>
      </c>
      <c r="G6" s="87"/>
      <c r="H6" s="8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89"/>
    </row>
    <row r="7" spans="1:34" ht="20.149999999999999" customHeight="1" x14ac:dyDescent="0.35">
      <c r="B7" s="331"/>
      <c r="C7" s="47" t="s">
        <v>136</v>
      </c>
      <c r="D7" s="47" t="s">
        <v>137</v>
      </c>
      <c r="E7" s="47" t="s">
        <v>136</v>
      </c>
      <c r="G7" s="87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89"/>
    </row>
    <row r="8" spans="1:34" ht="2.15" customHeight="1" x14ac:dyDescent="0.35">
      <c r="B8" s="32"/>
      <c r="C8" s="33"/>
      <c r="D8" s="33"/>
      <c r="E8" s="33"/>
      <c r="G8" s="87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89"/>
    </row>
    <row r="9" spans="1:34" s="44" customFormat="1" ht="30" customHeight="1" x14ac:dyDescent="0.35">
      <c r="B9" s="50" t="str">
        <f>"DMO "&amp;FY&amp;" price ($ pa, inc GST)"</f>
        <v>DMO 2022-23 price ($ pa, inc GST)</v>
      </c>
      <c r="C9" s="177">
        <f ca="1">ROUND(H39,0)</f>
        <v>1840</v>
      </c>
      <c r="D9" s="177">
        <f ca="1">ROUND(Q39,0)</f>
        <v>2275</v>
      </c>
      <c r="E9" s="177">
        <f ca="1">ROUND(Z39,0)</f>
        <v>4539</v>
      </c>
      <c r="F9" s="3"/>
      <c r="G9" s="8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90"/>
    </row>
    <row r="10" spans="1:34" ht="2.15" customHeight="1" x14ac:dyDescent="0.35">
      <c r="B10" s="51"/>
      <c r="C10" s="52"/>
      <c r="D10" s="52"/>
      <c r="E10" s="52"/>
      <c r="F10" s="44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89"/>
    </row>
    <row r="11" spans="1:34" ht="20.149999999999999" customHeight="1" x14ac:dyDescent="0.35">
      <c r="B11" s="53" t="s">
        <v>44</v>
      </c>
      <c r="C11" s="54">
        <f>SUM(C12:C13)</f>
        <v>4000</v>
      </c>
      <c r="D11" s="54">
        <f>SUM(D12:D13)</f>
        <v>6000</v>
      </c>
      <c r="E11" s="54">
        <f>SUM(E12:E13)</f>
        <v>10000</v>
      </c>
      <c r="G11" s="87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89"/>
    </row>
    <row r="12" spans="1:34" ht="20.149999999999999" customHeight="1" x14ac:dyDescent="0.35">
      <c r="B12" s="55" t="s">
        <v>47</v>
      </c>
      <c r="C12" s="56">
        <f t="array" ref="C12">INDEX(Usage!$B$5:$M$18,MATCH($B6,Usage!$B$5:$B$18,0),MATCH(C$6&amp;C$7&amp;"Flat rate"&amp;"Total",Usage!$B$5:$M$5&amp;Usage!$B$6:$M$6&amp;Usage!$B$7:$M$7&amp;Usage!$B$13:$M$13,0))</f>
        <v>4000</v>
      </c>
      <c r="D12" s="56">
        <f t="array" ref="D12">INDEX(Usage!$B$5:$M$18,MATCH($B6,Usage!$B$5:$B$18,0),MATCH(D$6&amp;D$7&amp;"Flat rate"&amp;"Total",Usage!$B$5:$M$5&amp;Usage!$B$6:$M$6&amp;Usage!$B$7:$M$7&amp;Usage!$B$13:$M$13,0))</f>
        <v>4200</v>
      </c>
      <c r="E12" s="56">
        <f t="array" ref="E12">INDEX(Usage!$B$5:$M$18,MATCH($B6,Usage!$B$5:$B$18,0),MATCH(E$6&amp;E$7&amp;"Flat rate"&amp;"Total",Usage!$B$5:$M$5&amp;Usage!$B$6:$M$6&amp;Usage!$B$7:$M$7&amp;Usage!$B$13:$M$13,0))</f>
        <v>10000</v>
      </c>
      <c r="G12" s="87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89"/>
    </row>
    <row r="13" spans="1:34" ht="20.149999999999999" customHeight="1" x14ac:dyDescent="0.35">
      <c r="B13" s="55" t="s">
        <v>46</v>
      </c>
      <c r="C13" s="56"/>
      <c r="D13" s="56">
        <f t="array" ref="D13">INDEX(Usage!$B$5:$M$18,MATCH($B6,Usage!$B$5:$B$18,0),MATCH(D$6&amp;D$7&amp;"CL"&amp;"Total",Usage!$B$5:$M$5&amp;Usage!$B$6:$M$6&amp;Usage!$B$7:$M$7&amp;Usage!$B$13:$M$13,0))</f>
        <v>1800</v>
      </c>
      <c r="E13" s="56"/>
      <c r="G13" s="8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89"/>
    </row>
    <row r="14" spans="1:34" ht="2.15" customHeight="1" x14ac:dyDescent="0.35">
      <c r="B14" s="57"/>
      <c r="C14" s="57"/>
      <c r="D14" s="57"/>
      <c r="E14" s="57"/>
      <c r="G14" s="87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89"/>
    </row>
    <row r="15" spans="1:34" ht="20.149999999999999" customHeight="1" x14ac:dyDescent="0.35">
      <c r="B15" s="55" t="str">
        <f>"Change from DMO "&amp;PY&amp; " price ($)"</f>
        <v>Change from DMO 2021-22 price ($)</v>
      </c>
      <c r="C15" s="128">
        <f ca="1">C9-H32</f>
        <v>124</v>
      </c>
      <c r="D15" s="128">
        <f ca="1">D9-Q32</f>
        <v>198</v>
      </c>
      <c r="E15" s="128"/>
      <c r="G15" s="87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89"/>
    </row>
    <row r="16" spans="1:34" ht="20.149999999999999" customHeight="1" thickBot="1" x14ac:dyDescent="0.4">
      <c r="B16" s="58" t="str">
        <f>"Change from DMO "&amp;PY&amp; " price (%)"</f>
        <v>Change from DMO 2021-22 price (%)</v>
      </c>
      <c r="C16" s="108">
        <f ca="1">C9/H32-1</f>
        <v>7.2261072261072368E-2</v>
      </c>
      <c r="D16" s="108">
        <f ca="1">D9/Q32-1</f>
        <v>9.5329802599903646E-2</v>
      </c>
      <c r="E16" s="108"/>
      <c r="G16" s="8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89"/>
    </row>
    <row r="17" spans="2:34" ht="15" thickTop="1" x14ac:dyDescent="0.35">
      <c r="B17" s="81" t="s">
        <v>87</v>
      </c>
      <c r="G17" s="8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89"/>
    </row>
    <row r="18" spans="2:34" x14ac:dyDescent="0.35">
      <c r="G18" s="87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89"/>
    </row>
    <row r="19" spans="2:34" x14ac:dyDescent="0.35">
      <c r="C19" s="79"/>
      <c r="D19" s="179"/>
      <c r="G19" s="87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89"/>
    </row>
    <row r="20" spans="2:34" ht="15.5" x14ac:dyDescent="0.35">
      <c r="B20" s="34"/>
      <c r="D20" s="179"/>
      <c r="G20" s="87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89"/>
    </row>
    <row r="21" spans="2:34" ht="15" customHeight="1" thickBot="1" x14ac:dyDescent="0.4">
      <c r="B21" s="32"/>
      <c r="D21" s="32"/>
      <c r="E21" s="32"/>
      <c r="F21" s="34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</row>
    <row r="22" spans="2:34" s="35" customFormat="1" ht="15.5" x14ac:dyDescent="0.35">
      <c r="F22" s="34"/>
      <c r="G22" s="3"/>
      <c r="H22" s="32"/>
      <c r="I22" s="32"/>
      <c r="J22" s="32"/>
      <c r="K22" s="3"/>
      <c r="L22" s="3"/>
      <c r="M22" s="3"/>
      <c r="N22" s="32"/>
      <c r="O22" s="32"/>
      <c r="P22" s="32"/>
      <c r="Q22" s="32"/>
      <c r="R22" s="32"/>
      <c r="S22" s="32"/>
      <c r="T22" s="3"/>
      <c r="U22" s="32"/>
      <c r="V22" s="32"/>
      <c r="W22" s="32"/>
      <c r="X22" s="32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5" hidden="1" x14ac:dyDescent="0.35">
      <c r="F23" s="34"/>
      <c r="G23" s="3"/>
      <c r="H23" s="32" t="str">
        <f>$H$27</f>
        <v>Residential</v>
      </c>
      <c r="I23" s="32" t="str">
        <f>$H$27</f>
        <v>Residential</v>
      </c>
      <c r="J23" s="32" t="str">
        <f>$H$27</f>
        <v>Residential</v>
      </c>
      <c r="K23" s="32"/>
      <c r="L23" s="32" t="str">
        <f>$H$27</f>
        <v>Residential</v>
      </c>
      <c r="M23" s="32" t="str">
        <f>$H$27</f>
        <v>Residential</v>
      </c>
      <c r="N23" s="32" t="str">
        <f>$H$27</f>
        <v>Residential</v>
      </c>
      <c r="O23" s="32" t="str">
        <f>$H$27</f>
        <v>Residential</v>
      </c>
      <c r="P23" s="32"/>
      <c r="Q23" s="32" t="str">
        <f>$Q$27</f>
        <v>Residential</v>
      </c>
      <c r="R23" s="32" t="str">
        <f>$Q$27</f>
        <v>Residential</v>
      </c>
      <c r="S23" s="32" t="str">
        <f>$Q$27</f>
        <v>Residential</v>
      </c>
      <c r="T23" s="3"/>
      <c r="U23" s="32" t="str">
        <f>$Q$27</f>
        <v>Residential</v>
      </c>
      <c r="V23" s="32" t="str">
        <f>$Q$27</f>
        <v>Residential</v>
      </c>
      <c r="W23" s="32" t="str">
        <f>$Q$27</f>
        <v>Residential</v>
      </c>
      <c r="X23" s="32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5" hidden="1" x14ac:dyDescent="0.35">
      <c r="F24" s="34"/>
      <c r="G24" s="3"/>
      <c r="H24" s="32" t="str">
        <f>$H$28</f>
        <v>without CL</v>
      </c>
      <c r="I24" s="32" t="str">
        <f>$H$28</f>
        <v>without CL</v>
      </c>
      <c r="J24" s="32" t="str">
        <f>$H$28</f>
        <v>without CL</v>
      </c>
      <c r="K24" s="32"/>
      <c r="L24" s="32" t="str">
        <f>$H$28</f>
        <v>without CL</v>
      </c>
      <c r="M24" s="32" t="str">
        <f>$H$28</f>
        <v>without CL</v>
      </c>
      <c r="N24" s="32" t="str">
        <f>$H$28</f>
        <v>without CL</v>
      </c>
      <c r="O24" s="32" t="str">
        <f>$H$28</f>
        <v>without CL</v>
      </c>
      <c r="P24" s="32"/>
      <c r="Q24" s="32" t="str">
        <f>$Q$28</f>
        <v>with CL</v>
      </c>
      <c r="R24" s="32" t="str">
        <f>$Q$28</f>
        <v>with CL</v>
      </c>
      <c r="S24" s="32" t="str">
        <f>$Q$28</f>
        <v>with CL</v>
      </c>
      <c r="T24" s="3"/>
      <c r="U24" s="32" t="str">
        <f>$Q$28</f>
        <v>with CL</v>
      </c>
      <c r="V24" s="32" t="str">
        <f>$Q$28</f>
        <v>with CL</v>
      </c>
      <c r="W24" s="32" t="str">
        <f>$Q$28</f>
        <v>with CL</v>
      </c>
      <c r="X24" s="32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5" hidden="1" x14ac:dyDescent="0.35">
      <c r="F25" s="34"/>
      <c r="G25" s="3"/>
      <c r="H25" s="32"/>
      <c r="I25" s="32" t="str">
        <f>$I$29</f>
        <v>2021-22</v>
      </c>
      <c r="J25" s="32" t="str">
        <f>$I$29</f>
        <v>2021-22</v>
      </c>
      <c r="K25" s="3"/>
      <c r="L25" s="32" t="str">
        <f>$L$29</f>
        <v>2022-23</v>
      </c>
      <c r="M25" s="32" t="str">
        <f>$L$29</f>
        <v>2022-23</v>
      </c>
      <c r="N25" s="32" t="str">
        <f>$L$29</f>
        <v>2022-23</v>
      </c>
      <c r="O25" s="32" t="str">
        <f>$L$29</f>
        <v>2022-23</v>
      </c>
      <c r="P25" s="32"/>
      <c r="Q25" s="32"/>
      <c r="R25" s="32" t="str">
        <f>$R$29</f>
        <v>2021-22</v>
      </c>
      <c r="S25" s="32" t="str">
        <f>$R$29</f>
        <v>2021-22</v>
      </c>
      <c r="T25" s="3"/>
      <c r="U25" s="32" t="str">
        <f>$U$29</f>
        <v>2022-23</v>
      </c>
      <c r="V25" s="32" t="str">
        <f>$U$29</f>
        <v>2022-23</v>
      </c>
      <c r="W25" s="32" t="str">
        <f>$U$29</f>
        <v>2022-23</v>
      </c>
      <c r="X25" s="32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5" customFormat="1" ht="15.5" x14ac:dyDescent="0.35">
      <c r="F26" s="34" t="s">
        <v>39</v>
      </c>
      <c r="G26" s="107" t="s">
        <v>138</v>
      </c>
      <c r="H26" s="32"/>
      <c r="I26" s="32"/>
      <c r="J26" s="32"/>
      <c r="K26" s="3"/>
      <c r="L26" s="3"/>
      <c r="M26" s="3"/>
      <c r="N26" s="32"/>
      <c r="O26" s="32"/>
      <c r="P26" s="32"/>
      <c r="Q26" s="32"/>
      <c r="R26" s="32"/>
      <c r="S26" s="32"/>
      <c r="T26" s="3"/>
      <c r="U26" s="32"/>
      <c r="V26" s="32"/>
      <c r="W26" s="32"/>
      <c r="X26" s="32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35">
      <c r="F27" s="332" t="s">
        <v>33</v>
      </c>
      <c r="G27" s="82"/>
      <c r="H27" s="333" t="s">
        <v>6</v>
      </c>
      <c r="I27" s="333"/>
      <c r="J27" s="333"/>
      <c r="K27" s="333"/>
      <c r="L27" s="333"/>
      <c r="M27" s="333"/>
      <c r="N27" s="333"/>
      <c r="O27" s="333"/>
      <c r="P27" s="219"/>
      <c r="Q27" s="333" t="s">
        <v>6</v>
      </c>
      <c r="R27" s="333"/>
      <c r="S27" s="333"/>
      <c r="T27" s="333"/>
      <c r="U27" s="333"/>
      <c r="V27" s="333"/>
      <c r="W27" s="333"/>
      <c r="X27" s="333"/>
      <c r="Y27" s="219"/>
      <c r="Z27" s="333" t="s">
        <v>73</v>
      </c>
      <c r="AA27" s="333"/>
      <c r="AB27" s="333"/>
      <c r="AC27" s="333"/>
      <c r="AD27" s="333"/>
      <c r="AE27" s="333"/>
      <c r="AF27" s="333"/>
      <c r="AG27" s="333"/>
    </row>
    <row r="28" spans="2:34" ht="15" thickBot="1" x14ac:dyDescent="0.4">
      <c r="F28" s="332"/>
      <c r="G28" s="82"/>
      <c r="H28" s="335" t="s">
        <v>136</v>
      </c>
      <c r="I28" s="335"/>
      <c r="J28" s="335"/>
      <c r="K28" s="335"/>
      <c r="L28" s="335"/>
      <c r="M28" s="335"/>
      <c r="N28" s="335"/>
      <c r="O28" s="335"/>
      <c r="P28" s="219"/>
      <c r="Q28" s="335" t="s">
        <v>137</v>
      </c>
      <c r="R28" s="335"/>
      <c r="S28" s="335"/>
      <c r="T28" s="335"/>
      <c r="U28" s="335"/>
      <c r="V28" s="335"/>
      <c r="W28" s="335"/>
      <c r="X28" s="335"/>
      <c r="Y28" s="219"/>
      <c r="Z28" s="335" t="s">
        <v>136</v>
      </c>
      <c r="AA28" s="335"/>
      <c r="AB28" s="335"/>
      <c r="AC28" s="335"/>
      <c r="AD28" s="335"/>
      <c r="AE28" s="335"/>
      <c r="AF28" s="335"/>
      <c r="AG28" s="335"/>
    </row>
    <row r="29" spans="2:34" ht="15" customHeight="1" thickTop="1" x14ac:dyDescent="0.35">
      <c r="F29" s="332"/>
      <c r="G29" s="83"/>
      <c r="H29" s="219" t="s">
        <v>63</v>
      </c>
      <c r="I29" s="334" t="str">
        <f>PY</f>
        <v>2021-22</v>
      </c>
      <c r="J29" s="334"/>
      <c r="K29" s="219"/>
      <c r="L29" s="334" t="str">
        <f>FY</f>
        <v>2022-23</v>
      </c>
      <c r="M29" s="334"/>
      <c r="N29" s="334"/>
      <c r="O29" s="334"/>
      <c r="P29" s="277"/>
      <c r="Q29" s="219" t="s">
        <v>63</v>
      </c>
      <c r="R29" s="334" t="str">
        <f>PY</f>
        <v>2021-22</v>
      </c>
      <c r="S29" s="334"/>
      <c r="T29" s="219"/>
      <c r="U29" s="334" t="str">
        <f>FY</f>
        <v>2022-23</v>
      </c>
      <c r="V29" s="334"/>
      <c r="W29" s="334"/>
      <c r="X29" s="334"/>
      <c r="Y29" s="277"/>
      <c r="Z29" s="219" t="s">
        <v>63</v>
      </c>
      <c r="AA29" s="334" t="str">
        <f>PY</f>
        <v>2021-22</v>
      </c>
      <c r="AB29" s="334"/>
      <c r="AC29" s="219"/>
      <c r="AD29" s="334" t="str">
        <f>FY</f>
        <v>2022-23</v>
      </c>
      <c r="AE29" s="334"/>
      <c r="AF29" s="334"/>
      <c r="AG29" s="334"/>
    </row>
    <row r="30" spans="2:34" ht="26" x14ac:dyDescent="0.35">
      <c r="F30" s="332"/>
      <c r="G30" s="83"/>
      <c r="H30" s="264"/>
      <c r="I30" s="265" t="s">
        <v>23</v>
      </c>
      <c r="J30" s="265" t="s">
        <v>25</v>
      </c>
      <c r="K30" s="266"/>
      <c r="L30" s="265" t="s">
        <v>22</v>
      </c>
      <c r="M30" s="267" t="s">
        <v>175</v>
      </c>
      <c r="N30" s="265" t="s">
        <v>23</v>
      </c>
      <c r="O30" s="265" t="s">
        <v>25</v>
      </c>
      <c r="P30" s="265"/>
      <c r="Q30" s="266"/>
      <c r="R30" s="265" t="s">
        <v>23</v>
      </c>
      <c r="S30" s="265" t="s">
        <v>25</v>
      </c>
      <c r="T30" s="266"/>
      <c r="U30" s="265" t="s">
        <v>22</v>
      </c>
      <c r="V30" s="267" t="s">
        <v>45</v>
      </c>
      <c r="W30" s="265" t="s">
        <v>23</v>
      </c>
      <c r="X30" s="265" t="s">
        <v>25</v>
      </c>
      <c r="Y30" s="265"/>
      <c r="Z30" s="266"/>
      <c r="AA30" s="265" t="s">
        <v>23</v>
      </c>
      <c r="AB30" s="265" t="s">
        <v>25</v>
      </c>
      <c r="AC30" s="266"/>
      <c r="AD30" s="265" t="s">
        <v>22</v>
      </c>
      <c r="AE30" s="267" t="s">
        <v>45</v>
      </c>
      <c r="AF30" s="265" t="s">
        <v>23</v>
      </c>
      <c r="AG30" s="265" t="s">
        <v>25</v>
      </c>
    </row>
    <row r="31" spans="2:34" ht="15" customHeight="1" x14ac:dyDescent="0.35">
      <c r="F31" s="332"/>
      <c r="G31" s="83"/>
      <c r="H31" s="265" t="s">
        <v>64</v>
      </c>
      <c r="I31" s="265" t="s">
        <v>41</v>
      </c>
      <c r="J31" s="265" t="s">
        <v>29</v>
      </c>
      <c r="K31" s="266"/>
      <c r="L31" s="265" t="s">
        <v>29</v>
      </c>
      <c r="M31" s="265" t="s">
        <v>29</v>
      </c>
      <c r="N31" s="265" t="s">
        <v>41</v>
      </c>
      <c r="O31" s="265" t="s">
        <v>29</v>
      </c>
      <c r="P31" s="265"/>
      <c r="Q31" s="265"/>
      <c r="R31" s="265" t="s">
        <v>41</v>
      </c>
      <c r="S31" s="265" t="s">
        <v>29</v>
      </c>
      <c r="T31" s="266"/>
      <c r="U31" s="265" t="s">
        <v>29</v>
      </c>
      <c r="V31" s="265" t="s">
        <v>29</v>
      </c>
      <c r="W31" s="265" t="s">
        <v>41</v>
      </c>
      <c r="X31" s="265" t="s">
        <v>29</v>
      </c>
      <c r="Y31" s="265"/>
      <c r="Z31" s="265"/>
      <c r="AA31" s="265" t="s">
        <v>41</v>
      </c>
      <c r="AB31" s="265" t="s">
        <v>29</v>
      </c>
      <c r="AC31" s="266"/>
      <c r="AD31" s="265" t="s">
        <v>29</v>
      </c>
      <c r="AE31" s="265" t="s">
        <v>29</v>
      </c>
      <c r="AF31" s="265" t="s">
        <v>41</v>
      </c>
      <c r="AG31" s="265" t="s">
        <v>29</v>
      </c>
    </row>
    <row r="32" spans="2:34" ht="15" customHeight="1" x14ac:dyDescent="0.35">
      <c r="F32" s="48" t="str">
        <f>"DMO "&amp;PY&amp;" price"</f>
        <v>DMO 2021-22 price</v>
      </c>
      <c r="G32" s="48"/>
      <c r="H32" s="268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1716</v>
      </c>
      <c r="I32" s="269"/>
      <c r="J32" s="269"/>
      <c r="K32" s="269"/>
      <c r="L32" s="269"/>
      <c r="M32" s="269"/>
      <c r="N32" s="269"/>
      <c r="O32" s="269"/>
      <c r="P32" s="269"/>
      <c r="Q32" s="268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2077</v>
      </c>
      <c r="R32" s="268"/>
      <c r="S32" s="269"/>
      <c r="T32" s="269"/>
      <c r="U32" s="269"/>
      <c r="V32" s="269"/>
      <c r="W32" s="270"/>
      <c r="X32" s="269"/>
      <c r="Y32" s="270"/>
      <c r="Z32" s="268"/>
      <c r="AA32" s="268"/>
      <c r="AB32" s="269"/>
      <c r="AC32" s="269"/>
      <c r="AD32" s="269"/>
      <c r="AE32" s="269"/>
      <c r="AF32" s="269"/>
      <c r="AG32" s="269"/>
    </row>
    <row r="33" spans="2:33" ht="15" customHeight="1" x14ac:dyDescent="0.35">
      <c r="F33" s="49" t="s">
        <v>58</v>
      </c>
      <c r="G33" s="49"/>
      <c r="H33" s="270"/>
      <c r="I33" s="268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818.81580000000008</v>
      </c>
      <c r="J33" s="269">
        <f t="shared" ref="J33:J38" ca="1" si="0">I33/H$32</f>
        <v>0.47716538461538466</v>
      </c>
      <c r="K33" s="269"/>
      <c r="L33" s="271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9.7007165714193544E-3</v>
      </c>
      <c r="M33" s="269">
        <f ca="1">J33*L33</f>
        <v>4.6288461538461518E-3</v>
      </c>
      <c r="N33" s="268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826.75890000000004</v>
      </c>
      <c r="O33" s="269">
        <f t="shared" ref="O33:O38" ca="1" si="1">N33/H$39</f>
        <v>0.44928548578172445</v>
      </c>
      <c r="P33" s="269"/>
      <c r="Q33" s="269"/>
      <c r="R33" s="268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1008.3018000000001</v>
      </c>
      <c r="S33" s="269">
        <f t="shared" ref="S33:S38" ca="1" si="2">R33/Q$32</f>
        <v>0.48546066441983632</v>
      </c>
      <c r="T33" s="269"/>
      <c r="U33" s="271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7.5940556686500127E-3</v>
      </c>
      <c r="V33" s="269">
        <f ca="1">S33*U33</f>
        <v>3.6866153105440595E-3</v>
      </c>
      <c r="W33" s="268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1015.9589000000001</v>
      </c>
      <c r="X33" s="269">
        <f t="shared" ref="X33:X38" ca="1" si="3">W33/Q$39</f>
        <v>0.44648009443662368</v>
      </c>
      <c r="Y33" s="270"/>
      <c r="Z33" s="270"/>
      <c r="AA33" s="268"/>
      <c r="AB33" s="269"/>
      <c r="AC33" s="269"/>
      <c r="AD33" s="271"/>
      <c r="AE33" s="269"/>
      <c r="AF33" s="268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1930.4626000000003</v>
      </c>
      <c r="AG33" s="269">
        <f t="shared" ref="AG33:AG38" ca="1" si="4">AF33/Z$39</f>
        <v>0.42533101818581365</v>
      </c>
    </row>
    <row r="34" spans="2:33" ht="15" customHeight="1" x14ac:dyDescent="0.35">
      <c r="F34" s="49" t="s">
        <v>59</v>
      </c>
      <c r="G34" s="49"/>
      <c r="H34" s="270"/>
      <c r="I34" s="268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525.66800000000001</v>
      </c>
      <c r="J34" s="269">
        <f t="shared" ca="1" si="0"/>
        <v>0.30633333333333335</v>
      </c>
      <c r="K34" s="269"/>
      <c r="L34" s="271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0.12605675064869848</v>
      </c>
      <c r="M34" s="269">
        <f ca="1">J34*L34</f>
        <v>3.8615384615384635E-2</v>
      </c>
      <c r="N34" s="268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591.93200000000002</v>
      </c>
      <c r="O34" s="269">
        <f t="shared" ca="1" si="1"/>
        <v>0.32167353283980094</v>
      </c>
      <c r="P34" s="269"/>
      <c r="Q34" s="269"/>
      <c r="R34" s="268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696.13499999999999</v>
      </c>
      <c r="S34" s="269">
        <f t="shared" ca="1" si="2"/>
        <v>0.3351636976408281</v>
      </c>
      <c r="T34" s="269"/>
      <c r="U34" s="271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0.10193884806826259</v>
      </c>
      <c r="V34" s="269">
        <f ca="1">S34*U34</f>
        <v>3.4166201251805473E-2</v>
      </c>
      <c r="W34" s="268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767.09819999999991</v>
      </c>
      <c r="X34" s="269">
        <f t="shared" ca="1" si="3"/>
        <v>0.33711410646450751</v>
      </c>
      <c r="Y34" s="270"/>
      <c r="Z34" s="270"/>
      <c r="AA34" s="268"/>
      <c r="AB34" s="269"/>
      <c r="AC34" s="269"/>
      <c r="AD34" s="271"/>
      <c r="AE34" s="269"/>
      <c r="AF34" s="268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1479.83</v>
      </c>
      <c r="AG34" s="269">
        <f t="shared" ca="1" si="4"/>
        <v>0.3260449597116839</v>
      </c>
    </row>
    <row r="35" spans="2:33" ht="15" customHeight="1" x14ac:dyDescent="0.35">
      <c r="F35" s="49" t="s">
        <v>60</v>
      </c>
      <c r="G35" s="49"/>
      <c r="H35" s="270"/>
      <c r="I35" s="268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89.716000000000008</v>
      </c>
      <c r="J35" s="269">
        <f t="shared" ca="1" si="0"/>
        <v>5.2282051282051288E-2</v>
      </c>
      <c r="K35" s="269"/>
      <c r="L35" s="271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-4.9043648847491017E-4</v>
      </c>
      <c r="M35" s="269">
        <f ca="1">J35*L35</f>
        <v>-2.5641025641034408E-5</v>
      </c>
      <c r="N35" s="268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89.671999999999997</v>
      </c>
      <c r="O35" s="269">
        <f t="shared" ca="1" si="1"/>
        <v>4.8730443761801405E-2</v>
      </c>
      <c r="P35" s="269"/>
      <c r="Q35" s="269"/>
      <c r="R35" s="268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134.57400000000001</v>
      </c>
      <c r="S35" s="269">
        <f t="shared" ca="1" si="2"/>
        <v>6.4792489167067896E-2</v>
      </c>
      <c r="T35" s="269"/>
      <c r="U35" s="271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-4.9043648847479915E-4</v>
      </c>
      <c r="V35" s="269">
        <f ca="1">S35*U35</f>
        <v>-3.177660086663824E-5</v>
      </c>
      <c r="W35" s="268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134.50800000000001</v>
      </c>
      <c r="X35" s="269">
        <f t="shared" ca="1" si="3"/>
        <v>5.9111785469354493E-2</v>
      </c>
      <c r="Y35" s="270"/>
      <c r="Z35" s="270"/>
      <c r="AA35" s="268"/>
      <c r="AB35" s="269"/>
      <c r="AC35" s="269"/>
      <c r="AD35" s="271"/>
      <c r="AE35" s="269"/>
      <c r="AF35" s="268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224.18</v>
      </c>
      <c r="AG35" s="269">
        <f t="shared" ca="1" si="4"/>
        <v>4.939267285307454E-2</v>
      </c>
    </row>
    <row r="36" spans="2:33" ht="15" customHeight="1" x14ac:dyDescent="0.35">
      <c r="F36" s="49" t="s">
        <v>196</v>
      </c>
      <c r="G36" s="49"/>
      <c r="H36" s="270"/>
      <c r="I36" s="268">
        <f ca="1">H32-SUM(I33:I35)</f>
        <v>281.80020000000013</v>
      </c>
      <c r="J36" s="269">
        <f t="shared" ca="1" si="0"/>
        <v>0.16421923076923084</v>
      </c>
      <c r="K36" s="269"/>
      <c r="L36" s="269">
        <f ca="1">(N36-I36)/I36</f>
        <v>-1</v>
      </c>
      <c r="M36" s="269">
        <f ca="1">J36*L36</f>
        <v>-0.16421923076923084</v>
      </c>
      <c r="N36" s="268">
        <v>0</v>
      </c>
      <c r="O36" s="269">
        <f t="shared" ca="1" si="1"/>
        <v>0</v>
      </c>
      <c r="P36" s="269"/>
      <c r="Q36" s="269"/>
      <c r="R36" s="268">
        <f ca="1">Q32-SUM(R33:R35)</f>
        <v>237.98919999999998</v>
      </c>
      <c r="S36" s="269">
        <f t="shared" ca="1" si="2"/>
        <v>0.11458314877226769</v>
      </c>
      <c r="T36" s="269"/>
      <c r="U36" s="269">
        <f ca="1">(W36-R36)/R36</f>
        <v>-1</v>
      </c>
      <c r="V36" s="269">
        <f ca="1">S36*U36</f>
        <v>-0.11458314877226769</v>
      </c>
      <c r="W36" s="268">
        <v>0</v>
      </c>
      <c r="X36" s="269">
        <f t="shared" ca="1" si="3"/>
        <v>0</v>
      </c>
      <c r="Y36" s="270"/>
      <c r="Z36" s="270"/>
      <c r="AA36" s="268"/>
      <c r="AB36" s="269"/>
      <c r="AC36" s="269"/>
      <c r="AD36" s="269"/>
      <c r="AE36" s="269"/>
      <c r="AF36" s="268">
        <v>0</v>
      </c>
      <c r="AG36" s="269">
        <f t="shared" ca="1" si="4"/>
        <v>0</v>
      </c>
    </row>
    <row r="37" spans="2:33" ht="15" customHeight="1" x14ac:dyDescent="0.35">
      <c r="F37" s="49" t="s">
        <v>193</v>
      </c>
      <c r="G37" s="49"/>
      <c r="H37" s="270"/>
      <c r="I37" s="268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69">
        <f t="shared" ca="1" si="0"/>
        <v>0</v>
      </c>
      <c r="K37" s="269"/>
      <c r="L37" s="276" t="str">
        <f ca="1">IFERROR((N37-I37)/I37,"New cost component")</f>
        <v>New cost component</v>
      </c>
      <c r="M37" s="271">
        <f ca="1">(N37-I37)/H32</f>
        <v>0.12901579231655533</v>
      </c>
      <c r="N37" s="268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221.39109961520896</v>
      </c>
      <c r="O37" s="269">
        <f t="shared" ca="1" si="1"/>
        <v>0.12031053761667312</v>
      </c>
      <c r="P37" s="269"/>
      <c r="Q37" s="269"/>
      <c r="R37" s="268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69">
        <f t="shared" ca="1" si="2"/>
        <v>0</v>
      </c>
      <c r="T37" s="269"/>
      <c r="U37" s="276" t="str">
        <f ca="1">IFERROR((W37-R37)/R37,"New cost component")</f>
        <v>New cost component</v>
      </c>
      <c r="V37" s="271">
        <f ca="1">(W37-R37)/Q32</f>
        <v>0.10659176678633074</v>
      </c>
      <c r="W37" s="268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221.39109961520896</v>
      </c>
      <c r="X37" s="269">
        <f t="shared" ca="1" si="3"/>
        <v>9.7294013629514384E-2</v>
      </c>
      <c r="Y37" s="270"/>
      <c r="Z37" s="270"/>
      <c r="AA37" s="268"/>
      <c r="AB37" s="269"/>
      <c r="AC37" s="269"/>
      <c r="AD37" s="275"/>
      <c r="AE37" s="271"/>
      <c r="AF37" s="268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223.44779574020896</v>
      </c>
      <c r="AG37" s="269">
        <f t="shared" ca="1" si="4"/>
        <v>4.9231349249427979E-2</v>
      </c>
    </row>
    <row r="38" spans="2:33" ht="15" customHeight="1" x14ac:dyDescent="0.35">
      <c r="F38" s="49" t="s">
        <v>195</v>
      </c>
      <c r="G38" s="49"/>
      <c r="H38" s="270"/>
      <c r="I38" s="268">
        <v>0</v>
      </c>
      <c r="J38" s="269">
        <f t="shared" si="0"/>
        <v>0</v>
      </c>
      <c r="K38" s="269"/>
      <c r="L38" s="276" t="str">
        <f ca="1">IFERROR((N38-I38)/I38,"New cost component")</f>
        <v>New cost component</v>
      </c>
      <c r="M38" s="271">
        <f ca="1">(N38-I38)/H32</f>
        <v>6.4341392635590383E-2</v>
      </c>
      <c r="N38" s="268">
        <f ca="1">SUM(N33:N37)/(1-SUMIFS('Detail inputs'!$J:$J,'Detail inputs'!$B:$B,$B$6,'Detail inputs'!$G:$G,$F$38,'Detail inputs'!$D:$D,$H$27,'Detail inputs'!$E:$E,H28))-SUM(N33:N37)</f>
        <v>110.4098297626731</v>
      </c>
      <c r="O38" s="269">
        <f t="shared" ca="1" si="1"/>
        <v>6.0000000000000088E-2</v>
      </c>
      <c r="P38" s="269"/>
      <c r="Q38" s="269"/>
      <c r="R38" s="268">
        <v>0</v>
      </c>
      <c r="S38" s="269">
        <f t="shared" si="2"/>
        <v>0</v>
      </c>
      <c r="T38" s="269"/>
      <c r="U38" s="276" t="str">
        <f ca="1">IFERROR((W38-R38)/R38,"New cost component")</f>
        <v>New cost component</v>
      </c>
      <c r="V38" s="271">
        <f ca="1">(W38-R38)/Q32</f>
        <v>6.5733807955885903E-2</v>
      </c>
      <c r="W38" s="268">
        <f ca="1">SUM(W33:W37)/(1-SUMIFS('Detail inputs'!$J:$J,'Detail inputs'!$B:$B,$B$6,'Detail inputs'!$G:$G,$F$38,'Detail inputs'!$D:$D,$Q$27,'Detail inputs'!$E:$E,Q28))-SUM(W33:W37)</f>
        <v>136.52911912437503</v>
      </c>
      <c r="X38" s="269">
        <f t="shared" ca="1" si="3"/>
        <v>0.06</v>
      </c>
      <c r="Y38" s="270"/>
      <c r="Z38" s="270"/>
      <c r="AA38" s="268"/>
      <c r="AB38" s="269"/>
      <c r="AC38" s="269"/>
      <c r="AD38" s="275"/>
      <c r="AE38" s="271"/>
      <c r="AF38" s="268">
        <f ca="1">SUM(AF33:AF37)/(1-SUMIFS('Detail inputs'!$J:$J,'Detail inputs'!$B:$B,$B$6,'Detail inputs'!$G:$G,$F$38,'Detail inputs'!$D:$D,$Z$27,'Detail inputs'!$E:$E,Z28))-SUM(AF33:AF37)</f>
        <v>680.80948160121307</v>
      </c>
      <c r="AG38" s="269">
        <f t="shared" ca="1" si="4"/>
        <v>0.14999999999999994</v>
      </c>
    </row>
    <row r="39" spans="2:33" ht="15" thickBot="1" x14ac:dyDescent="0.4">
      <c r="B39" s="81"/>
      <c r="F39" s="77" t="str">
        <f>"DMO "&amp;FY&amp;" price"</f>
        <v>DMO 2022-23 price</v>
      </c>
      <c r="G39" s="77"/>
      <c r="H39" s="272">
        <f ca="1">SUM(N33:N38)</f>
        <v>1840.1638293778822</v>
      </c>
      <c r="I39" s="273"/>
      <c r="J39" s="273"/>
      <c r="K39" s="273"/>
      <c r="L39" s="273">
        <f ca="1">H39/H32-1</f>
        <v>7.2356543926504813E-2</v>
      </c>
      <c r="M39" s="273"/>
      <c r="N39" s="273"/>
      <c r="O39" s="273"/>
      <c r="P39" s="273"/>
      <c r="Q39" s="272">
        <f ca="1">SUM(W33:W38)</f>
        <v>2275.4853187395838</v>
      </c>
      <c r="R39" s="272"/>
      <c r="S39" s="273"/>
      <c r="T39" s="273"/>
      <c r="U39" s="273">
        <f ca="1">Q39/Q32-1</f>
        <v>9.5563465931431724E-2</v>
      </c>
      <c r="V39" s="273"/>
      <c r="W39" s="274"/>
      <c r="X39" s="274"/>
      <c r="Y39" s="274"/>
      <c r="Z39" s="272">
        <f ca="1">SUM(AF33:AF38)</f>
        <v>4538.7298773414223</v>
      </c>
      <c r="AA39" s="272"/>
      <c r="AB39" s="273"/>
      <c r="AC39" s="273"/>
      <c r="AD39" s="273"/>
      <c r="AE39" s="273"/>
      <c r="AF39" s="273"/>
      <c r="AG39" s="273"/>
    </row>
    <row r="40" spans="2:33" ht="15" thickTop="1" x14ac:dyDescent="0.35">
      <c r="F40" s="120"/>
    </row>
    <row r="41" spans="2:33" x14ac:dyDescent="0.35">
      <c r="F41" s="107"/>
    </row>
    <row r="43" spans="2:33" x14ac:dyDescent="0.35">
      <c r="F43" s="120"/>
      <c r="O43" s="199"/>
    </row>
    <row r="44" spans="2:33" s="105" customFormat="1" ht="12" x14ac:dyDescent="0.35">
      <c r="H44" s="106"/>
    </row>
    <row r="48" spans="2:33" x14ac:dyDescent="0.35">
      <c r="H48" s="79"/>
    </row>
  </sheetData>
  <mergeCells count="15">
    <mergeCell ref="A1:B1"/>
    <mergeCell ref="B6:B7"/>
    <mergeCell ref="F27:F31"/>
    <mergeCell ref="H27:O27"/>
    <mergeCell ref="Q27:X27"/>
    <mergeCell ref="L29:O29"/>
    <mergeCell ref="R29:S29"/>
    <mergeCell ref="U29:X29"/>
    <mergeCell ref="Z27:AG27"/>
    <mergeCell ref="H28:O28"/>
    <mergeCell ref="Q28:X28"/>
    <mergeCell ref="Z28:AG28"/>
    <mergeCell ref="I29:J29"/>
    <mergeCell ref="AA29:AB29"/>
    <mergeCell ref="AD29:AG29"/>
  </mergeCells>
  <conditionalFormatting sqref="F36:H37 Y39:AE39 F39:M39 P39:V39 F32:AG35 Y36:Z37 V37 AE37 J36:Q37 F38:T38 V38:AC38 AE38:AG38">
    <cfRule type="expression" dxfId="1398" priority="56">
      <formula>MOD(ROW(),2)=0</formula>
    </cfRule>
    <cfRule type="expression" dxfId="1397" priority="57">
      <formula>AND(MOD(ROW(),2)=0,F$30="Proportion",$F32="Overall change in costs (%)")</formula>
    </cfRule>
    <cfRule type="expression" dxfId="1396" priority="58">
      <formula>AND(MOD(ROW(),1)=0,F$30="Proportion",$F32="Overall change in costs (%)")</formula>
    </cfRule>
  </conditionalFormatting>
  <conditionalFormatting sqref="P44:R44 G44:J44 Y44:AA44 M44:N44">
    <cfRule type="cellIs" dxfId="1395" priority="54" operator="equal">
      <formula>FALSE</formula>
    </cfRule>
    <cfRule type="cellIs" dxfId="1394" priority="55" operator="equal">
      <formula>TRUE</formula>
    </cfRule>
  </conditionalFormatting>
  <conditionalFormatting sqref="O39 X39 AG39">
    <cfRule type="expression" dxfId="1393" priority="59">
      <formula>MOD(ROW(),2)=0</formula>
    </cfRule>
    <cfRule type="expression" dxfId="1392" priority="60">
      <formula>AND(MOD(ROW(),2)=0,N$30="Proportion",$F39="Overall change in costs (%)")</formula>
    </cfRule>
    <cfRule type="expression" dxfId="1391" priority="61">
      <formula>AND(MOD(ROW(),1)=0,N$30="Proportion",$F39="Overall change in costs (%)")</formula>
    </cfRule>
  </conditionalFormatting>
  <conditionalFormatting sqref="N39 W39 AF39">
    <cfRule type="expression" dxfId="1390" priority="62">
      <formula>MOD(ROW(),2)=0</formula>
    </cfRule>
    <cfRule type="expression" dxfId="1389" priority="63">
      <formula>AND(MOD(ROW(),2)=0,#REF!="Proportion",$F39="Overall change in costs (%)")</formula>
    </cfRule>
    <cfRule type="expression" dxfId="1388" priority="64">
      <formula>AND(MOD(ROW(),1)=0,#REF!="Proportion",$F39="Overall change in costs (%)")</formula>
    </cfRule>
  </conditionalFormatting>
  <conditionalFormatting sqref="O44">
    <cfRule type="cellIs" dxfId="1387" priority="52" operator="equal">
      <formula>FALSE</formula>
    </cfRule>
    <cfRule type="cellIs" dxfId="1386" priority="53" operator="equal">
      <formula>TRUE</formula>
    </cfRule>
  </conditionalFormatting>
  <conditionalFormatting sqref="S44:T44">
    <cfRule type="cellIs" dxfId="1385" priority="50" operator="equal">
      <formula>FALSE</formula>
    </cfRule>
    <cfRule type="cellIs" dxfId="1384" priority="51" operator="equal">
      <formula>TRUE</formula>
    </cfRule>
  </conditionalFormatting>
  <conditionalFormatting sqref="X44">
    <cfRule type="cellIs" dxfId="1383" priority="48" operator="equal">
      <formula>FALSE</formula>
    </cfRule>
    <cfRule type="cellIs" dxfId="1382" priority="49" operator="equal">
      <formula>TRUE</formula>
    </cfRule>
  </conditionalFormatting>
  <conditionalFormatting sqref="W44">
    <cfRule type="cellIs" dxfId="1381" priority="46" operator="equal">
      <formula>FALSE</formula>
    </cfRule>
    <cfRule type="cellIs" dxfId="1380" priority="47" operator="equal">
      <formula>TRUE</formula>
    </cfRule>
  </conditionalFormatting>
  <conditionalFormatting sqref="AB44:AC44">
    <cfRule type="cellIs" dxfId="1379" priority="44" operator="equal">
      <formula>FALSE</formula>
    </cfRule>
    <cfRule type="cellIs" dxfId="1378" priority="45" operator="equal">
      <formula>TRUE</formula>
    </cfRule>
  </conditionalFormatting>
  <conditionalFormatting sqref="AG44">
    <cfRule type="cellIs" dxfId="1377" priority="42" operator="equal">
      <formula>FALSE</formula>
    </cfRule>
    <cfRule type="cellIs" dxfId="1376" priority="43" operator="equal">
      <formula>TRUE</formula>
    </cfRule>
  </conditionalFormatting>
  <conditionalFormatting sqref="AF44">
    <cfRule type="cellIs" dxfId="1375" priority="40" operator="equal">
      <formula>FALSE</formula>
    </cfRule>
    <cfRule type="cellIs" dxfId="1374" priority="41" operator="equal">
      <formula>TRUE</formula>
    </cfRule>
  </conditionalFormatting>
  <conditionalFormatting sqref="V44">
    <cfRule type="cellIs" dxfId="1373" priority="38" operator="equal">
      <formula>FALSE</formula>
    </cfRule>
    <cfRule type="cellIs" dxfId="1372" priority="39" operator="equal">
      <formula>TRUE</formula>
    </cfRule>
  </conditionalFormatting>
  <conditionalFormatting sqref="AE44">
    <cfRule type="cellIs" dxfId="1371" priority="36" operator="equal">
      <formula>FALSE</formula>
    </cfRule>
    <cfRule type="cellIs" dxfId="1370" priority="37" operator="equal">
      <formula>TRUE</formula>
    </cfRule>
  </conditionalFormatting>
  <conditionalFormatting sqref="AD44">
    <cfRule type="cellIs" dxfId="1369" priority="34" operator="equal">
      <formula>FALSE</formula>
    </cfRule>
    <cfRule type="cellIs" dxfId="1368" priority="35" operator="equal">
      <formula>TRUE</formula>
    </cfRule>
  </conditionalFormatting>
  <conditionalFormatting sqref="U44">
    <cfRule type="cellIs" dxfId="1367" priority="32" operator="equal">
      <formula>FALSE</formula>
    </cfRule>
    <cfRule type="cellIs" dxfId="1366" priority="33" operator="equal">
      <formula>TRUE</formula>
    </cfRule>
  </conditionalFormatting>
  <conditionalFormatting sqref="K44">
    <cfRule type="cellIs" dxfId="1365" priority="30" operator="equal">
      <formula>FALSE</formula>
    </cfRule>
    <cfRule type="cellIs" dxfId="1364" priority="31" operator="equal">
      <formula>TRUE</formula>
    </cfRule>
  </conditionalFormatting>
  <conditionalFormatting sqref="L44">
    <cfRule type="cellIs" dxfId="1363" priority="28" operator="equal">
      <formula>FALSE</formula>
    </cfRule>
    <cfRule type="cellIs" dxfId="1362" priority="29" operator="equal">
      <formula>TRUE</formula>
    </cfRule>
  </conditionalFormatting>
  <conditionalFormatting sqref="I36">
    <cfRule type="expression" dxfId="1361" priority="65">
      <formula>MOD(ROW(),2)=0</formula>
    </cfRule>
    <cfRule type="expression" dxfId="1360" priority="66">
      <formula>AND(MOD(ROW(),2)=0,I$30="Proportion",$F37="Overall change in costs (%)")</formula>
    </cfRule>
    <cfRule type="expression" dxfId="1359" priority="67">
      <formula>AND(MOD(ROW(),1)=0,I$30="Proportion",$F37="Overall change in costs (%)")</formula>
    </cfRule>
  </conditionalFormatting>
  <conditionalFormatting sqref="I37">
    <cfRule type="expression" dxfId="1358" priority="25">
      <formula>MOD(ROW(),2)=0</formula>
    </cfRule>
    <cfRule type="expression" dxfId="1357" priority="26">
      <formula>AND(MOD(ROW(),2)=0,I$30="Proportion",$F37="Overall change in costs (%)")</formula>
    </cfRule>
    <cfRule type="expression" dxfId="1356" priority="27">
      <formula>AND(MOD(ROW(),1)=0,I$30="Proportion",$F37="Overall change in costs (%)")</formula>
    </cfRule>
  </conditionalFormatting>
  <conditionalFormatting sqref="S36:X36 S37:U37 W37:X37">
    <cfRule type="expression" dxfId="1355" priority="19">
      <formula>MOD(ROW(),2)=0</formula>
    </cfRule>
    <cfRule type="expression" dxfId="1354" priority="20">
      <formula>AND(MOD(ROW(),2)=0,S$30="Proportion",$F36="Overall change in costs (%)")</formula>
    </cfRule>
    <cfRule type="expression" dxfId="1353" priority="21">
      <formula>AND(MOD(ROW(),1)=0,S$30="Proportion",$F36="Overall change in costs (%)")</formula>
    </cfRule>
  </conditionalFormatting>
  <conditionalFormatting sqref="R36">
    <cfRule type="expression" dxfId="1352" priority="22">
      <formula>MOD(ROW(),2)=0</formula>
    </cfRule>
    <cfRule type="expression" dxfId="1351" priority="23">
      <formula>AND(MOD(ROW(),2)=0,R$30="Proportion",$F37="Overall change in costs (%)")</formula>
    </cfRule>
    <cfRule type="expression" dxfId="1350" priority="24">
      <formula>AND(MOD(ROW(),1)=0,R$30="Proportion",$F37="Overall change in costs (%)")</formula>
    </cfRule>
  </conditionalFormatting>
  <conditionalFormatting sqref="R37">
    <cfRule type="expression" dxfId="1349" priority="16">
      <formula>MOD(ROW(),2)=0</formula>
    </cfRule>
    <cfRule type="expression" dxfId="1348" priority="17">
      <formula>AND(MOD(ROW(),2)=0,R$30="Proportion",$F37="Overall change in costs (%)")</formula>
    </cfRule>
    <cfRule type="expression" dxfId="1347" priority="18">
      <formula>AND(MOD(ROW(),1)=0,R$30="Proportion",$F37="Overall change in costs (%)")</formula>
    </cfRule>
  </conditionalFormatting>
  <conditionalFormatting sqref="AB36:AG36 AB37:AD37 AF37:AG37">
    <cfRule type="expression" dxfId="1346" priority="10">
      <formula>MOD(ROW(),2)=0</formula>
    </cfRule>
    <cfRule type="expression" dxfId="1345" priority="11">
      <formula>AND(MOD(ROW(),2)=0,AB$30="Proportion",$F36="Overall change in costs (%)")</formula>
    </cfRule>
    <cfRule type="expression" dxfId="1344" priority="12">
      <formula>AND(MOD(ROW(),1)=0,AB$30="Proportion",$F36="Overall change in costs (%)")</formula>
    </cfRule>
  </conditionalFormatting>
  <conditionalFormatting sqref="AA36">
    <cfRule type="expression" dxfId="1343" priority="13">
      <formula>MOD(ROW(),2)=0</formula>
    </cfRule>
    <cfRule type="expression" dxfId="1342" priority="14">
      <formula>AND(MOD(ROW(),2)=0,AA$30="Proportion",$F37="Overall change in costs (%)")</formula>
    </cfRule>
    <cfRule type="expression" dxfId="1341" priority="15">
      <formula>AND(MOD(ROW(),1)=0,AA$30="Proportion",$F37="Overall change in costs (%)")</formula>
    </cfRule>
  </conditionalFormatting>
  <conditionalFormatting sqref="AA37">
    <cfRule type="expression" dxfId="1340" priority="7">
      <formula>MOD(ROW(),2)=0</formula>
    </cfRule>
    <cfRule type="expression" dxfId="1339" priority="8">
      <formula>AND(MOD(ROW(),2)=0,AA$30="Proportion",$F37="Overall change in costs (%)")</formula>
    </cfRule>
    <cfRule type="expression" dxfId="1338" priority="9">
      <formula>AND(MOD(ROW(),1)=0,AA$30="Proportion",$F37="Overall change in costs (%)")</formula>
    </cfRule>
  </conditionalFormatting>
  <conditionalFormatting sqref="U38">
    <cfRule type="expression" dxfId="1337" priority="4">
      <formula>MOD(ROW(),2)=0</formula>
    </cfRule>
    <cfRule type="expression" dxfId="1336" priority="5">
      <formula>AND(MOD(ROW(),2)=0,U$30="Proportion",$F38="Overall change in costs (%)")</formula>
    </cfRule>
    <cfRule type="expression" dxfId="1335" priority="6">
      <formula>AND(MOD(ROW(),1)=0,U$30="Proportion",$F38="Overall change in costs (%)")</formula>
    </cfRule>
  </conditionalFormatting>
  <conditionalFormatting sqref="AD38">
    <cfRule type="expression" dxfId="1334" priority="1">
      <formula>MOD(ROW(),2)=0</formula>
    </cfRule>
    <cfRule type="expression" dxfId="1333" priority="2">
      <formula>AND(MOD(ROW(),2)=0,AD$30="Proportion",$F38="Overall change in costs (%)")</formula>
    </cfRule>
    <cfRule type="expression" dxfId="1332" priority="3">
      <formula>AND(MOD(ROW(),1)=0,AD$30="Proportion",$F38="Overall change in costs (%)")</formula>
    </cfRule>
  </conditionalFormatting>
  <hyperlinks>
    <hyperlink ref="A1" location="Index!A1" display="&lt;&lt;Back to Index" xr:uid="{68020CFA-F7D2-4CF0-8784-815E1A51BB6A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70C0"/>
  </sheetPr>
  <dimension ref="F9:F14"/>
  <sheetViews>
    <sheetView workbookViewId="0">
      <selection activeCell="D39" sqref="D39"/>
    </sheetView>
  </sheetViews>
  <sheetFormatPr defaultColWidth="8.81640625" defaultRowHeight="14.5" x14ac:dyDescent="0.35"/>
  <cols>
    <col min="1" max="16384" width="8.81640625" style="3"/>
  </cols>
  <sheetData>
    <row r="9" spans="6:6" ht="36" x14ac:dyDescent="0.35">
      <c r="F9" s="2" t="s">
        <v>165</v>
      </c>
    </row>
    <row r="10" spans="6:6" ht="36" x14ac:dyDescent="0.35">
      <c r="F10" s="2" t="str">
        <f>"DMO "&amp;FY</f>
        <v>DMO 2022-23</v>
      </c>
    </row>
    <row r="11" spans="6:6" ht="23.5" x14ac:dyDescent="0.35">
      <c r="F11" s="4" t="s">
        <v>166</v>
      </c>
    </row>
    <row r="12" spans="6:6" ht="23.5" x14ac:dyDescent="0.35">
      <c r="F12" s="4"/>
    </row>
    <row r="13" spans="6:6" x14ac:dyDescent="0.35">
      <c r="F13" s="5"/>
    </row>
    <row r="14" spans="6:6" x14ac:dyDescent="0.35">
      <c r="F14" s="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70C0"/>
  </sheetPr>
  <dimension ref="A1:R173"/>
  <sheetViews>
    <sheetView workbookViewId="0">
      <pane ySplit="6" topLeftCell="A7" activePane="bottomLeft" state="frozen"/>
      <selection activeCell="S10" sqref="S10"/>
      <selection pane="bottomLeft" activeCell="H142" sqref="H142:M146"/>
    </sheetView>
  </sheetViews>
  <sheetFormatPr defaultColWidth="8.81640625" defaultRowHeight="14.5" outlineLevelRow="1" x14ac:dyDescent="0.35"/>
  <cols>
    <col min="1" max="1" width="1.81640625" style="3" customWidth="1"/>
    <col min="2" max="3" width="15.81640625" style="3" customWidth="1"/>
    <col min="4" max="4" width="18.1796875" style="3" customWidth="1"/>
    <col min="5" max="5" width="10.81640625" style="3" customWidth="1"/>
    <col min="6" max="6" width="10.81640625" style="19" customWidth="1"/>
    <col min="7" max="7" width="10.81640625" style="3" customWidth="1"/>
    <col min="8" max="10" width="10.81640625" style="66" customWidth="1"/>
    <col min="11" max="11" width="11.81640625" style="19" bestFit="1" customWidth="1"/>
    <col min="12" max="12" width="0.81640625" style="19" customWidth="1"/>
    <col min="13" max="13" width="10.81640625" style="19" customWidth="1"/>
    <col min="14" max="14" width="0.81640625" style="19" customWidth="1"/>
    <col min="15" max="17" width="10.81640625" style="66" customWidth="1"/>
    <col min="18" max="18" width="11.81640625" style="19" bestFit="1" customWidth="1"/>
    <col min="19" max="16384" width="8.81640625" style="3"/>
  </cols>
  <sheetData>
    <row r="1" spans="1:18" ht="10.4" customHeight="1" x14ac:dyDescent="0.35">
      <c r="A1" s="302" t="s">
        <v>20</v>
      </c>
      <c r="B1" s="307"/>
    </row>
    <row r="2" spans="1:18" s="13" customFormat="1" ht="22.5" customHeight="1" x14ac:dyDescent="0.35">
      <c r="A2" s="14" t="s">
        <v>61</v>
      </c>
      <c r="F2" s="20"/>
      <c r="H2" s="67"/>
      <c r="I2" s="67"/>
      <c r="J2" s="67"/>
      <c r="K2" s="20"/>
      <c r="L2" s="20"/>
      <c r="M2" s="20"/>
      <c r="N2" s="20"/>
      <c r="O2" s="67"/>
      <c r="P2" s="67"/>
      <c r="Q2" s="67"/>
      <c r="R2" s="20"/>
    </row>
    <row r="3" spans="1:18" s="27" customFormat="1" ht="17.899999999999999" customHeight="1" x14ac:dyDescent="0.35">
      <c r="B3" s="28"/>
      <c r="C3" s="28"/>
      <c r="D3" s="28"/>
      <c r="E3" s="28"/>
      <c r="F3" s="45"/>
      <c r="G3" s="28"/>
      <c r="H3" s="336" t="str">
        <f>PY</f>
        <v>2021-22</v>
      </c>
      <c r="I3" s="336"/>
      <c r="J3" s="336"/>
      <c r="K3" s="336"/>
      <c r="L3" s="37"/>
      <c r="M3" s="42" t="str">
        <f>FY</f>
        <v>2022-23</v>
      </c>
      <c r="N3" s="37"/>
      <c r="O3" s="336" t="str">
        <f>FY</f>
        <v>2022-23</v>
      </c>
      <c r="P3" s="336"/>
      <c r="Q3" s="336"/>
      <c r="R3" s="336"/>
    </row>
    <row r="4" spans="1:18" s="27" customFormat="1" ht="3" customHeight="1" x14ac:dyDescent="0.35">
      <c r="B4" s="28"/>
      <c r="C4" s="28"/>
      <c r="D4" s="28"/>
      <c r="E4" s="28"/>
      <c r="F4" s="41" t="str">
        <f>$H$3</f>
        <v>2021-22</v>
      </c>
      <c r="G4" s="28"/>
      <c r="H4" s="68" t="str">
        <f>$H$3</f>
        <v>2021-22</v>
      </c>
      <c r="I4" s="68" t="str">
        <f>$H$3</f>
        <v>2021-22</v>
      </c>
      <c r="J4" s="68" t="str">
        <f>$H$3</f>
        <v>2021-22</v>
      </c>
      <c r="K4" s="41" t="str">
        <f>H3</f>
        <v>2021-22</v>
      </c>
      <c r="L4" s="41"/>
      <c r="M4" s="41" t="str">
        <f>FY</f>
        <v>2022-23</v>
      </c>
      <c r="N4" s="41"/>
      <c r="O4" s="68" t="str">
        <f>$O$3</f>
        <v>2022-23</v>
      </c>
      <c r="P4" s="68" t="str">
        <f>$O$3</f>
        <v>2022-23</v>
      </c>
      <c r="Q4" s="68" t="str">
        <f>$O$3</f>
        <v>2022-23</v>
      </c>
      <c r="R4" s="41" t="str">
        <f>O3</f>
        <v>2022-23</v>
      </c>
    </row>
    <row r="5" spans="1:18" s="5" customFormat="1" ht="17.899999999999999" customHeight="1" x14ac:dyDescent="0.35">
      <c r="B5" s="23" t="s">
        <v>1</v>
      </c>
      <c r="C5" s="23" t="s">
        <v>12</v>
      </c>
      <c r="D5" s="23" t="s">
        <v>24</v>
      </c>
      <c r="E5" s="23" t="s">
        <v>13</v>
      </c>
      <c r="F5" s="12" t="s">
        <v>26</v>
      </c>
      <c r="G5" s="23" t="s">
        <v>33</v>
      </c>
      <c r="H5" s="249" t="s">
        <v>42</v>
      </c>
      <c r="I5" s="249" t="s">
        <v>43</v>
      </c>
      <c r="J5" s="249" t="s">
        <v>23</v>
      </c>
      <c r="K5" s="231" t="s">
        <v>25</v>
      </c>
      <c r="L5" s="231"/>
      <c r="M5" s="231" t="s">
        <v>22</v>
      </c>
      <c r="N5" s="231"/>
      <c r="O5" s="249" t="s">
        <v>42</v>
      </c>
      <c r="P5" s="249" t="s">
        <v>43</v>
      </c>
      <c r="Q5" s="249" t="s">
        <v>23</v>
      </c>
      <c r="R5" s="231" t="s">
        <v>25</v>
      </c>
    </row>
    <row r="6" spans="1:18" s="29" customFormat="1" ht="17.899999999999999" customHeight="1" x14ac:dyDescent="0.35">
      <c r="B6" s="30"/>
      <c r="C6" s="30"/>
      <c r="D6" s="30"/>
      <c r="E6" s="30"/>
      <c r="F6" s="31" t="s">
        <v>51</v>
      </c>
      <c r="G6" s="30"/>
      <c r="H6" s="250" t="s">
        <v>64</v>
      </c>
      <c r="I6" s="250" t="s">
        <v>40</v>
      </c>
      <c r="J6" s="250" t="s">
        <v>41</v>
      </c>
      <c r="K6" s="251" t="s">
        <v>29</v>
      </c>
      <c r="L6" s="251"/>
      <c r="M6" s="251" t="s">
        <v>29</v>
      </c>
      <c r="N6" s="251"/>
      <c r="O6" s="250" t="s">
        <v>64</v>
      </c>
      <c r="P6" s="250" t="s">
        <v>40</v>
      </c>
      <c r="Q6" s="250" t="s">
        <v>41</v>
      </c>
      <c r="R6" s="251" t="s">
        <v>29</v>
      </c>
    </row>
    <row r="7" spans="1:18" x14ac:dyDescent="0.35">
      <c r="F7" s="228"/>
      <c r="H7" s="224"/>
      <c r="I7" s="224"/>
      <c r="J7" s="224"/>
      <c r="K7" s="246"/>
      <c r="L7" s="246"/>
      <c r="M7" s="246"/>
      <c r="N7" s="243"/>
      <c r="O7" s="224"/>
      <c r="P7" s="224"/>
      <c r="Q7" s="224"/>
      <c r="R7" s="246"/>
    </row>
    <row r="8" spans="1:18" x14ac:dyDescent="0.35">
      <c r="B8" s="5" t="s">
        <v>2</v>
      </c>
      <c r="C8" s="5" t="s">
        <v>6</v>
      </c>
      <c r="D8" s="5" t="s">
        <v>136</v>
      </c>
      <c r="E8" s="60"/>
      <c r="F8" s="262"/>
      <c r="H8" s="224"/>
      <c r="I8" s="224"/>
      <c r="J8" s="224"/>
      <c r="K8" s="246"/>
      <c r="L8" s="246"/>
      <c r="M8" s="246"/>
      <c r="N8" s="243"/>
      <c r="O8" s="224"/>
      <c r="P8" s="224"/>
      <c r="Q8" s="224"/>
      <c r="R8" s="246"/>
    </row>
    <row r="9" spans="1:18" x14ac:dyDescent="0.35">
      <c r="B9" s="3" t="str">
        <f>B$8</f>
        <v>Ausgrid</v>
      </c>
      <c r="C9" s="3" t="str">
        <f t="shared" ref="C9:D13" si="0">C$8</f>
        <v>Residential</v>
      </c>
      <c r="D9" s="3" t="str">
        <f t="shared" si="0"/>
        <v>without CL</v>
      </c>
      <c r="E9" s="60" t="s">
        <v>21</v>
      </c>
      <c r="F9" s="228">
        <f t="array" ref="F9">IFERROR(INDEX(Usage!$B$5:$P$18,MATCH($B9,Usage!$B$5:$B$18,0),MATCH($C9&amp;$D9&amp;$E9,Usage!$B$5:$S$5&amp;Usage!$B$6:$S$6&amp;Usage!$B$7:$S$7,0)),0)</f>
        <v>3900</v>
      </c>
      <c r="G9" s="3" t="s">
        <v>55</v>
      </c>
      <c r="H9" s="226">
        <f t="array" ref="H9">INDEX('Key inputs'!$B$16:$N$40,MATCH($B9&amp;$C9&amp;$E9,'Key inputs'!$B$16:$B$40&amp;'Key inputs'!$C$16:$C$40&amp;'Key inputs'!$D$16:$D$40,0),MATCH($G9&amp;H$4&amp;H$5,'Key inputs'!$B$17:$N$17&amp;'Key inputs'!$B$18:$N$18&amp;'Key inputs'!$B$19:$N$19,0))</f>
        <v>142.07113999999999</v>
      </c>
      <c r="I9" s="226">
        <f t="array" ref="I9">INDEX('Key inputs'!$B$16:$N$40,MATCH($B9&amp;$C9&amp;$E9,'Key inputs'!$B$16:$B$40&amp;'Key inputs'!$C$16:$C$40&amp;'Key inputs'!$D$16:$D$40,0),MATCH($G9&amp;I$4&amp;I$5,'Key inputs'!$B$17:$N$17&amp;'Key inputs'!$B$18:$N$18&amp;'Key inputs'!$B$19:$N$19,0))</f>
        <v>86.54</v>
      </c>
      <c r="J9" s="224">
        <f>H9+I9*$F9/1000</f>
        <v>479.57713999999999</v>
      </c>
      <c r="K9" s="246">
        <f>IFERROR(J9/J11,"")</f>
        <v>0.94771134782715749</v>
      </c>
      <c r="L9" s="246"/>
      <c r="M9" s="246">
        <f t="shared" ref="M9:M13" si="1">IF(OR(J9=0,J9="",Q9=""),"",Q9/J9-1)</f>
        <v>-3.572524328411486E-2</v>
      </c>
      <c r="N9" s="243"/>
      <c r="O9" s="226">
        <f t="array" ref="O9">INDEX('Key inputs'!$B$16:$N$40,MATCH($B9&amp;$C9&amp;$E9,'Key inputs'!$B$16:$B$40&amp;'Key inputs'!$C$16:$C$40&amp;'Key inputs'!$D$16:$D$40,0),MATCH($G9&amp;O$4&amp;O$5,'Key inputs'!$B$17:$N$17&amp;'Key inputs'!$B$18:$N$18&amp;'Key inputs'!$B$19:$N$19,0))</f>
        <v>119.04913000000001</v>
      </c>
      <c r="P9" s="226">
        <f t="array" ref="P9">INDEX('Key inputs'!$B$16:$N$40,MATCH($B9&amp;$C9&amp;$E9,'Key inputs'!$B$16:$B$40&amp;'Key inputs'!$C$16:$C$40&amp;'Key inputs'!$D$16:$D$40,0),MATCH($G9&amp;P$4&amp;P$5,'Key inputs'!$B$17:$N$17&amp;'Key inputs'!$B$18:$N$18&amp;'Key inputs'!$B$19:$N$19,0))</f>
        <v>88.05</v>
      </c>
      <c r="Q9" s="224">
        <f>O9+P9*$F9/1000</f>
        <v>462.44412999999997</v>
      </c>
      <c r="R9" s="246">
        <f>IFERROR(Q9/Q11,"")</f>
        <v>0.94477746964890674</v>
      </c>
    </row>
    <row r="10" spans="1:18" x14ac:dyDescent="0.35">
      <c r="B10" s="3" t="str">
        <f t="shared" ref="B10:B13" si="2">B$8</f>
        <v>Ausgrid</v>
      </c>
      <c r="C10" s="3" t="str">
        <f t="shared" si="0"/>
        <v>Residential</v>
      </c>
      <c r="D10" s="3" t="str">
        <f t="shared" si="0"/>
        <v>without CL</v>
      </c>
      <c r="E10" s="60" t="s">
        <v>21</v>
      </c>
      <c r="F10" s="228">
        <f t="array" ref="F10">IFERROR(INDEX(Usage!$B$5:$P$18,MATCH($B10,Usage!$B$5:$B$18,0),MATCH($C10&amp;$D10&amp;$E10,Usage!$B$5:$S$5&amp;Usage!$B$6:$S$6&amp;Usage!$B$7:$S$7,0)),0)</f>
        <v>3900</v>
      </c>
      <c r="G10" s="3" t="s">
        <v>57</v>
      </c>
      <c r="H10" s="226">
        <f t="array" ref="H10">INDEX('Key inputs'!$B$16:$N$40,MATCH($B10&amp;$C10&amp;$E10,'Key inputs'!$B$16:$B$40&amp;'Key inputs'!$C$16:$C$40&amp;'Key inputs'!$D$16:$D$40,0),MATCH($G10&amp;H$4&amp;H$5,'Key inputs'!$B$17:$N$17&amp;'Key inputs'!$B$18:$N$18&amp;'Key inputs'!$B$19:$N$19,0))</f>
        <v>26.46</v>
      </c>
      <c r="I10" s="224">
        <f>IFERROR(INDEX('Detail inputs'!$B$3:$K$193,MATCH($B10&amp;$C10&amp;$E10&amp;$G10&amp;I$5,'Detail inputs'!$B$3:$B$193&amp;'Detail inputs'!$D$3:$D$193&amp;'Detail inputs'!$F$3:$F$193&amp;'Detail inputs'!$G$3:$G$193&amp;'Detail inputs'!$H$3:$H$193,0),MATCH(I$4,'Detail inputs'!$B$3:$K$3,0)),0)</f>
        <v>0</v>
      </c>
      <c r="J10" s="224">
        <f>H10+I10*$F10/1000</f>
        <v>26.46</v>
      </c>
      <c r="K10" s="246">
        <f>IFERROR(J10/J11,"")</f>
        <v>5.2288652172842495E-2</v>
      </c>
      <c r="L10" s="246"/>
      <c r="M10" s="246">
        <f t="shared" si="1"/>
        <v>2.1541950113378672E-2</v>
      </c>
      <c r="N10" s="243"/>
      <c r="O10" s="226">
        <f t="array" ref="O10">INDEX('Key inputs'!$B$16:$N$40,MATCH($B10&amp;$C10&amp;$E10,'Key inputs'!$B$16:$B$40&amp;'Key inputs'!$C$16:$C$40&amp;'Key inputs'!$D$16:$D$40,0),MATCH($G10&amp;O$4&amp;O$5,'Key inputs'!$B$17:$N$17&amp;'Key inputs'!$B$18:$N$18&amp;'Key inputs'!$B$19:$N$19,0))</f>
        <v>27.03</v>
      </c>
      <c r="P10" s="224">
        <f>IFERROR(INDEX('Detail inputs'!$B$3:$K$193,MATCH($B10&amp;$C10&amp;$E10&amp;$G10&amp;P$5,'Detail inputs'!$B$3:$B$193&amp;'Detail inputs'!$D$3:$D$193&amp;'Detail inputs'!$F$3:$F$193&amp;'Detail inputs'!$G$3:$G$193&amp;'Detail inputs'!$H$3:$H$193,0),MATCH(P$4,'Detail inputs'!$B$3:$K$3,0)),0)</f>
        <v>0</v>
      </c>
      <c r="Q10" s="224">
        <f>O10+P10*$F10/1000</f>
        <v>27.03</v>
      </c>
      <c r="R10" s="246">
        <f>IFERROR(Q10/Q11,"")</f>
        <v>5.5222530351093334E-2</v>
      </c>
    </row>
    <row r="11" spans="1:18" s="5" customFormat="1" x14ac:dyDescent="0.35">
      <c r="B11" s="3" t="str">
        <f t="shared" si="2"/>
        <v>Ausgrid</v>
      </c>
      <c r="C11" s="3" t="str">
        <f t="shared" si="0"/>
        <v>Residential</v>
      </c>
      <c r="D11" s="3" t="str">
        <f t="shared" si="0"/>
        <v>without CL</v>
      </c>
      <c r="E11" s="60" t="s">
        <v>21</v>
      </c>
      <c r="F11" s="228">
        <f t="array" ref="F11">IFERROR(INDEX(Usage!$B$5:$P$18,MATCH($B11,Usage!$B$5:$B$18,0),MATCH($C11&amp;$D11&amp;$E11,Usage!$B$5:$S$5&amp;Usage!$B$6:$S$6&amp;Usage!$B$7:$S$7,0)),0)</f>
        <v>3900</v>
      </c>
      <c r="G11" s="60" t="s">
        <v>53</v>
      </c>
      <c r="H11" s="226"/>
      <c r="I11" s="226"/>
      <c r="J11" s="226">
        <f>SUM(J9:J10)</f>
        <v>506.03713999999997</v>
      </c>
      <c r="K11" s="247"/>
      <c r="L11" s="259"/>
      <c r="M11" s="246">
        <f t="shared" si="1"/>
        <v>-3.2730818927638405E-2</v>
      </c>
      <c r="N11" s="253"/>
      <c r="O11" s="226"/>
      <c r="P11" s="226"/>
      <c r="Q11" s="226">
        <f>SUM(Q9:Q10)</f>
        <v>489.47412999999995</v>
      </c>
      <c r="R11" s="247"/>
    </row>
    <row r="12" spans="1:18" s="5" customFormat="1" outlineLevel="1" x14ac:dyDescent="0.35">
      <c r="B12" s="3" t="str">
        <f t="shared" si="2"/>
        <v>Ausgrid</v>
      </c>
      <c r="C12" s="3" t="str">
        <f t="shared" si="0"/>
        <v>Residential</v>
      </c>
      <c r="D12" s="3" t="str">
        <f t="shared" si="0"/>
        <v>without CL</v>
      </c>
      <c r="E12" s="60"/>
      <c r="F12" s="262"/>
      <c r="G12" s="60" t="s">
        <v>35</v>
      </c>
      <c r="H12" s="226"/>
      <c r="I12" s="226"/>
      <c r="J12" s="226">
        <f>J11*GST</f>
        <v>50.603713999999997</v>
      </c>
      <c r="K12" s="247"/>
      <c r="L12" s="259"/>
      <c r="M12" s="246">
        <f t="shared" si="1"/>
        <v>-3.2730818927638405E-2</v>
      </c>
      <c r="N12" s="253"/>
      <c r="O12" s="226"/>
      <c r="P12" s="226"/>
      <c r="Q12" s="226">
        <f>Q11*GST</f>
        <v>48.947412999999997</v>
      </c>
      <c r="R12" s="247"/>
    </row>
    <row r="13" spans="1:18" s="5" customFormat="1" x14ac:dyDescent="0.35">
      <c r="B13" s="3" t="str">
        <f t="shared" si="2"/>
        <v>Ausgrid</v>
      </c>
      <c r="C13" s="3" t="str">
        <f t="shared" si="0"/>
        <v>Residential</v>
      </c>
      <c r="D13" s="3" t="str">
        <f t="shared" si="0"/>
        <v>without CL</v>
      </c>
      <c r="E13" s="60"/>
      <c r="F13" s="262"/>
      <c r="G13" s="5" t="s">
        <v>77</v>
      </c>
      <c r="H13" s="227"/>
      <c r="I13" s="227"/>
      <c r="J13" s="227">
        <f>SUM(J11:J12)</f>
        <v>556.64085399999999</v>
      </c>
      <c r="K13" s="248"/>
      <c r="L13" s="260"/>
      <c r="M13" s="248">
        <f t="shared" si="1"/>
        <v>-3.2730818927638516E-2</v>
      </c>
      <c r="N13" s="254"/>
      <c r="O13" s="227"/>
      <c r="P13" s="227"/>
      <c r="Q13" s="227">
        <f>SUM(Q11:Q12)</f>
        <v>538.42154299999993</v>
      </c>
      <c r="R13" s="248"/>
    </row>
    <row r="14" spans="1:18" x14ac:dyDescent="0.35">
      <c r="F14" s="228"/>
      <c r="H14" s="224"/>
      <c r="I14" s="224"/>
      <c r="J14" s="224"/>
      <c r="K14" s="246"/>
      <c r="L14" s="261"/>
      <c r="M14" s="246"/>
      <c r="N14" s="252"/>
      <c r="O14" s="224"/>
      <c r="P14" s="224"/>
      <c r="Q14" s="224"/>
      <c r="R14" s="246"/>
    </row>
    <row r="15" spans="1:18" x14ac:dyDescent="0.35">
      <c r="B15" s="5" t="s">
        <v>2</v>
      </c>
      <c r="C15" s="5" t="s">
        <v>6</v>
      </c>
      <c r="D15" s="5" t="s">
        <v>137</v>
      </c>
      <c r="E15" s="60"/>
      <c r="F15" s="262"/>
      <c r="H15" s="224"/>
      <c r="I15" s="224"/>
      <c r="J15" s="224"/>
      <c r="K15" s="246"/>
      <c r="L15" s="261"/>
      <c r="M15" s="246"/>
      <c r="N15" s="252"/>
      <c r="O15" s="224"/>
      <c r="P15" s="224"/>
      <c r="Q15" s="224"/>
      <c r="R15" s="246"/>
    </row>
    <row r="16" spans="1:18" x14ac:dyDescent="0.35">
      <c r="B16" s="3" t="str">
        <f t="shared" ref="B16:D27" si="3">B$15</f>
        <v>Ausgrid</v>
      </c>
      <c r="C16" s="3" t="str">
        <f t="shared" si="3"/>
        <v>Residential</v>
      </c>
      <c r="D16" s="3" t="str">
        <f t="shared" si="3"/>
        <v>with CL</v>
      </c>
      <c r="E16" s="3" t="s">
        <v>21</v>
      </c>
      <c r="F16" s="228">
        <f t="array" ref="F16">IFERROR(INDEX(Usage!$B$5:$P$18,MATCH($B16,Usage!$B$5:$B$18,0),MATCH($C16&amp;$D16&amp;$E16,Usage!$B$5:$S$5&amp;Usage!$B$6:$S$6&amp;Usage!$B$7:$S$7,0)),0)</f>
        <v>4800</v>
      </c>
      <c r="G16" s="21" t="s">
        <v>55</v>
      </c>
      <c r="H16" s="226" cm="1">
        <f t="array" ref="H16">INDEX('Key inputs'!$B$16:$N$40,MATCH($B16&amp;$C16&amp;$E16,'Key inputs'!$B$16:$B$40&amp;'Key inputs'!$C$16:$C$40&amp;'Key inputs'!$D$16:$D$40,0),MATCH($G16&amp;H$4&amp;H$5,'Key inputs'!$B$17:$N$17&amp;'Key inputs'!$B$18:$N$18&amp;'Key inputs'!$B$19:$N$19,0))</f>
        <v>142.07113999999999</v>
      </c>
      <c r="I16" s="226">
        <f t="array" ref="I16">INDEX('Key inputs'!$B$16:$N$40,MATCH($B16&amp;$C16&amp;$E16,'Key inputs'!$B$16:$B$40&amp;'Key inputs'!$C$16:$C$40&amp;'Key inputs'!$D$16:$D$40,0),MATCH($G16&amp;I$4&amp;I$5,'Key inputs'!$B$17:$N$17&amp;'Key inputs'!$B$18:$N$18&amp;'Key inputs'!$B$19:$N$19,0))</f>
        <v>86.54</v>
      </c>
      <c r="J16" s="224">
        <f>H16+I16*$F16/1000</f>
        <v>557.46314000000007</v>
      </c>
      <c r="K16" s="246">
        <f>IFERROR(J16/J18,"")</f>
        <v>0.95468581704092081</v>
      </c>
      <c r="L16" s="246"/>
      <c r="M16" s="246">
        <f t="shared" ref="M16:M27" si="4">IF(OR(J16=0,J16="",Q16=""),"",Q16/J16-1)</f>
        <v>-2.8296059179805266E-2</v>
      </c>
      <c r="N16" s="243"/>
      <c r="O16" s="226">
        <f t="array" ref="O16">INDEX('Key inputs'!$B$16:$N$40,MATCH($B16&amp;$C16&amp;$E16,'Key inputs'!$B$16:$B$40&amp;'Key inputs'!$C$16:$C$40&amp;'Key inputs'!$D$16:$D$40,0),MATCH($G16&amp;O$4&amp;O$5,'Key inputs'!$B$17:$N$17&amp;'Key inputs'!$B$18:$N$18&amp;'Key inputs'!$B$19:$N$19,0))</f>
        <v>119.04913000000001</v>
      </c>
      <c r="P16" s="226">
        <f t="array" ref="P16">INDEX('Key inputs'!$B$16:$N$40,MATCH($B16&amp;$C16&amp;$E16,'Key inputs'!$B$16:$B$40&amp;'Key inputs'!$C$16:$C$40&amp;'Key inputs'!$D$16:$D$40,0),MATCH($G16&amp;P$4&amp;P$5,'Key inputs'!$B$17:$N$17&amp;'Key inputs'!$B$18:$N$18&amp;'Key inputs'!$B$19:$N$19,0))</f>
        <v>88.05</v>
      </c>
      <c r="Q16" s="224">
        <f>O16+P16*$F16/1000</f>
        <v>541.68912999999998</v>
      </c>
      <c r="R16" s="246">
        <f>IFERROR(Q16/Q18,"")</f>
        <v>0.95247214560902849</v>
      </c>
    </row>
    <row r="17" spans="2:18" x14ac:dyDescent="0.35">
      <c r="B17" s="3" t="str">
        <f t="shared" si="3"/>
        <v>Ausgrid</v>
      </c>
      <c r="C17" s="3" t="str">
        <f t="shared" si="3"/>
        <v>Residential</v>
      </c>
      <c r="D17" s="3" t="str">
        <f t="shared" si="3"/>
        <v>with CL</v>
      </c>
      <c r="E17" s="3" t="s">
        <v>21</v>
      </c>
      <c r="F17" s="228">
        <f t="array" ref="F17">IFERROR(INDEX(Usage!$B$5:$P$18,MATCH($B17,Usage!$B$5:$B$18,0),MATCH($C17&amp;$D17&amp;$E17,Usage!$B$5:$S$5&amp;Usage!$B$6:$S$6&amp;Usage!$B$7:$S$7,0)),0)</f>
        <v>4800</v>
      </c>
      <c r="G17" s="21" t="s">
        <v>57</v>
      </c>
      <c r="H17" s="226" cm="1">
        <f t="array" ref="H17">INDEX('Key inputs'!$B$16:$N$40,MATCH($B17&amp;$C17&amp;$E17,'Key inputs'!$B$16:$B$40&amp;'Key inputs'!$C$16:$C$40&amp;'Key inputs'!$D$16:$D$40,0),MATCH($G17&amp;H$4&amp;H$5,'Key inputs'!$B$17:$N$17&amp;'Key inputs'!$B$18:$N$18&amp;'Key inputs'!$B$19:$N$19,0))</f>
        <v>26.46</v>
      </c>
      <c r="I17" s="224">
        <f>IFERROR(INDEX('Detail inputs'!$B$3:$K$193,MATCH($B17&amp;$C17&amp;$E17&amp;$G17&amp;I$5,'Detail inputs'!$B$3:$B$193&amp;'Detail inputs'!$D$3:$D$193&amp;'Detail inputs'!$F$3:$F$193&amp;'Detail inputs'!$G$3:$G$193&amp;'Detail inputs'!$H$3:$H$193,0),MATCH(I$4,'Detail inputs'!$B$3:$K$3,0)),0)</f>
        <v>0</v>
      </c>
      <c r="J17" s="224">
        <f>H17+I17*$F17/1000</f>
        <v>26.46</v>
      </c>
      <c r="K17" s="246">
        <f>IFERROR(J17/J18,"")</f>
        <v>4.5314182959079165E-2</v>
      </c>
      <c r="L17" s="246"/>
      <c r="M17" s="246">
        <f t="shared" si="4"/>
        <v>2.1541950113378672E-2</v>
      </c>
      <c r="N17" s="243"/>
      <c r="O17" s="226">
        <f t="array" ref="O17">INDEX('Key inputs'!$B$16:$N$40,MATCH($B17&amp;$C17&amp;$E17,'Key inputs'!$B$16:$B$40&amp;'Key inputs'!$C$16:$C$40&amp;'Key inputs'!$D$16:$D$40,0),MATCH($G17&amp;O$4&amp;O$5,'Key inputs'!$B$17:$N$17&amp;'Key inputs'!$B$18:$N$18&amp;'Key inputs'!$B$19:$N$19,0))</f>
        <v>27.03</v>
      </c>
      <c r="P17" s="224">
        <f>IFERROR(INDEX('Detail inputs'!$B$3:$K$193,MATCH($B17&amp;$C17&amp;$E17&amp;$G17&amp;P$5,'Detail inputs'!$B$3:$B$193&amp;'Detail inputs'!$D$3:$D$193&amp;'Detail inputs'!$F$3:$F$193&amp;'Detail inputs'!$G$3:$G$193&amp;'Detail inputs'!$H$3:$H$193,0),MATCH(P$4,'Detail inputs'!$B$3:$K$3,0)),0)</f>
        <v>0</v>
      </c>
      <c r="Q17" s="224">
        <f>O17+P17*$F17/1000</f>
        <v>27.03</v>
      </c>
      <c r="R17" s="246">
        <f>IFERROR(Q17/Q18,"")</f>
        <v>4.752785439097152E-2</v>
      </c>
    </row>
    <row r="18" spans="2:18" x14ac:dyDescent="0.35">
      <c r="B18" s="3" t="str">
        <f t="shared" si="3"/>
        <v>Ausgrid</v>
      </c>
      <c r="C18" s="3" t="str">
        <f t="shared" si="3"/>
        <v>Residential</v>
      </c>
      <c r="D18" s="3" t="str">
        <f t="shared" si="3"/>
        <v>with CL</v>
      </c>
      <c r="E18" s="3" t="s">
        <v>21</v>
      </c>
      <c r="F18" s="228">
        <f t="array" ref="F18">IFERROR(INDEX(Usage!$B$5:$P$18,MATCH($B18,Usage!$B$5:$B$18,0),MATCH($C18&amp;$D18&amp;$E18,Usage!$B$5:$S$5&amp;Usage!$B$6:$S$6&amp;Usage!$B$7:$S$7,0)),0)</f>
        <v>4800</v>
      </c>
      <c r="G18" s="3" t="s">
        <v>53</v>
      </c>
      <c r="H18" s="224"/>
      <c r="I18" s="224"/>
      <c r="J18" s="226">
        <f>SUM(J16:J17)</f>
        <v>583.9231400000001</v>
      </c>
      <c r="K18" s="246"/>
      <c r="L18" s="261"/>
      <c r="M18" s="246">
        <f t="shared" si="4"/>
        <v>-2.6037690508377787E-2</v>
      </c>
      <c r="N18" s="253"/>
      <c r="O18" s="226"/>
      <c r="P18" s="226"/>
      <c r="Q18" s="226">
        <f>SUM(Q16:Q17)</f>
        <v>568.71912999999995</v>
      </c>
      <c r="R18" s="246"/>
    </row>
    <row r="19" spans="2:18" x14ac:dyDescent="0.35">
      <c r="B19" s="3" t="str">
        <f t="shared" si="3"/>
        <v>Ausgrid</v>
      </c>
      <c r="C19" s="3" t="str">
        <f t="shared" si="3"/>
        <v>Residential</v>
      </c>
      <c r="D19" s="3" t="str">
        <f t="shared" si="3"/>
        <v>with CL</v>
      </c>
      <c r="E19" s="3" t="s">
        <v>15</v>
      </c>
      <c r="F19" s="228">
        <f t="array" ref="F19">IFERROR(INDEX(Usage!$B$5:$P$18,MATCH($B19,Usage!$B$5:$B$18,0),MATCH($C19&amp;$D19&amp;$E19,Usage!$B$5:$S$5&amp;Usage!$B$6:$S$6&amp;Usage!$B$7:$S$7,0)),0)</f>
        <v>1340</v>
      </c>
      <c r="G19" s="21" t="s">
        <v>55</v>
      </c>
      <c r="H19" s="226" cm="1">
        <f t="array" ref="H19">INDEX('Key inputs'!$B$16:$N$40,MATCH($B19&amp;$C19&amp;$E19,'Key inputs'!$B$16:$B$40&amp;'Key inputs'!$C$16:$C$40&amp;'Key inputs'!$D$16:$D$40,0),MATCH($G19&amp;H$4&amp;H$5,'Key inputs'!$B$17:$N$17&amp;'Key inputs'!$B$18:$N$18&amp;'Key inputs'!$B$19:$N$19,0))</f>
        <v>0.57962000000000002</v>
      </c>
      <c r="I19" s="226">
        <f t="array" ref="I19">INDEX('Key inputs'!$B$16:$N$40,MATCH($B19&amp;$C19&amp;$E19,'Key inputs'!$B$16:$B$40&amp;'Key inputs'!$C$16:$C$40&amp;'Key inputs'!$D$16:$D$40,0),MATCH($G19&amp;I$4&amp;I$5,'Key inputs'!$B$17:$N$17&amp;'Key inputs'!$B$18:$N$18&amp;'Key inputs'!$B$19:$N$19,0))</f>
        <v>18.073</v>
      </c>
      <c r="J19" s="224">
        <f>H19*INDEX(Usage!$B$4:$M$18,MATCH($B19,Usage!$B$4:$B$18,0),MATCH(IF($E19="CL1","CL1 Proportion","CL2 Proportion"),Usage!$B$8:$M$8,0))+I19*$F19/1000</f>
        <v>24.606165399999998</v>
      </c>
      <c r="K19" s="246">
        <f>IFERROR(J19/J21,"")</f>
        <v>0.79759204024182961</v>
      </c>
      <c r="L19" s="246"/>
      <c r="M19" s="246">
        <f t="shared" si="4"/>
        <v>3.1143109360713295E-2</v>
      </c>
      <c r="N19" s="243"/>
      <c r="O19" s="226">
        <f t="array" ref="O19">INDEX('Key inputs'!$B$16:$N$40,MATCH($B19&amp;$C19&amp;$E19,'Key inputs'!$B$16:$B$40&amp;'Key inputs'!$C$16:$C$40&amp;'Key inputs'!$D$16:$D$40,0),MATCH($G19&amp;O$4&amp;O$5,'Key inputs'!$B$17:$N$17&amp;'Key inputs'!$B$18:$N$18&amp;'Key inputs'!$B$19:$N$19,0))</f>
        <v>2.8973699999999996</v>
      </c>
      <c r="P19" s="226">
        <f t="array" ref="P19">INDEX('Key inputs'!$B$16:$N$40,MATCH($B19&amp;$C19&amp;$E19,'Key inputs'!$B$16:$B$40&amp;'Key inputs'!$C$16:$C$40&amp;'Key inputs'!$D$16:$D$40,0),MATCH($G19&amp;P$4&amp;P$5,'Key inputs'!$B$17:$N$17&amp;'Key inputs'!$B$18:$N$18&amp;'Key inputs'!$B$19:$N$19,0))</f>
        <v>17.485999999999997</v>
      </c>
      <c r="Q19" s="224">
        <f>O19*INDEX(Usage!$B$4:$M$18,MATCH($B19,Usage!$B$4:$B$18,0),MATCH(IF($E19="CL1","CL1 Proportion","CL2 Proportion"),Usage!$B$8:$M$8,0))+P19*$F19/1000</f>
        <v>25.372477899999996</v>
      </c>
      <c r="R19" s="246">
        <f>IFERROR(Q19/Q21,"")</f>
        <v>0.80147883453260849</v>
      </c>
    </row>
    <row r="20" spans="2:18" x14ac:dyDescent="0.35">
      <c r="B20" s="3" t="str">
        <f t="shared" si="3"/>
        <v>Ausgrid</v>
      </c>
      <c r="C20" s="3" t="str">
        <f t="shared" si="3"/>
        <v>Residential</v>
      </c>
      <c r="D20" s="3" t="str">
        <f t="shared" si="3"/>
        <v>with CL</v>
      </c>
      <c r="E20" s="3" t="s">
        <v>15</v>
      </c>
      <c r="F20" s="228">
        <f t="array" ref="F20">IFERROR(INDEX(Usage!$B$5:$P$18,MATCH($B20,Usage!$B$5:$B$18,0),MATCH($C20&amp;$D20&amp;$E20,Usage!$B$5:$S$5&amp;Usage!$B$6:$S$6&amp;Usage!$B$7:$S$7,0)),0)</f>
        <v>1340</v>
      </c>
      <c r="G20" s="21" t="s">
        <v>57</v>
      </c>
      <c r="H20" s="226" cm="1">
        <f t="array" ref="H20">INDEX('Key inputs'!$B$16:$N$40,MATCH($B20&amp;$C20&amp;$E20,'Key inputs'!$B$16:$B$40&amp;'Key inputs'!$C$16:$C$40&amp;'Key inputs'!$D$16:$D$40,0),MATCH($G20&amp;H$4&amp;H$5,'Key inputs'!$B$17:$N$17&amp;'Key inputs'!$B$18:$N$18&amp;'Key inputs'!$B$19:$N$19,0))</f>
        <v>9.32</v>
      </c>
      <c r="I20" s="224">
        <f>IFERROR(INDEX('Detail inputs'!$B$3:$K$193,MATCH($B20&amp;$C20&amp;$E20&amp;$G20&amp;I$5,'Detail inputs'!$B$3:$B$193&amp;'Detail inputs'!$D$3:$D$193&amp;'Detail inputs'!$F$3:$F$193&amp;'Detail inputs'!$G$3:$G$193&amp;'Detail inputs'!$H$3:$H$193,0),MATCH(I$4,'Detail inputs'!$B$3:$K$3,0)),0)</f>
        <v>0</v>
      </c>
      <c r="J20" s="224">
        <f>H20*INDEX(Usage!$B$4:$M$18,MATCH($B20,Usage!$B$4:$B$18,0),MATCH(IF($E20="CL1","CL1 Proportion","CL2 Proportion"),Usage!$B$8:$M$8,0))+I20*$F20/1000</f>
        <v>6.2444000000000006</v>
      </c>
      <c r="K20" s="246">
        <f>IFERROR(J20/J21,"")</f>
        <v>0.20240795975817027</v>
      </c>
      <c r="L20" s="246"/>
      <c r="M20" s="246">
        <f t="shared" si="4"/>
        <v>6.4377682403431447E-3</v>
      </c>
      <c r="N20" s="243"/>
      <c r="O20" s="226">
        <f t="array" ref="O20">INDEX('Key inputs'!$B$16:$N$40,MATCH($B20&amp;$C20&amp;$E20,'Key inputs'!$B$16:$B$40&amp;'Key inputs'!$C$16:$C$40&amp;'Key inputs'!$D$16:$D$40,0),MATCH($G20&amp;O$4&amp;O$5,'Key inputs'!$B$17:$N$17&amp;'Key inputs'!$B$18:$N$18&amp;'Key inputs'!$B$19:$N$19,0))</f>
        <v>9.379999999999999</v>
      </c>
      <c r="P20" s="224">
        <f>IFERROR(INDEX('Detail inputs'!$B$3:$K$193,MATCH($B20&amp;$C20&amp;$E20&amp;$G20&amp;P$5,'Detail inputs'!$B$3:$B$193&amp;'Detail inputs'!$D$3:$D$193&amp;'Detail inputs'!$F$3:$F$193&amp;'Detail inputs'!$G$3:$G$193&amp;'Detail inputs'!$H$3:$H$193,0),MATCH(P$4,'Detail inputs'!$B$3:$K$3,0)),0)</f>
        <v>0</v>
      </c>
      <c r="Q20" s="224">
        <f>O20*INDEX(Usage!$B$4:$M$18,MATCH($B20,Usage!$B$4:$B$18,0),MATCH(IF($E20="CL1","CL1 Proportion","CL2 Proportion"),Usage!$B$8:$M$8,0))+P20*$F20/1000</f>
        <v>6.2845999999999993</v>
      </c>
      <c r="R20" s="246">
        <f>IFERROR(Q20/Q21,"")</f>
        <v>0.1985211654673914</v>
      </c>
    </row>
    <row r="21" spans="2:18" x14ac:dyDescent="0.35">
      <c r="B21" s="3" t="str">
        <f t="shared" si="3"/>
        <v>Ausgrid</v>
      </c>
      <c r="C21" s="3" t="str">
        <f t="shared" si="3"/>
        <v>Residential</v>
      </c>
      <c r="D21" s="3" t="str">
        <f t="shared" si="3"/>
        <v>with CL</v>
      </c>
      <c r="E21" s="3" t="s">
        <v>15</v>
      </c>
      <c r="F21" s="228">
        <f t="array" ref="F21">IFERROR(INDEX(Usage!$B$5:$P$18,MATCH($B21,Usage!$B$5:$B$18,0),MATCH($C21&amp;$D21&amp;$E21,Usage!$B$5:$S$5&amp;Usage!$B$6:$S$6&amp;Usage!$B$7:$S$7,0)),0)</f>
        <v>1340</v>
      </c>
      <c r="G21" s="3" t="s">
        <v>53</v>
      </c>
      <c r="H21" s="224"/>
      <c r="I21" s="224"/>
      <c r="J21" s="226">
        <f>SUM(J19:J20)</f>
        <v>30.850565400000001</v>
      </c>
      <c r="K21" s="246"/>
      <c r="L21" s="261"/>
      <c r="M21" s="246">
        <f t="shared" si="4"/>
        <v>2.6142551669409597E-2</v>
      </c>
      <c r="N21" s="253"/>
      <c r="O21" s="226"/>
      <c r="P21" s="226"/>
      <c r="Q21" s="226">
        <f>SUM(Q19:Q20)</f>
        <v>31.657077899999997</v>
      </c>
      <c r="R21" s="246"/>
    </row>
    <row r="22" spans="2:18" x14ac:dyDescent="0.35">
      <c r="B22" s="3" t="str">
        <f t="shared" si="3"/>
        <v>Ausgrid</v>
      </c>
      <c r="C22" s="3" t="str">
        <f t="shared" si="3"/>
        <v>Residential</v>
      </c>
      <c r="D22" s="3" t="str">
        <f t="shared" si="3"/>
        <v>with CL</v>
      </c>
      <c r="E22" s="3" t="s">
        <v>16</v>
      </c>
      <c r="F22" s="228">
        <f t="array" ref="F22">IFERROR(INDEX(Usage!$B$5:$P$18,MATCH($B22,Usage!$B$5:$B$18,0),MATCH($C22&amp;$D22&amp;$E22,Usage!$B$5:$S$5&amp;Usage!$B$6:$S$6&amp;Usage!$B$7:$S$7,0)),0)</f>
        <v>660</v>
      </c>
      <c r="G22" s="21" t="s">
        <v>55</v>
      </c>
      <c r="H22" s="226">
        <f t="array" ref="H22">INDEX('Key inputs'!$B$16:$N$40,MATCH($B22&amp;$C22&amp;$E22,'Key inputs'!$B$16:$B$40&amp;'Key inputs'!$C$16:$C$40&amp;'Key inputs'!$D$16:$D$40,0),MATCH($G22&amp;H$4&amp;H$5,'Key inputs'!$B$17:$N$17&amp;'Key inputs'!$B$18:$N$18&amp;'Key inputs'!$B$19:$N$19,0))</f>
        <v>42.452784999999999</v>
      </c>
      <c r="I22" s="226">
        <f t="array" ref="I22">INDEX('Key inputs'!$B$16:$N$40,MATCH($B22&amp;$C22&amp;$E22,'Key inputs'!$B$16:$B$40&amp;'Key inputs'!$C$16:$C$40&amp;'Key inputs'!$D$16:$D$40,0),MATCH($G22&amp;I$4&amp;I$5,'Key inputs'!$B$17:$N$17&amp;'Key inputs'!$B$18:$N$18&amp;'Key inputs'!$B$19:$N$19,0))</f>
        <v>47.631999999999998</v>
      </c>
      <c r="J22" s="224">
        <f>H22*INDEX(Usage!$B$4:$M$18,MATCH($B22,Usage!$B$4:$B$18,0),MATCH(IF($E22="CL1","CL1 Proportion","CL2 Proportion"),Usage!$B$8:$M$8,0))+I22*$F22/1000</f>
        <v>45.446539049999998</v>
      </c>
      <c r="K22" s="246">
        <f>IFERROR(J22/J24,"")</f>
        <v>0.93661450092233722</v>
      </c>
      <c r="L22" s="246"/>
      <c r="M22" s="246">
        <f t="shared" si="4"/>
        <v>-0.14031198157871616</v>
      </c>
      <c r="N22" s="243"/>
      <c r="O22" s="226">
        <f t="array" ref="O22">INDEX('Key inputs'!$B$16:$N$40,MATCH($B22&amp;$C22&amp;$E22,'Key inputs'!$B$16:$B$40&amp;'Key inputs'!$C$16:$C$40&amp;'Key inputs'!$D$16:$D$40,0),MATCH($G22&amp;O$4&amp;O$5,'Key inputs'!$B$17:$N$17&amp;'Key inputs'!$B$18:$N$18&amp;'Key inputs'!$B$19:$N$19,0))</f>
        <v>38.207470000000001</v>
      </c>
      <c r="P22" s="226">
        <f t="array" ref="P22">INDEX('Key inputs'!$B$16:$N$40,MATCH($B22&amp;$C22&amp;$E22,'Key inputs'!$B$16:$B$40&amp;'Key inputs'!$C$16:$C$40&amp;'Key inputs'!$D$16:$D$40,0),MATCH($G22&amp;P$4&amp;P$5,'Key inputs'!$B$17:$N$17&amp;'Key inputs'!$B$18:$N$18&amp;'Key inputs'!$B$19:$N$19,0))</f>
        <v>40.092999999999996</v>
      </c>
      <c r="Q22" s="224">
        <f>O22*INDEX(Usage!$B$4:$M$18,MATCH($B22,Usage!$B$4:$B$18,0),MATCH(IF($E22="CL1","CL1 Proportion","CL2 Proportion"),Usage!$B$8:$M$8,0))+P22*$F22/1000</f>
        <v>39.069845099999995</v>
      </c>
      <c r="R22" s="246">
        <f>IFERROR(Q22/Q24,"")</f>
        <v>0.92658882943384102</v>
      </c>
    </row>
    <row r="23" spans="2:18" x14ac:dyDescent="0.35">
      <c r="B23" s="3" t="str">
        <f t="shared" si="3"/>
        <v>Ausgrid</v>
      </c>
      <c r="C23" s="3" t="str">
        <f t="shared" si="3"/>
        <v>Residential</v>
      </c>
      <c r="D23" s="3" t="str">
        <f t="shared" si="3"/>
        <v>with CL</v>
      </c>
      <c r="E23" s="3" t="s">
        <v>16</v>
      </c>
      <c r="F23" s="228">
        <f t="array" ref="F23">IFERROR(INDEX(Usage!$B$5:$P$18,MATCH($B23,Usage!$B$5:$B$18,0),MATCH($C23&amp;$D23&amp;$E23,Usage!$B$5:$S$5&amp;Usage!$B$6:$S$6&amp;Usage!$B$7:$S$7,0)),0)</f>
        <v>660</v>
      </c>
      <c r="G23" s="21" t="s">
        <v>57</v>
      </c>
      <c r="H23" s="226">
        <f t="array" ref="H23">INDEX('Key inputs'!$B$16:$N$40,MATCH($B23&amp;$C23&amp;$E23,'Key inputs'!$B$16:$B$40&amp;'Key inputs'!$C$16:$C$40&amp;'Key inputs'!$D$16:$D$40,0),MATCH($G23&amp;H$4&amp;H$5,'Key inputs'!$B$17:$N$17&amp;'Key inputs'!$B$18:$N$18&amp;'Key inputs'!$B$19:$N$19,0))</f>
        <v>9.32</v>
      </c>
      <c r="I23" s="224">
        <f>IFERROR(INDEX('Detail inputs'!$B$3:$K$193,MATCH($B23&amp;$C23&amp;$E23&amp;$G23&amp;I$5,'Detail inputs'!$B$3:$B$193&amp;'Detail inputs'!$D$3:$D$193&amp;'Detail inputs'!$F$3:$F$193&amp;'Detail inputs'!$G$3:$G$193&amp;'Detail inputs'!$H$3:$H$193,0),MATCH(I$4,'Detail inputs'!$B$3:$K$3,0)),0)</f>
        <v>0</v>
      </c>
      <c r="J23" s="224">
        <f>H23*INDEX(Usage!$B$4:$M$18,MATCH($B23,Usage!$B$4:$B$18,0),MATCH(IF($E23="CL1","CL1 Proportion","CL2 Proportion"),Usage!$B$8:$M$8,0))+I23*$F23/1000</f>
        <v>3.0755999999999997</v>
      </c>
      <c r="K23" s="246">
        <f>IFERROR(J23/J24,"")</f>
        <v>6.3385499077662777E-2</v>
      </c>
      <c r="L23" s="246"/>
      <c r="M23" s="246">
        <f t="shared" si="4"/>
        <v>6.4377682403431447E-3</v>
      </c>
      <c r="N23" s="243"/>
      <c r="O23" s="226">
        <f t="array" ref="O23">INDEX('Key inputs'!$B$16:$N$40,MATCH($B23&amp;$C23&amp;$E23,'Key inputs'!$B$16:$B$40&amp;'Key inputs'!$C$16:$C$40&amp;'Key inputs'!$D$16:$D$40,0),MATCH($G23&amp;O$4&amp;O$5,'Key inputs'!$B$17:$N$17&amp;'Key inputs'!$B$18:$N$18&amp;'Key inputs'!$B$19:$N$19,0))</f>
        <v>9.379999999999999</v>
      </c>
      <c r="P23" s="224">
        <f>IFERROR(INDEX('Detail inputs'!$B$3:$K$193,MATCH($B23&amp;$C23&amp;$E23&amp;$G23&amp;P$5,'Detail inputs'!$B$3:$B$193&amp;'Detail inputs'!$D$3:$D$193&amp;'Detail inputs'!$F$3:$F$193&amp;'Detail inputs'!$G$3:$G$193&amp;'Detail inputs'!$H$3:$H$193,0),MATCH(P$4,'Detail inputs'!$B$3:$K$3,0)),0)</f>
        <v>0</v>
      </c>
      <c r="Q23" s="224">
        <f>O23*INDEX(Usage!$B$4:$M$18,MATCH($B23,Usage!$B$4:$B$18,0),MATCH(IF($E23="CL1","CL1 Proportion","CL2 Proportion"),Usage!$B$8:$M$8,0))+P23*$F23/1000</f>
        <v>3.0953999999999993</v>
      </c>
      <c r="R23" s="246">
        <f>IFERROR(Q23/Q24,"")</f>
        <v>7.3411170566158993E-2</v>
      </c>
    </row>
    <row r="24" spans="2:18" x14ac:dyDescent="0.35">
      <c r="B24" s="3" t="str">
        <f t="shared" si="3"/>
        <v>Ausgrid</v>
      </c>
      <c r="C24" s="3" t="str">
        <f t="shared" si="3"/>
        <v>Residential</v>
      </c>
      <c r="D24" s="3" t="str">
        <f t="shared" si="3"/>
        <v>with CL</v>
      </c>
      <c r="E24" s="3" t="s">
        <v>16</v>
      </c>
      <c r="F24" s="228">
        <f t="array" ref="F24">IFERROR(INDEX(Usage!$B$5:$P$18,MATCH($B24,Usage!$B$5:$B$18,0),MATCH($C24&amp;$D24&amp;$E24,Usage!$B$5:$S$5&amp;Usage!$B$6:$S$6&amp;Usage!$B$7:$S$7,0)),0)</f>
        <v>660</v>
      </c>
      <c r="G24" s="3" t="s">
        <v>53</v>
      </c>
      <c r="H24" s="224"/>
      <c r="I24" s="224"/>
      <c r="J24" s="226">
        <f>SUM(J22:J23)</f>
        <v>48.52213905</v>
      </c>
      <c r="K24" s="246"/>
      <c r="L24" s="261"/>
      <c r="M24" s="246">
        <f t="shared" si="4"/>
        <v>-0.13101017544691296</v>
      </c>
      <c r="N24" s="253"/>
      <c r="O24" s="226"/>
      <c r="P24" s="226"/>
      <c r="Q24" s="226">
        <f>SUM(Q22:Q23)</f>
        <v>42.165245099999993</v>
      </c>
      <c r="R24" s="246"/>
    </row>
    <row r="25" spans="2:18" s="60" customFormat="1" x14ac:dyDescent="0.35">
      <c r="B25" s="3" t="str">
        <f t="shared" si="3"/>
        <v>Ausgrid</v>
      </c>
      <c r="C25" s="3" t="str">
        <f t="shared" si="3"/>
        <v>Residential</v>
      </c>
      <c r="D25" s="3" t="str">
        <f t="shared" si="3"/>
        <v>with CL</v>
      </c>
      <c r="E25" s="3" t="s">
        <v>53</v>
      </c>
      <c r="F25" s="228">
        <f t="array" ref="F25">IFERROR(INDEX(Usage!$B$5:$P$18,MATCH($B25,Usage!$B$5:$B$18,0),MATCH($C25&amp;$D25&amp;$E25,Usage!$B$5:$S$5&amp;Usage!$B$6:$S$6&amp;Usage!$B$7:$S$7,0)),0)</f>
        <v>6800</v>
      </c>
      <c r="G25" s="60" t="s">
        <v>53</v>
      </c>
      <c r="H25" s="226"/>
      <c r="I25" s="226"/>
      <c r="J25" s="226">
        <f>SUM(J18,J21,J24)</f>
        <v>663.29584445000012</v>
      </c>
      <c r="K25" s="247"/>
      <c r="L25" s="259"/>
      <c r="M25" s="246">
        <f t="shared" si="4"/>
        <v>-3.1289795682663435E-2</v>
      </c>
      <c r="N25" s="253"/>
      <c r="O25" s="226"/>
      <c r="P25" s="226"/>
      <c r="Q25" s="226">
        <f>SUM(Q18,Q21,Q24)</f>
        <v>642.54145299999993</v>
      </c>
      <c r="R25" s="247"/>
    </row>
    <row r="26" spans="2:18" s="5" customFormat="1" outlineLevel="1" x14ac:dyDescent="0.35">
      <c r="B26" s="3" t="str">
        <f t="shared" si="3"/>
        <v>Ausgrid</v>
      </c>
      <c r="C26" s="3" t="str">
        <f t="shared" si="3"/>
        <v>Residential</v>
      </c>
      <c r="D26" s="3" t="str">
        <f t="shared" si="3"/>
        <v>with CL</v>
      </c>
      <c r="E26" s="60"/>
      <c r="F26" s="262"/>
      <c r="G26" s="60" t="s">
        <v>35</v>
      </c>
      <c r="H26" s="226"/>
      <c r="I26" s="226"/>
      <c r="J26" s="226">
        <f>J25*GST</f>
        <v>66.329584445000009</v>
      </c>
      <c r="K26" s="247"/>
      <c r="L26" s="259"/>
      <c r="M26" s="246">
        <f t="shared" si="4"/>
        <v>-3.1289795682663435E-2</v>
      </c>
      <c r="N26" s="253"/>
      <c r="O26" s="226"/>
      <c r="P26" s="226"/>
      <c r="Q26" s="226">
        <f>Q25*GST</f>
        <v>64.25414529999999</v>
      </c>
      <c r="R26" s="247"/>
    </row>
    <row r="27" spans="2:18" s="5" customFormat="1" x14ac:dyDescent="0.35">
      <c r="B27" s="3" t="str">
        <f t="shared" si="3"/>
        <v>Ausgrid</v>
      </c>
      <c r="C27" s="3" t="str">
        <f t="shared" si="3"/>
        <v>Residential</v>
      </c>
      <c r="D27" s="3" t="str">
        <f t="shared" si="3"/>
        <v>with CL</v>
      </c>
      <c r="E27" s="60"/>
      <c r="F27" s="262"/>
      <c r="G27" s="5" t="s">
        <v>77</v>
      </c>
      <c r="H27" s="227"/>
      <c r="I27" s="227"/>
      <c r="J27" s="227">
        <f>SUM(J25:J26)</f>
        <v>729.62542889500014</v>
      </c>
      <c r="K27" s="248"/>
      <c r="L27" s="260"/>
      <c r="M27" s="248">
        <f t="shared" si="4"/>
        <v>-3.1289795682663435E-2</v>
      </c>
      <c r="N27" s="254"/>
      <c r="O27" s="227"/>
      <c r="P27" s="227"/>
      <c r="Q27" s="227">
        <f>SUM(Q25:Q26)</f>
        <v>706.79559829999994</v>
      </c>
      <c r="R27" s="248"/>
    </row>
    <row r="28" spans="2:18" x14ac:dyDescent="0.35">
      <c r="F28" s="228"/>
      <c r="H28" s="224"/>
      <c r="I28" s="224"/>
      <c r="J28" s="224"/>
      <c r="K28" s="246"/>
      <c r="L28" s="261"/>
      <c r="M28" s="246"/>
      <c r="N28" s="252"/>
      <c r="O28" s="224"/>
      <c r="P28" s="224"/>
      <c r="Q28" s="224"/>
      <c r="R28" s="246"/>
    </row>
    <row r="29" spans="2:18" x14ac:dyDescent="0.35">
      <c r="B29" s="5" t="s">
        <v>2</v>
      </c>
      <c r="C29" s="5" t="s">
        <v>14</v>
      </c>
      <c r="D29" s="5" t="s">
        <v>136</v>
      </c>
      <c r="E29" s="5"/>
      <c r="F29" s="263"/>
      <c r="H29" s="224"/>
      <c r="I29" s="224"/>
      <c r="J29" s="224"/>
      <c r="K29" s="246"/>
      <c r="L29" s="261"/>
      <c r="M29" s="246"/>
      <c r="N29" s="252"/>
      <c r="O29" s="224"/>
      <c r="P29" s="224"/>
      <c r="Q29" s="224"/>
      <c r="R29" s="246"/>
    </row>
    <row r="30" spans="2:18" x14ac:dyDescent="0.35">
      <c r="B30" s="3" t="str">
        <f t="shared" ref="B30:D34" si="5">B$29</f>
        <v>Ausgrid</v>
      </c>
      <c r="C30" s="3" t="str">
        <f t="shared" si="5"/>
        <v>Small business</v>
      </c>
      <c r="D30" s="3" t="str">
        <f t="shared" si="5"/>
        <v>without CL</v>
      </c>
      <c r="E30" s="3" t="s">
        <v>21</v>
      </c>
      <c r="F30" s="228">
        <f t="array" ref="F30">IFERROR(INDEX(Usage!$B$5:$P$18,MATCH($B30,Usage!$B$5:$B$18,0),MATCH($C30&amp;$D30&amp;$E30,Usage!$B$5:$S$5&amp;Usage!$B$6:$S$6&amp;Usage!$B$7:$S$7,0)),0)</f>
        <v>10000</v>
      </c>
      <c r="G30" s="3" t="s">
        <v>55</v>
      </c>
      <c r="H30" s="226"/>
      <c r="I30" s="226"/>
      <c r="J30" s="224"/>
      <c r="K30" s="246"/>
      <c r="L30" s="246"/>
      <c r="M30" s="246"/>
      <c r="N30" s="243"/>
      <c r="O30" s="226">
        <f t="array" ref="O30">INDEX('Key inputs'!$B$16:$N$40,MATCH($B30&amp;$C30&amp;$E30,'Key inputs'!$B$16:$B$40&amp;'Key inputs'!$C$16:$C$40&amp;'Key inputs'!$D$16:$D$40,0),MATCH($G30&amp;O$4&amp;O$5,'Key inputs'!$B$17:$N$17&amp;'Key inputs'!$B$18:$N$18&amp;'Key inputs'!$B$19:$N$19,0))</f>
        <v>471.70775000000003</v>
      </c>
      <c r="P30" s="226">
        <f t="array" ref="P30">INDEX('Key inputs'!$B$16:$N$40,MATCH($B30&amp;$C30&amp;$E30,'Key inputs'!$B$16:$B$40&amp;'Key inputs'!$C$16:$C$40&amp;'Key inputs'!$D$16:$D$40,0),MATCH($G30&amp;P$4&amp;P$5,'Key inputs'!$B$17:$N$17&amp;'Key inputs'!$B$18:$N$18&amp;'Key inputs'!$B$19:$N$19,0))</f>
        <v>77.342000000000013</v>
      </c>
      <c r="Q30" s="224">
        <f>O30+P30*$F30/1000</f>
        <v>1245.1277500000001</v>
      </c>
      <c r="R30" s="246">
        <f>IFERROR(Q30/Q32,"")</f>
        <v>0.97236274155512481</v>
      </c>
    </row>
    <row r="31" spans="2:18" x14ac:dyDescent="0.35">
      <c r="B31" s="3" t="str">
        <f t="shared" si="5"/>
        <v>Ausgrid</v>
      </c>
      <c r="C31" s="3" t="str">
        <f t="shared" si="5"/>
        <v>Small business</v>
      </c>
      <c r="D31" s="3" t="str">
        <f t="shared" si="5"/>
        <v>without CL</v>
      </c>
      <c r="E31" s="3" t="s">
        <v>21</v>
      </c>
      <c r="F31" s="228">
        <f t="array" ref="F31">IFERROR(INDEX(Usage!$B$5:$P$18,MATCH($B31,Usage!$B$5:$B$18,0),MATCH($C31&amp;$D31&amp;$E31,Usage!$B$5:$S$5&amp;Usage!$B$6:$S$6&amp;Usage!$B$7:$S$7,0)),0)</f>
        <v>10000</v>
      </c>
      <c r="G31" s="3" t="s">
        <v>57</v>
      </c>
      <c r="H31" s="226"/>
      <c r="I31" s="224"/>
      <c r="J31" s="224"/>
      <c r="K31" s="246"/>
      <c r="L31" s="246"/>
      <c r="M31" s="246"/>
      <c r="N31" s="243"/>
      <c r="O31" s="226">
        <f t="array" ref="O31">INDEX('Key inputs'!$B$16:$N$40,MATCH($B31&amp;$C31&amp;$E31,'Key inputs'!$B$16:$B$40&amp;'Key inputs'!$C$16:$C$40&amp;'Key inputs'!$D$16:$D$40,0),MATCH($G31&amp;O$4&amp;O$5,'Key inputs'!$B$17:$N$17&amp;'Key inputs'!$B$18:$N$18&amp;'Key inputs'!$B$19:$N$19,0))</f>
        <v>35.39</v>
      </c>
      <c r="P31" s="224">
        <f>IFERROR(INDEX('Detail inputs'!$B$3:$K$193,MATCH($B31&amp;$C31&amp;$E31&amp;$G31&amp;P$5,'Detail inputs'!$B$3:$B$193&amp;'Detail inputs'!$D$3:$D$193&amp;'Detail inputs'!$F$3:$F$193&amp;'Detail inputs'!$G$3:$G$193&amp;'Detail inputs'!$H$3:$H$193,0),MATCH(P$4,'Detail inputs'!$B$3:$K$3,0)),0)</f>
        <v>0</v>
      </c>
      <c r="Q31" s="224">
        <f>O31+P31*$F31/1000</f>
        <v>35.39</v>
      </c>
      <c r="R31" s="246">
        <f>IFERROR(Q31/Q32,"")</f>
        <v>2.7637258444875124E-2</v>
      </c>
    </row>
    <row r="32" spans="2:18" s="60" customFormat="1" x14ac:dyDescent="0.35">
      <c r="B32" s="3" t="str">
        <f t="shared" si="5"/>
        <v>Ausgrid</v>
      </c>
      <c r="C32" s="3" t="str">
        <f t="shared" si="5"/>
        <v>Small business</v>
      </c>
      <c r="D32" s="3" t="str">
        <f t="shared" si="5"/>
        <v>without CL</v>
      </c>
      <c r="E32" s="3" t="s">
        <v>21</v>
      </c>
      <c r="F32" s="228">
        <f t="array" ref="F32">IFERROR(INDEX(Usage!$B$5:$P$18,MATCH($B32,Usage!$B$5:$B$18,0),MATCH($C32&amp;$D32&amp;$E32,Usage!$B$5:$S$5&amp;Usage!$B$6:$S$6&amp;Usage!$B$7:$S$7,0)),0)</f>
        <v>10000</v>
      </c>
      <c r="G32" s="60" t="s">
        <v>53</v>
      </c>
      <c r="H32" s="226"/>
      <c r="I32" s="226"/>
      <c r="J32" s="226"/>
      <c r="K32" s="247"/>
      <c r="L32" s="259"/>
      <c r="M32" s="246"/>
      <c r="N32" s="253"/>
      <c r="O32" s="226"/>
      <c r="P32" s="226"/>
      <c r="Q32" s="226">
        <f>SUM(Q30:Q31)</f>
        <v>1280.5177500000002</v>
      </c>
      <c r="R32" s="247"/>
    </row>
    <row r="33" spans="2:18" s="5" customFormat="1" outlineLevel="1" x14ac:dyDescent="0.35">
      <c r="B33" s="3" t="str">
        <f t="shared" si="5"/>
        <v>Ausgrid</v>
      </c>
      <c r="C33" s="3" t="str">
        <f t="shared" si="5"/>
        <v>Small business</v>
      </c>
      <c r="D33" s="3" t="str">
        <f t="shared" si="5"/>
        <v>without CL</v>
      </c>
      <c r="E33" s="60"/>
      <c r="F33" s="262"/>
      <c r="G33" s="60" t="s">
        <v>35</v>
      </c>
      <c r="H33" s="226"/>
      <c r="I33" s="226"/>
      <c r="J33" s="226"/>
      <c r="K33" s="247"/>
      <c r="L33" s="259"/>
      <c r="M33" s="246"/>
      <c r="N33" s="253"/>
      <c r="O33" s="226"/>
      <c r="P33" s="226"/>
      <c r="Q33" s="226">
        <f>Q32*GST</f>
        <v>128.05177500000002</v>
      </c>
      <c r="R33" s="247"/>
    </row>
    <row r="34" spans="2:18" s="5" customFormat="1" x14ac:dyDescent="0.35">
      <c r="B34" s="3" t="str">
        <f t="shared" si="5"/>
        <v>Ausgrid</v>
      </c>
      <c r="C34" s="3" t="str">
        <f t="shared" si="5"/>
        <v>Small business</v>
      </c>
      <c r="D34" s="3" t="str">
        <f t="shared" si="5"/>
        <v>without CL</v>
      </c>
      <c r="E34" s="60"/>
      <c r="F34" s="262"/>
      <c r="G34" s="5" t="s">
        <v>77</v>
      </c>
      <c r="H34" s="227"/>
      <c r="I34" s="227"/>
      <c r="J34" s="227"/>
      <c r="K34" s="248"/>
      <c r="L34" s="260"/>
      <c r="M34" s="248"/>
      <c r="N34" s="254"/>
      <c r="O34" s="227"/>
      <c r="P34" s="227"/>
      <c r="Q34" s="227">
        <f>SUM(Q32:Q33)</f>
        <v>1408.5695250000003</v>
      </c>
      <c r="R34" s="248"/>
    </row>
    <row r="35" spans="2:18" x14ac:dyDescent="0.35">
      <c r="F35" s="228"/>
      <c r="G35" s="59"/>
      <c r="H35" s="224"/>
      <c r="I35" s="224"/>
      <c r="J35" s="224"/>
      <c r="K35" s="246"/>
      <c r="L35" s="261"/>
      <c r="M35" s="246"/>
      <c r="N35" s="252"/>
      <c r="O35" s="224"/>
      <c r="P35" s="224"/>
      <c r="Q35" s="224"/>
      <c r="R35" s="246"/>
    </row>
    <row r="36" spans="2:18" x14ac:dyDescent="0.35">
      <c r="B36" s="5" t="s">
        <v>4</v>
      </c>
      <c r="C36" s="5" t="s">
        <v>6</v>
      </c>
      <c r="D36" s="5" t="s">
        <v>136</v>
      </c>
      <c r="F36" s="228"/>
      <c r="G36" s="59"/>
      <c r="H36" s="224"/>
      <c r="I36" s="224"/>
      <c r="J36" s="224"/>
      <c r="K36" s="246"/>
      <c r="L36" s="261"/>
      <c r="M36" s="246" t="str">
        <f>IF(OR(J36=0,Q36=""),"",Q36/J36-1)</f>
        <v/>
      </c>
      <c r="N36" s="252"/>
      <c r="O36" s="224"/>
      <c r="P36" s="224"/>
      <c r="Q36" s="224"/>
      <c r="R36" s="246"/>
    </row>
    <row r="37" spans="2:18" x14ac:dyDescent="0.35">
      <c r="B37" s="3" t="str">
        <f t="shared" ref="B37:D41" si="6">B$36</f>
        <v>Endeavour</v>
      </c>
      <c r="C37" s="3" t="str">
        <f t="shared" si="6"/>
        <v>Residential</v>
      </c>
      <c r="D37" s="3" t="str">
        <f t="shared" si="6"/>
        <v>without CL</v>
      </c>
      <c r="E37" s="3" t="s">
        <v>21</v>
      </c>
      <c r="F37" s="228">
        <f t="array" ref="F37">IFERROR(INDEX(Usage!$B$5:$P$18,MATCH($B37,Usage!$B$5:$B$18,0),MATCH($C37&amp;$D37&amp;$E37,Usage!$B$5:$S$5&amp;Usage!$B$6:$S$6&amp;Usage!$B$7:$S$7,0)),0)</f>
        <v>4900</v>
      </c>
      <c r="G37" s="3" t="s">
        <v>55</v>
      </c>
      <c r="H37" s="226">
        <f t="array" ref="H37">INDEX('Key inputs'!$B$16:$N$40,MATCH($B37&amp;$C37&amp;$E37,'Key inputs'!$B$16:$B$40&amp;'Key inputs'!$C$16:$C$40&amp;'Key inputs'!$D$16:$D$40,0),MATCH($G37&amp;H$4&amp;H$5,'Key inputs'!$B$17:$N$17&amp;'Key inputs'!$B$18:$N$18&amp;'Key inputs'!$B$19:$N$19,0))</f>
        <v>148.482</v>
      </c>
      <c r="I37" s="226">
        <f t="array" ref="I37">INDEX('Key inputs'!$B$16:$N$40,MATCH($B37&amp;$C37&amp;$E37,'Key inputs'!$B$16:$B$40&amp;'Key inputs'!$C$16:$C$40&amp;'Key inputs'!$D$16:$D$40,0),MATCH($G37&amp;I$4&amp;I$5,'Key inputs'!$B$17:$N$17&amp;'Key inputs'!$B$18:$N$18&amp;'Key inputs'!$B$19:$N$19,0))</f>
        <v>80.953000000000003</v>
      </c>
      <c r="J37" s="224">
        <f>H37+I37*$F37/1000</f>
        <v>545.15170000000001</v>
      </c>
      <c r="K37" s="246">
        <f>IFERROR(J37/J39,"")</f>
        <v>0.96289046044619409</v>
      </c>
      <c r="L37" s="246"/>
      <c r="M37" s="246">
        <f t="shared" ref="M37:M41" si="7">IF(OR(J37=0,J37="",Q37=""),"",Q37/J37-1)</f>
        <v>4.9426242273480803E-2</v>
      </c>
      <c r="N37" s="243"/>
      <c r="O37" s="226">
        <f t="array" ref="O37">INDEX('Key inputs'!$B$16:$N$40,MATCH($B37&amp;$C37&amp;$E37,'Key inputs'!$B$16:$B$40&amp;'Key inputs'!$C$16:$C$40&amp;'Key inputs'!$D$16:$D$40,0),MATCH($G37&amp;O$4&amp;O$5,'Key inputs'!$B$17:$N$17&amp;'Key inputs'!$B$18:$N$18&amp;'Key inputs'!$B$19:$N$19,0))</f>
        <v>159.61450000000002</v>
      </c>
      <c r="P37" s="226">
        <f t="array" ref="P37">INDEX('Key inputs'!$B$16:$N$40,MATCH($B37&amp;$C37&amp;$E37,'Key inputs'!$B$16:$B$40&amp;'Key inputs'!$C$16:$C$40&amp;'Key inputs'!$D$16:$D$40,0),MATCH($G37&amp;P$4&amp;P$5,'Key inputs'!$B$17:$N$17&amp;'Key inputs'!$B$18:$N$18&amp;'Key inputs'!$B$19:$N$19,0))</f>
        <v>84.179999999999993</v>
      </c>
      <c r="Q37" s="224">
        <f>O37+P37*$F37/1000</f>
        <v>572.09649999999988</v>
      </c>
      <c r="R37" s="246">
        <f>IFERROR(Q37/Q39,"")</f>
        <v>0.96270970532085054</v>
      </c>
    </row>
    <row r="38" spans="2:18" x14ac:dyDescent="0.35">
      <c r="B38" s="3" t="str">
        <f t="shared" si="6"/>
        <v>Endeavour</v>
      </c>
      <c r="C38" s="3" t="str">
        <f t="shared" si="6"/>
        <v>Residential</v>
      </c>
      <c r="D38" s="3" t="str">
        <f t="shared" si="6"/>
        <v>without CL</v>
      </c>
      <c r="E38" s="3" t="s">
        <v>21</v>
      </c>
      <c r="F38" s="228">
        <f t="array" ref="F38">IFERROR(INDEX(Usage!$B$5:$P$18,MATCH($B38,Usage!$B$5:$B$18,0),MATCH($C38&amp;$D38&amp;$E38,Usage!$B$5:$S$5&amp;Usage!$B$6:$S$6&amp;Usage!$B$7:$S$7,0)),0)</f>
        <v>4900</v>
      </c>
      <c r="G38" s="3" t="s">
        <v>57</v>
      </c>
      <c r="H38" s="226">
        <f t="array" ref="H38">INDEX('Key inputs'!$B$16:$N$40,MATCH($B38&amp;$C38&amp;$E38,'Key inputs'!$B$16:$B$40&amp;'Key inputs'!$C$16:$C$40&amp;'Key inputs'!$D$16:$D$40,0),MATCH($G38&amp;H$4&amp;H$5,'Key inputs'!$B$17:$N$17&amp;'Key inputs'!$B$18:$N$18&amp;'Key inputs'!$B$19:$N$19,0))</f>
        <v>21.009999999999998</v>
      </c>
      <c r="I38" s="224">
        <f>IFERROR(INDEX('Detail inputs'!$B$3:$K$193,MATCH($B38&amp;$C38&amp;$E38&amp;$G38&amp;I$5,'Detail inputs'!$B$3:$B$193&amp;'Detail inputs'!$D$3:$D$193&amp;'Detail inputs'!$F$3:$F$193&amp;'Detail inputs'!$G$3:$G$193&amp;'Detail inputs'!$H$3:$H$193,0),MATCH(I$4,'Detail inputs'!$B$3:$K$3,0)),0)</f>
        <v>0</v>
      </c>
      <c r="J38" s="224">
        <f>H38+I38*$F38/1000</f>
        <v>21.009999999999998</v>
      </c>
      <c r="K38" s="246">
        <f>IFERROR(J38/J39,"")</f>
        <v>3.7109539553805915E-2</v>
      </c>
      <c r="L38" s="246"/>
      <c r="M38" s="246">
        <f t="shared" si="7"/>
        <v>5.4735840076154174E-2</v>
      </c>
      <c r="N38" s="243"/>
      <c r="O38" s="226">
        <f t="array" ref="O38">INDEX('Key inputs'!$B$16:$N$40,MATCH($B38&amp;$C38&amp;$E38,'Key inputs'!$B$16:$B$40&amp;'Key inputs'!$C$16:$C$40&amp;'Key inputs'!$D$16:$D$40,0),MATCH($G38&amp;O$4&amp;O$5,'Key inputs'!$B$17:$N$17&amp;'Key inputs'!$B$18:$N$18&amp;'Key inputs'!$B$19:$N$19,0))</f>
        <v>22.159999999999997</v>
      </c>
      <c r="P38" s="224">
        <f>IFERROR(INDEX('Detail inputs'!$B$3:$K$193,MATCH($B38&amp;$C38&amp;$E38&amp;$G38&amp;P$5,'Detail inputs'!$B$3:$B$193&amp;'Detail inputs'!$D$3:$D$193&amp;'Detail inputs'!$F$3:$F$193&amp;'Detail inputs'!$G$3:$G$193&amp;'Detail inputs'!$H$3:$H$193,0),MATCH(P$4,'Detail inputs'!$B$3:$K$3,0)),0)</f>
        <v>0</v>
      </c>
      <c r="Q38" s="224">
        <f>O38+P38*$F38/1000</f>
        <v>22.159999999999997</v>
      </c>
      <c r="R38" s="246">
        <f>IFERROR(Q38/Q39,"")</f>
        <v>3.7290294679149495E-2</v>
      </c>
    </row>
    <row r="39" spans="2:18" s="60" customFormat="1" x14ac:dyDescent="0.35">
      <c r="B39" s="3" t="str">
        <f t="shared" si="6"/>
        <v>Endeavour</v>
      </c>
      <c r="C39" s="3" t="str">
        <f t="shared" si="6"/>
        <v>Residential</v>
      </c>
      <c r="D39" s="3" t="str">
        <f t="shared" si="6"/>
        <v>without CL</v>
      </c>
      <c r="E39" s="3" t="s">
        <v>21</v>
      </c>
      <c r="F39" s="228">
        <f t="array" ref="F39">IFERROR(INDEX(Usage!$B$5:$P$18,MATCH($B39,Usage!$B$5:$B$18,0),MATCH($C39&amp;$D39&amp;$E39,Usage!$B$5:$S$5&amp;Usage!$B$6:$S$6&amp;Usage!$B$7:$S$7,0)),0)</f>
        <v>4900</v>
      </c>
      <c r="G39" s="60" t="s">
        <v>53</v>
      </c>
      <c r="H39" s="226"/>
      <c r="I39" s="226"/>
      <c r="J39" s="226">
        <f>SUM(J37:J38)</f>
        <v>566.1617</v>
      </c>
      <c r="K39" s="247"/>
      <c r="L39" s="259"/>
      <c r="M39" s="246">
        <f t="shared" si="7"/>
        <v>4.9623279003153886E-2</v>
      </c>
      <c r="N39" s="253"/>
      <c r="O39" s="226"/>
      <c r="P39" s="226"/>
      <c r="Q39" s="226">
        <f>SUM(Q37:Q38)</f>
        <v>594.25649999999985</v>
      </c>
      <c r="R39" s="247"/>
    </row>
    <row r="40" spans="2:18" outlineLevel="1" x14ac:dyDescent="0.35">
      <c r="B40" s="3" t="str">
        <f t="shared" si="6"/>
        <v>Endeavour</v>
      </c>
      <c r="C40" s="3" t="str">
        <f t="shared" si="6"/>
        <v>Residential</v>
      </c>
      <c r="D40" s="3" t="str">
        <f t="shared" si="6"/>
        <v>without CL</v>
      </c>
      <c r="F40" s="228"/>
      <c r="G40" s="60" t="s">
        <v>35</v>
      </c>
      <c r="H40" s="226"/>
      <c r="I40" s="226"/>
      <c r="J40" s="226">
        <f>J39*GST</f>
        <v>56.616170000000004</v>
      </c>
      <c r="K40" s="247"/>
      <c r="L40" s="259"/>
      <c r="M40" s="246">
        <f t="shared" si="7"/>
        <v>4.9623279003153886E-2</v>
      </c>
      <c r="N40" s="253"/>
      <c r="O40" s="226"/>
      <c r="P40" s="226"/>
      <c r="Q40" s="226">
        <f>Q39*GST</f>
        <v>59.42564999999999</v>
      </c>
      <c r="R40" s="247"/>
    </row>
    <row r="41" spans="2:18" x14ac:dyDescent="0.35">
      <c r="B41" s="3" t="str">
        <f t="shared" si="6"/>
        <v>Endeavour</v>
      </c>
      <c r="C41" s="3" t="str">
        <f t="shared" si="6"/>
        <v>Residential</v>
      </c>
      <c r="D41" s="3" t="str">
        <f t="shared" si="6"/>
        <v>without CL</v>
      </c>
      <c r="F41" s="228"/>
      <c r="G41" s="5" t="s">
        <v>77</v>
      </c>
      <c r="H41" s="227"/>
      <c r="I41" s="227"/>
      <c r="J41" s="227">
        <f>SUM(J39:J40)</f>
        <v>622.77787000000001</v>
      </c>
      <c r="K41" s="248"/>
      <c r="L41" s="260"/>
      <c r="M41" s="248">
        <f t="shared" si="7"/>
        <v>4.9623279003153886E-2</v>
      </c>
      <c r="N41" s="254"/>
      <c r="O41" s="227"/>
      <c r="P41" s="227"/>
      <c r="Q41" s="227">
        <f>SUM(Q39:Q40)</f>
        <v>653.68214999999987</v>
      </c>
      <c r="R41" s="248"/>
    </row>
    <row r="42" spans="2:18" x14ac:dyDescent="0.35">
      <c r="F42" s="228"/>
      <c r="H42" s="224"/>
      <c r="I42" s="224"/>
      <c r="J42" s="224"/>
      <c r="K42" s="246"/>
      <c r="L42" s="261"/>
      <c r="M42" s="246"/>
      <c r="N42" s="252"/>
      <c r="O42" s="224"/>
      <c r="P42" s="224"/>
      <c r="Q42" s="224"/>
      <c r="R42" s="246"/>
    </row>
    <row r="43" spans="2:18" x14ac:dyDescent="0.35">
      <c r="B43" s="5" t="s">
        <v>4</v>
      </c>
      <c r="C43" s="5" t="s">
        <v>6</v>
      </c>
      <c r="D43" s="5" t="s">
        <v>137</v>
      </c>
      <c r="F43" s="228"/>
      <c r="H43" s="224"/>
      <c r="I43" s="224"/>
      <c r="J43" s="224"/>
      <c r="K43" s="246"/>
      <c r="L43" s="261"/>
      <c r="M43" s="246"/>
      <c r="N43" s="252"/>
      <c r="O43" s="224"/>
      <c r="P43" s="224"/>
      <c r="Q43" s="224"/>
      <c r="R43" s="246"/>
    </row>
    <row r="44" spans="2:18" x14ac:dyDescent="0.35">
      <c r="B44" s="3" t="str">
        <f t="shared" ref="B44:D55" si="8">B$43</f>
        <v>Endeavour</v>
      </c>
      <c r="C44" s="3" t="str">
        <f t="shared" si="8"/>
        <v>Residential</v>
      </c>
      <c r="D44" s="3" t="str">
        <f t="shared" si="8"/>
        <v>with CL</v>
      </c>
      <c r="E44" s="3" t="s">
        <v>21</v>
      </c>
      <c r="F44" s="228">
        <f t="array" ref="F44">IFERROR(INDEX(Usage!$B$5:$P$18,MATCH($B44,Usage!$B$5:$B$18,0),MATCH($C44&amp;$D44&amp;$E44,Usage!$B$5:$S$5&amp;Usage!$B$6:$S$6&amp;Usage!$B$7:$S$7,0)),0)</f>
        <v>5200</v>
      </c>
      <c r="G44" s="3" t="s">
        <v>55</v>
      </c>
      <c r="H44" s="226">
        <f t="array" ref="H44">INDEX('Key inputs'!$B$16:$N$40,MATCH($B44&amp;$C44&amp;$E44,'Key inputs'!$B$16:$B$40&amp;'Key inputs'!$C$16:$C$40&amp;'Key inputs'!$D$16:$D$40,0),MATCH($G44&amp;H$4&amp;H$5,'Key inputs'!$B$17:$N$17&amp;'Key inputs'!$B$18:$N$18&amp;'Key inputs'!$B$19:$N$19,0))</f>
        <v>148.482</v>
      </c>
      <c r="I44" s="226">
        <f t="array" ref="I44">INDEX('Key inputs'!$B$16:$N$40,MATCH($B44&amp;$C44&amp;$E44,'Key inputs'!$B$16:$B$40&amp;'Key inputs'!$C$16:$C$40&amp;'Key inputs'!$D$16:$D$40,0),MATCH($G44&amp;I$4&amp;I$5,'Key inputs'!$B$17:$N$17&amp;'Key inputs'!$B$18:$N$18&amp;'Key inputs'!$B$19:$N$19,0))</f>
        <v>80.953000000000003</v>
      </c>
      <c r="J44" s="224">
        <f>H44+I44*$F44/1000</f>
        <v>569.43760000000009</v>
      </c>
      <c r="K44" s="246">
        <f>IFERROR(J44/J46,"")</f>
        <v>0.9644168254727431</v>
      </c>
      <c r="L44" s="246"/>
      <c r="M44" s="246">
        <f t="shared" ref="M44:M55" si="9">IF(OR(J44=0,J44="",Q44=""),"",Q44/J44-1)</f>
        <v>4.9018364786589386E-2</v>
      </c>
      <c r="N44" s="243"/>
      <c r="O44" s="226">
        <f t="array" ref="O44">INDEX('Key inputs'!$B$16:$N$40,MATCH($B44&amp;$C44&amp;$E44,'Key inputs'!$B$16:$B$40&amp;'Key inputs'!$C$16:$C$40&amp;'Key inputs'!$D$16:$D$40,0),MATCH($G44&amp;O$4&amp;O$5,'Key inputs'!$B$17:$N$17&amp;'Key inputs'!$B$18:$N$18&amp;'Key inputs'!$B$19:$N$19,0))</f>
        <v>159.61450000000002</v>
      </c>
      <c r="P44" s="226">
        <f t="array" ref="P44">INDEX('Key inputs'!$B$16:$N$40,MATCH($B44&amp;$C44&amp;$E44,'Key inputs'!$B$16:$B$40&amp;'Key inputs'!$C$16:$C$40&amp;'Key inputs'!$D$16:$D$40,0),MATCH($G44&amp;P$4&amp;P$5,'Key inputs'!$B$17:$N$17&amp;'Key inputs'!$B$18:$N$18&amp;'Key inputs'!$B$19:$N$19,0))</f>
        <v>84.179999999999993</v>
      </c>
      <c r="Q44" s="224">
        <f>O44+P44*$F44/1000</f>
        <v>597.35050000000001</v>
      </c>
      <c r="R44" s="246">
        <f>IFERROR(Q44/Q46,"")</f>
        <v>0.96422982338475305</v>
      </c>
    </row>
    <row r="45" spans="2:18" x14ac:dyDescent="0.35">
      <c r="B45" s="3" t="str">
        <f t="shared" si="8"/>
        <v>Endeavour</v>
      </c>
      <c r="C45" s="3" t="str">
        <f t="shared" si="8"/>
        <v>Residential</v>
      </c>
      <c r="D45" s="3" t="str">
        <f t="shared" si="8"/>
        <v>with CL</v>
      </c>
      <c r="E45" s="3" t="s">
        <v>21</v>
      </c>
      <c r="F45" s="228">
        <f t="array" ref="F45">IFERROR(INDEX(Usage!$B$5:$P$18,MATCH($B45,Usage!$B$5:$B$18,0),MATCH($C45&amp;$D45&amp;$E45,Usage!$B$5:$S$5&amp;Usage!$B$6:$S$6&amp;Usage!$B$7:$S$7,0)),0)</f>
        <v>5200</v>
      </c>
      <c r="G45" s="3" t="s">
        <v>57</v>
      </c>
      <c r="H45" s="226">
        <f t="array" ref="H45">INDEX('Key inputs'!$B$16:$N$40,MATCH($B45&amp;$C45&amp;$E45,'Key inputs'!$B$16:$B$40&amp;'Key inputs'!$C$16:$C$40&amp;'Key inputs'!$D$16:$D$40,0),MATCH($G45&amp;H$4&amp;H$5,'Key inputs'!$B$17:$N$17&amp;'Key inputs'!$B$18:$N$18&amp;'Key inputs'!$B$19:$N$19,0))</f>
        <v>21.009999999999998</v>
      </c>
      <c r="I45" s="224">
        <f>IFERROR(INDEX('Detail inputs'!$B$3:$K$193,MATCH($B45&amp;$C45&amp;$E45&amp;$G45&amp;I$5,'Detail inputs'!$B$3:$B$193&amp;'Detail inputs'!$D$3:$D$193&amp;'Detail inputs'!$F$3:$F$193&amp;'Detail inputs'!$G$3:$G$193&amp;'Detail inputs'!$H$3:$H$193,0),MATCH(I$4,'Detail inputs'!$B$3:$K$3,0)),0)</f>
        <v>0</v>
      </c>
      <c r="J45" s="224">
        <f>H45+I45*$F45/1000</f>
        <v>21.009999999999998</v>
      </c>
      <c r="K45" s="246">
        <f>IFERROR(J45/J46,"")</f>
        <v>3.5583174527256942E-2</v>
      </c>
      <c r="L45" s="246"/>
      <c r="M45" s="246">
        <f t="shared" si="9"/>
        <v>5.4735840076154174E-2</v>
      </c>
      <c r="N45" s="243"/>
      <c r="O45" s="226">
        <f t="array" ref="O45">INDEX('Key inputs'!$B$16:$N$40,MATCH($B45&amp;$C45&amp;$E45,'Key inputs'!$B$16:$B$40&amp;'Key inputs'!$C$16:$C$40&amp;'Key inputs'!$D$16:$D$40,0),MATCH($G45&amp;O$4&amp;O$5,'Key inputs'!$B$17:$N$17&amp;'Key inputs'!$B$18:$N$18&amp;'Key inputs'!$B$19:$N$19,0))</f>
        <v>22.159999999999997</v>
      </c>
      <c r="P45" s="224">
        <f>IFERROR(INDEX('Detail inputs'!$B$3:$K$193,MATCH($B45&amp;$C45&amp;$E45&amp;$G45&amp;P$5,'Detail inputs'!$B$3:$B$193&amp;'Detail inputs'!$D$3:$D$193&amp;'Detail inputs'!$F$3:$F$193&amp;'Detail inputs'!$G$3:$G$193&amp;'Detail inputs'!$H$3:$H$193,0),MATCH(P$4,'Detail inputs'!$B$3:$K$3,0)),0)</f>
        <v>0</v>
      </c>
      <c r="Q45" s="224">
        <f>O45+P45*$F45/1000</f>
        <v>22.159999999999997</v>
      </c>
      <c r="R45" s="246">
        <f>IFERROR(Q45/Q46,"")</f>
        <v>3.5770176615247035E-2</v>
      </c>
    </row>
    <row r="46" spans="2:18" x14ac:dyDescent="0.35">
      <c r="B46" s="3" t="str">
        <f t="shared" si="8"/>
        <v>Endeavour</v>
      </c>
      <c r="C46" s="3" t="str">
        <f t="shared" si="8"/>
        <v>Residential</v>
      </c>
      <c r="D46" s="3" t="str">
        <f t="shared" si="8"/>
        <v>with CL</v>
      </c>
      <c r="E46" s="3" t="s">
        <v>21</v>
      </c>
      <c r="F46" s="228">
        <f t="array" ref="F46">IFERROR(INDEX(Usage!$B$5:$P$18,MATCH($B46,Usage!$B$5:$B$18,0),MATCH($C46&amp;$D46&amp;$E46,Usage!$B$5:$S$5&amp;Usage!$B$6:$S$6&amp;Usage!$B$7:$S$7,0)),0)</f>
        <v>5200</v>
      </c>
      <c r="G46" s="3" t="s">
        <v>53</v>
      </c>
      <c r="H46" s="224"/>
      <c r="I46" s="224"/>
      <c r="J46" s="226">
        <f>SUM(J44:J45)</f>
        <v>590.44760000000008</v>
      </c>
      <c r="K46" s="246"/>
      <c r="L46" s="261"/>
      <c r="M46" s="246">
        <f t="shared" si="9"/>
        <v>4.9221810707673175E-2</v>
      </c>
      <c r="N46" s="253"/>
      <c r="O46" s="226"/>
      <c r="P46" s="226"/>
      <c r="Q46" s="226">
        <f>SUM(Q44:Q45)</f>
        <v>619.51049999999998</v>
      </c>
      <c r="R46" s="246"/>
    </row>
    <row r="47" spans="2:18" x14ac:dyDescent="0.35">
      <c r="B47" s="3" t="str">
        <f t="shared" si="8"/>
        <v>Endeavour</v>
      </c>
      <c r="C47" s="3" t="str">
        <f t="shared" si="8"/>
        <v>Residential</v>
      </c>
      <c r="D47" s="3" t="str">
        <f t="shared" si="8"/>
        <v>with CL</v>
      </c>
      <c r="E47" s="3" t="s">
        <v>15</v>
      </c>
      <c r="F47" s="228">
        <f t="array" ref="F47">IFERROR(INDEX(Usage!$B$5:$P$18,MATCH($B47,Usage!$B$5:$B$18,0),MATCH($C47&amp;$D47&amp;$E47,Usage!$B$5:$S$5&amp;Usage!$B$6:$S$6&amp;Usage!$B$7:$S$7,0)),0)</f>
        <v>1474</v>
      </c>
      <c r="G47" s="3" t="s">
        <v>55</v>
      </c>
      <c r="H47" s="226">
        <f t="array" ref="H47">INDEX('Key inputs'!$B$16:$N$40,MATCH($B47&amp;$C47&amp;$E47,'Key inputs'!$B$16:$B$40&amp;'Key inputs'!$C$16:$C$40&amp;'Key inputs'!$D$16:$D$40,0),MATCH($G47&amp;H$4&amp;H$5,'Key inputs'!$B$17:$N$17&amp;'Key inputs'!$B$18:$N$18&amp;'Key inputs'!$B$19:$N$19,0))</f>
        <v>13.577999999999999</v>
      </c>
      <c r="I47" s="226">
        <f t="array" ref="I47">INDEX('Key inputs'!$B$16:$N$40,MATCH($B47&amp;$C47&amp;$E47,'Key inputs'!$B$16:$B$40&amp;'Key inputs'!$C$16:$C$40&amp;'Key inputs'!$D$16:$D$40,0),MATCH($G47&amp;I$4&amp;I$5,'Key inputs'!$B$17:$N$17&amp;'Key inputs'!$B$18:$N$18&amp;'Key inputs'!$B$19:$N$19,0))</f>
        <v>16.184000000000001</v>
      </c>
      <c r="J47" s="224">
        <f>H47*INDEX(Usage!$B$4:$M$18,MATCH($B47,Usage!$B$4:$B$18,0),MATCH(IF($E47="CL1","CL1 Proportion","CL2 Proportion"),Usage!$B$8:$M$8,0))+I47*$F47/1000</f>
        <v>32.952475999999997</v>
      </c>
      <c r="K47" s="246">
        <f>IFERROR(J47/J49,"")</f>
        <v>0.8772804783207403</v>
      </c>
      <c r="L47" s="246"/>
      <c r="M47" s="246">
        <f t="shared" si="9"/>
        <v>0.19309189391413262</v>
      </c>
      <c r="N47" s="243"/>
      <c r="O47" s="226">
        <f t="array" ref="O47">INDEX('Key inputs'!$B$16:$N$40,MATCH($B47&amp;$C47&amp;$E47,'Key inputs'!$B$16:$B$40&amp;'Key inputs'!$C$16:$C$40&amp;'Key inputs'!$D$16:$D$40,0),MATCH($G47&amp;O$4&amp;O$5,'Key inputs'!$B$17:$N$17&amp;'Key inputs'!$B$18:$N$18&amp;'Key inputs'!$B$19:$N$19,0))</f>
        <v>16.279</v>
      </c>
      <c r="P47" s="226">
        <f t="array" ref="P47">INDEX('Key inputs'!$B$16:$N$40,MATCH($B47&amp;$C47&amp;$E47,'Key inputs'!$B$16:$B$40&amp;'Key inputs'!$C$16:$C$40&amp;'Key inputs'!$D$16:$D$40,0),MATCH($G47&amp;P$4&amp;P$5,'Key inputs'!$B$17:$N$17&amp;'Key inputs'!$B$18:$N$18&amp;'Key inputs'!$B$19:$N$19,0))</f>
        <v>19.273</v>
      </c>
      <c r="Q47" s="224">
        <f>O47*INDEX(Usage!$B$4:$M$18,MATCH($B47,Usage!$B$4:$B$18,0),MATCH(IF($E47="CL1","CL1 Proportion","CL2 Proportion"),Usage!$B$8:$M$8,0))+P47*$F47/1000</f>
        <v>39.315331999999998</v>
      </c>
      <c r="R47" s="246">
        <f>IFERROR(Q47/Q49,"")</f>
        <v>0.89003421831772067</v>
      </c>
    </row>
    <row r="48" spans="2:18" x14ac:dyDescent="0.35">
      <c r="B48" s="3" t="str">
        <f t="shared" si="8"/>
        <v>Endeavour</v>
      </c>
      <c r="C48" s="3" t="str">
        <f t="shared" si="8"/>
        <v>Residential</v>
      </c>
      <c r="D48" s="3" t="str">
        <f t="shared" si="8"/>
        <v>with CL</v>
      </c>
      <c r="E48" s="3" t="s">
        <v>15</v>
      </c>
      <c r="F48" s="228">
        <f t="array" ref="F48">IFERROR(INDEX(Usage!$B$5:$P$18,MATCH($B48,Usage!$B$5:$B$18,0),MATCH($C48&amp;$D48&amp;$E48,Usage!$B$5:$S$5&amp;Usage!$B$6:$S$6&amp;Usage!$B$7:$S$7,0)),0)</f>
        <v>1474</v>
      </c>
      <c r="G48" s="3" t="s">
        <v>57</v>
      </c>
      <c r="H48" s="226">
        <f t="array" ref="H48">INDEX('Key inputs'!$B$16:$N$40,MATCH($B48&amp;$C48&amp;$E48,'Key inputs'!$B$16:$B$40&amp;'Key inputs'!$C$16:$C$40&amp;'Key inputs'!$D$16:$D$40,0),MATCH($G48&amp;H$4&amp;H$5,'Key inputs'!$B$17:$N$17&amp;'Key inputs'!$B$18:$N$18&amp;'Key inputs'!$B$19:$N$19,0))</f>
        <v>6.8800000000000008</v>
      </c>
      <c r="I48" s="224">
        <f>IFERROR(INDEX('Detail inputs'!$B$3:$K$193,MATCH($B48&amp;$C48&amp;$E48&amp;$G48&amp;I$5,'Detail inputs'!$B$3:$B$193&amp;'Detail inputs'!$D$3:$D$193&amp;'Detail inputs'!$F$3:$F$193&amp;'Detail inputs'!$G$3:$G$193&amp;'Detail inputs'!$H$3:$H$193,0),MATCH(I$4,'Detail inputs'!$B$3:$K$3,0)),0)</f>
        <v>0</v>
      </c>
      <c r="J48" s="224">
        <f>H48*INDEX(Usage!$B$4:$M$18,MATCH($B48,Usage!$B$4:$B$18,0),MATCH(IF($E48="CL1","CL1 Proportion","CL2 Proportion"),Usage!$B$8:$M$8,0))+I48*$F48/1000</f>
        <v>4.6096000000000004</v>
      </c>
      <c r="K48" s="246">
        <f>IFERROR(J48/J49,"")</f>
        <v>0.1227195216792597</v>
      </c>
      <c r="L48" s="246"/>
      <c r="M48" s="246">
        <f t="shared" si="9"/>
        <v>5.3779069767441845E-2</v>
      </c>
      <c r="N48" s="243"/>
      <c r="O48" s="226">
        <f t="array" ref="O48">INDEX('Key inputs'!$B$16:$N$40,MATCH($B48&amp;$C48&amp;$E48,'Key inputs'!$B$16:$B$40&amp;'Key inputs'!$C$16:$C$40&amp;'Key inputs'!$D$16:$D$40,0),MATCH($G48&amp;O$4&amp;O$5,'Key inputs'!$B$17:$N$17&amp;'Key inputs'!$B$18:$N$18&amp;'Key inputs'!$B$19:$N$19,0))</f>
        <v>7.25</v>
      </c>
      <c r="P48" s="224">
        <f>IFERROR(INDEX('Detail inputs'!$B$3:$K$193,MATCH($B48&amp;$C48&amp;$E48&amp;$G48&amp;P$5,'Detail inputs'!$B$3:$B$193&amp;'Detail inputs'!$D$3:$D$193&amp;'Detail inputs'!$F$3:$F$193&amp;'Detail inputs'!$G$3:$G$193&amp;'Detail inputs'!$H$3:$H$193,0),MATCH(P$4,'Detail inputs'!$B$3:$K$3,0)),0)</f>
        <v>0</v>
      </c>
      <c r="Q48" s="224">
        <f>O48*INDEX(Usage!$B$4:$M$18,MATCH($B48,Usage!$B$4:$B$18,0),MATCH(IF($E48="CL1","CL1 Proportion","CL2 Proportion"),Usage!$B$8:$M$8,0))+P48*$F48/1000</f>
        <v>4.8574999999999999</v>
      </c>
      <c r="R48" s="246">
        <f>IFERROR(Q48/Q49,"")</f>
        <v>0.10996578168227927</v>
      </c>
    </row>
    <row r="49" spans="2:18" x14ac:dyDescent="0.35">
      <c r="B49" s="3" t="str">
        <f t="shared" si="8"/>
        <v>Endeavour</v>
      </c>
      <c r="C49" s="3" t="str">
        <f t="shared" si="8"/>
        <v>Residential</v>
      </c>
      <c r="D49" s="3" t="str">
        <f t="shared" si="8"/>
        <v>with CL</v>
      </c>
      <c r="E49" s="3" t="s">
        <v>15</v>
      </c>
      <c r="F49" s="228">
        <f t="array" ref="F49">IFERROR(INDEX(Usage!$B$5:$P$18,MATCH($B49,Usage!$B$5:$B$18,0),MATCH($C49&amp;$D49&amp;$E49,Usage!$B$5:$S$5&amp;Usage!$B$6:$S$6&amp;Usage!$B$7:$S$7,0)),0)</f>
        <v>1474</v>
      </c>
      <c r="G49" s="3" t="s">
        <v>53</v>
      </c>
      <c r="H49" s="224"/>
      <c r="I49" s="224"/>
      <c r="J49" s="226">
        <f>SUM(J47:J48)</f>
        <v>37.562075999999998</v>
      </c>
      <c r="K49" s="246"/>
      <c r="L49" s="261"/>
      <c r="M49" s="246">
        <f t="shared" si="9"/>
        <v>0.17599549077106391</v>
      </c>
      <c r="N49" s="253"/>
      <c r="O49" s="226"/>
      <c r="P49" s="226"/>
      <c r="Q49" s="226">
        <f>SUM(Q47:Q48)</f>
        <v>44.172832</v>
      </c>
      <c r="R49" s="246"/>
    </row>
    <row r="50" spans="2:18" x14ac:dyDescent="0.35">
      <c r="B50" s="3" t="str">
        <f t="shared" si="8"/>
        <v>Endeavour</v>
      </c>
      <c r="C50" s="3" t="str">
        <f t="shared" si="8"/>
        <v>Residential</v>
      </c>
      <c r="D50" s="3" t="str">
        <f t="shared" si="8"/>
        <v>with CL</v>
      </c>
      <c r="E50" s="3" t="s">
        <v>16</v>
      </c>
      <c r="F50" s="228">
        <f t="array" ref="F50">IFERROR(INDEX(Usage!$B$5:$P$18,MATCH($B50,Usage!$B$5:$B$18,0),MATCH($C50&amp;$D50&amp;$E50,Usage!$B$5:$S$5&amp;Usage!$B$6:$S$6&amp;Usage!$B$7:$S$7,0)),0)</f>
        <v>726</v>
      </c>
      <c r="G50" s="3" t="s">
        <v>55</v>
      </c>
      <c r="H50" s="226">
        <f t="array" ref="H50">INDEX('Key inputs'!$B$16:$N$40,MATCH($B50&amp;$C50&amp;$E50,'Key inputs'!$B$16:$B$40&amp;'Key inputs'!$C$16:$C$40&amp;'Key inputs'!$D$16:$D$40,0),MATCH($G50&amp;H$4&amp;H$5,'Key inputs'!$B$17:$N$17&amp;'Key inputs'!$B$18:$N$18&amp;'Key inputs'!$B$19:$N$19,0))</f>
        <v>13.577999999999999</v>
      </c>
      <c r="I50" s="226">
        <f t="array" ref="I50">INDEX('Key inputs'!$B$16:$N$40,MATCH($B50&amp;$C50&amp;$E50,'Key inputs'!$B$16:$B$40&amp;'Key inputs'!$C$16:$C$40&amp;'Key inputs'!$D$16:$D$40,0),MATCH($G50&amp;I$4&amp;I$5,'Key inputs'!$B$17:$N$17&amp;'Key inputs'!$B$18:$N$18&amp;'Key inputs'!$B$19:$N$19,0))</f>
        <v>37.078000000000003</v>
      </c>
      <c r="J50" s="224">
        <f>H50*INDEX(Usage!$B$4:$M$18,MATCH($B50,Usage!$B$4:$B$18,0),MATCH(IF($E50="CL1","CL1 Proportion","CL2 Proportion"),Usage!$B$8:$M$8,0))+I50*$F50/1000</f>
        <v>31.399368000000003</v>
      </c>
      <c r="K50" s="246">
        <f>IFERROR(J50/J52,"")</f>
        <v>0.93256858793918618</v>
      </c>
      <c r="L50" s="246"/>
      <c r="M50" s="246">
        <f t="shared" si="9"/>
        <v>8.9242624246449687E-2</v>
      </c>
      <c r="N50" s="243"/>
      <c r="O50" s="226">
        <f t="array" ref="O50">INDEX('Key inputs'!$B$16:$N$40,MATCH($B50&amp;$C50&amp;$E50,'Key inputs'!$B$16:$B$40&amp;'Key inputs'!$C$16:$C$40&amp;'Key inputs'!$D$16:$D$40,0),MATCH($G50&amp;O$4&amp;O$5,'Key inputs'!$B$17:$N$17&amp;'Key inputs'!$B$18:$N$18&amp;'Key inputs'!$B$19:$N$19,0))</f>
        <v>16.279</v>
      </c>
      <c r="P50" s="226">
        <f t="array" ref="P50">INDEX('Key inputs'!$B$16:$N$40,MATCH($B50&amp;$C50&amp;$E50,'Key inputs'!$B$16:$B$40&amp;'Key inputs'!$C$16:$C$40&amp;'Key inputs'!$D$16:$D$40,0),MATCH($G50&amp;P$4&amp;P$5,'Key inputs'!$B$17:$N$17&amp;'Key inputs'!$B$18:$N$18&amp;'Key inputs'!$B$19:$N$19,0))</f>
        <v>39.71</v>
      </c>
      <c r="Q50" s="224">
        <f>O50*INDEX(Usage!$B$4:$M$18,MATCH($B50,Usage!$B$4:$B$18,0),MATCH(IF($E50="CL1","CL1 Proportion","CL2 Proportion"),Usage!$B$8:$M$8,0))+P50*$F50/1000</f>
        <v>34.201529999999998</v>
      </c>
      <c r="R50" s="246">
        <f>IFERROR(Q50/Q52,"")</f>
        <v>0.93462048317717406</v>
      </c>
    </row>
    <row r="51" spans="2:18" x14ac:dyDescent="0.35">
      <c r="B51" s="3" t="str">
        <f t="shared" si="8"/>
        <v>Endeavour</v>
      </c>
      <c r="C51" s="3" t="str">
        <f t="shared" si="8"/>
        <v>Residential</v>
      </c>
      <c r="D51" s="3" t="str">
        <f t="shared" si="8"/>
        <v>with CL</v>
      </c>
      <c r="E51" s="3" t="s">
        <v>16</v>
      </c>
      <c r="F51" s="228">
        <f t="array" ref="F51">IFERROR(INDEX(Usage!$B$5:$P$18,MATCH($B51,Usage!$B$5:$B$18,0),MATCH($C51&amp;$D51&amp;$E51,Usage!$B$5:$S$5&amp;Usage!$B$6:$S$6&amp;Usage!$B$7:$S$7,0)),0)</f>
        <v>726</v>
      </c>
      <c r="G51" s="3" t="s">
        <v>57</v>
      </c>
      <c r="H51" s="226">
        <f t="array" ref="H51">INDEX('Key inputs'!$B$16:$N$40,MATCH($B51&amp;$C51&amp;$E51,'Key inputs'!$B$16:$B$40&amp;'Key inputs'!$C$16:$C$40&amp;'Key inputs'!$D$16:$D$40,0),MATCH($G51&amp;H$4&amp;H$5,'Key inputs'!$B$17:$N$17&amp;'Key inputs'!$B$18:$N$18&amp;'Key inputs'!$B$19:$N$19,0))</f>
        <v>6.8800000000000008</v>
      </c>
      <c r="I51" s="224">
        <f>IFERROR(INDEX('Detail inputs'!$B$3:$K$193,MATCH($B51&amp;$C51&amp;$E51&amp;$G51&amp;I$5,'Detail inputs'!$B$3:$B$193&amp;'Detail inputs'!$D$3:$D$193&amp;'Detail inputs'!$F$3:$F$193&amp;'Detail inputs'!$G$3:$G$193&amp;'Detail inputs'!$H$3:$H$193,0),MATCH(I$4,'Detail inputs'!$B$3:$K$3,0)),0)</f>
        <v>0</v>
      </c>
      <c r="J51" s="224">
        <f>H51*INDEX(Usage!$B$4:$M$18,MATCH($B51,Usage!$B$4:$B$18,0),MATCH(IF($E51="CL1","CL1 Proportion","CL2 Proportion"),Usage!$B$8:$M$8,0))+I51*$F51/1000</f>
        <v>2.2704</v>
      </c>
      <c r="K51" s="246">
        <f>IFERROR(J51/J52,"")</f>
        <v>6.7431412060813711E-2</v>
      </c>
      <c r="L51" s="246"/>
      <c r="M51" s="246">
        <f t="shared" si="9"/>
        <v>5.3779069767441623E-2</v>
      </c>
      <c r="N51" s="243"/>
      <c r="O51" s="226">
        <f t="array" ref="O51">INDEX('Key inputs'!$B$16:$N$40,MATCH($B51&amp;$C51&amp;$E51,'Key inputs'!$B$16:$B$40&amp;'Key inputs'!$C$16:$C$40&amp;'Key inputs'!$D$16:$D$40,0),MATCH($G51&amp;O$4&amp;O$5,'Key inputs'!$B$17:$N$17&amp;'Key inputs'!$B$18:$N$18&amp;'Key inputs'!$B$19:$N$19,0))</f>
        <v>7.25</v>
      </c>
      <c r="P51" s="224">
        <f>IFERROR(INDEX('Detail inputs'!$B$3:$K$193,MATCH($B51&amp;$C51&amp;$E51&amp;$G51&amp;P$5,'Detail inputs'!$B$3:$B$193&amp;'Detail inputs'!$D$3:$D$193&amp;'Detail inputs'!$F$3:$F$193&amp;'Detail inputs'!$G$3:$G$193&amp;'Detail inputs'!$H$3:$H$193,0),MATCH(P$4,'Detail inputs'!$B$3:$K$3,0)),0)</f>
        <v>0</v>
      </c>
      <c r="Q51" s="224">
        <f>O51*INDEX(Usage!$B$4:$M$18,MATCH($B51,Usage!$B$4:$B$18,0),MATCH(IF($E51="CL1","CL1 Proportion","CL2 Proportion"),Usage!$B$8:$M$8,0))+P51*$F51/1000</f>
        <v>2.3924999999999996</v>
      </c>
      <c r="R51" s="246">
        <f>IFERROR(Q51/Q52,"")</f>
        <v>6.5379516822826014E-2</v>
      </c>
    </row>
    <row r="52" spans="2:18" x14ac:dyDescent="0.35">
      <c r="B52" s="3" t="str">
        <f t="shared" si="8"/>
        <v>Endeavour</v>
      </c>
      <c r="C52" s="3" t="str">
        <f t="shared" si="8"/>
        <v>Residential</v>
      </c>
      <c r="D52" s="3" t="str">
        <f t="shared" si="8"/>
        <v>with CL</v>
      </c>
      <c r="E52" s="3" t="s">
        <v>16</v>
      </c>
      <c r="F52" s="228">
        <f t="array" ref="F52">IFERROR(INDEX(Usage!$B$5:$P$18,MATCH($B52,Usage!$B$5:$B$18,0),MATCH($C52&amp;$D52&amp;$E52,Usage!$B$5:$S$5&amp;Usage!$B$6:$S$6&amp;Usage!$B$7:$S$7,0)),0)</f>
        <v>726</v>
      </c>
      <c r="G52" s="3" t="s">
        <v>53</v>
      </c>
      <c r="H52" s="224"/>
      <c r="I52" s="224"/>
      <c r="J52" s="226">
        <f>SUM(J50:J51)</f>
        <v>33.669768000000005</v>
      </c>
      <c r="K52" s="246"/>
      <c r="L52" s="261"/>
      <c r="M52" s="246">
        <f t="shared" si="9"/>
        <v>8.6851266691234441E-2</v>
      </c>
      <c r="N52" s="253"/>
      <c r="O52" s="226"/>
      <c r="P52" s="226"/>
      <c r="Q52" s="226">
        <f>SUM(Q50:Q51)</f>
        <v>36.594029999999997</v>
      </c>
      <c r="R52" s="246"/>
    </row>
    <row r="53" spans="2:18" s="60" customFormat="1" x14ac:dyDescent="0.35">
      <c r="B53" s="3" t="str">
        <f t="shared" si="8"/>
        <v>Endeavour</v>
      </c>
      <c r="C53" s="3" t="str">
        <f t="shared" si="8"/>
        <v>Residential</v>
      </c>
      <c r="D53" s="3" t="str">
        <f t="shared" si="8"/>
        <v>with CL</v>
      </c>
      <c r="E53" s="3" t="s">
        <v>53</v>
      </c>
      <c r="F53" s="228">
        <f t="array" ref="F53">IFERROR(INDEX(Usage!$B$5:$P$18,MATCH($B53,Usage!$B$5:$B$18,0),MATCH($C53&amp;$D53&amp;$E53,Usage!$B$5:$S$5&amp;Usage!$B$6:$S$6&amp;Usage!$B$7:$S$7,0)),0)</f>
        <v>7400</v>
      </c>
      <c r="G53" s="60" t="s">
        <v>53</v>
      </c>
      <c r="H53" s="226"/>
      <c r="I53" s="226"/>
      <c r="J53" s="226">
        <f>SUM(J46,J49,J52)</f>
        <v>661.6794440000001</v>
      </c>
      <c r="K53" s="247"/>
      <c r="L53" s="259"/>
      <c r="M53" s="246">
        <f t="shared" si="9"/>
        <v>5.8333258422940792E-2</v>
      </c>
      <c r="N53" s="253"/>
      <c r="O53" s="226"/>
      <c r="P53" s="226"/>
      <c r="Q53" s="226">
        <f>SUM(Q46,Q49,Q52)</f>
        <v>700.27736199999993</v>
      </c>
      <c r="R53" s="247"/>
    </row>
    <row r="54" spans="2:18" outlineLevel="1" x14ac:dyDescent="0.35">
      <c r="B54" s="3" t="str">
        <f t="shared" si="8"/>
        <v>Endeavour</v>
      </c>
      <c r="C54" s="3" t="str">
        <f t="shared" si="8"/>
        <v>Residential</v>
      </c>
      <c r="D54" s="3" t="str">
        <f t="shared" si="8"/>
        <v>with CL</v>
      </c>
      <c r="F54" s="228"/>
      <c r="G54" s="60" t="s">
        <v>35</v>
      </c>
      <c r="H54" s="226"/>
      <c r="I54" s="226"/>
      <c r="J54" s="226">
        <f>J53*GST</f>
        <v>66.16794440000001</v>
      </c>
      <c r="K54" s="247"/>
      <c r="L54" s="259"/>
      <c r="M54" s="246">
        <f t="shared" si="9"/>
        <v>5.8333258422940792E-2</v>
      </c>
      <c r="N54" s="253"/>
      <c r="O54" s="226"/>
      <c r="P54" s="226"/>
      <c r="Q54" s="226">
        <f>Q53*GST</f>
        <v>70.027736199999993</v>
      </c>
      <c r="R54" s="247"/>
    </row>
    <row r="55" spans="2:18" x14ac:dyDescent="0.35">
      <c r="B55" s="3" t="str">
        <f t="shared" si="8"/>
        <v>Endeavour</v>
      </c>
      <c r="C55" s="3" t="str">
        <f t="shared" si="8"/>
        <v>Residential</v>
      </c>
      <c r="D55" s="3" t="str">
        <f t="shared" si="8"/>
        <v>with CL</v>
      </c>
      <c r="F55" s="228"/>
      <c r="G55" s="5" t="s">
        <v>77</v>
      </c>
      <c r="H55" s="227"/>
      <c r="I55" s="227"/>
      <c r="J55" s="227">
        <f>SUM(J53:J54)</f>
        <v>727.84738840000011</v>
      </c>
      <c r="K55" s="248"/>
      <c r="L55" s="260"/>
      <c r="M55" s="248">
        <f t="shared" si="9"/>
        <v>5.8333258422941014E-2</v>
      </c>
      <c r="N55" s="254"/>
      <c r="O55" s="227"/>
      <c r="P55" s="227"/>
      <c r="Q55" s="227">
        <f>SUM(Q53:Q54)</f>
        <v>770.30509819999997</v>
      </c>
      <c r="R55" s="248"/>
    </row>
    <row r="56" spans="2:18" x14ac:dyDescent="0.35">
      <c r="F56" s="228"/>
      <c r="H56" s="224"/>
      <c r="I56" s="224"/>
      <c r="J56" s="224"/>
      <c r="K56" s="246"/>
      <c r="L56" s="261"/>
      <c r="M56" s="246"/>
      <c r="N56" s="252"/>
      <c r="O56" s="224"/>
      <c r="P56" s="224"/>
      <c r="Q56" s="224"/>
      <c r="R56" s="246"/>
    </row>
    <row r="57" spans="2:18" x14ac:dyDescent="0.35">
      <c r="B57" s="5" t="s">
        <v>4</v>
      </c>
      <c r="C57" s="5" t="s">
        <v>14</v>
      </c>
      <c r="D57" s="5" t="s">
        <v>136</v>
      </c>
      <c r="F57" s="228"/>
      <c r="H57" s="224"/>
      <c r="I57" s="224"/>
      <c r="J57" s="224"/>
      <c r="K57" s="246"/>
      <c r="L57" s="261"/>
      <c r="M57" s="246"/>
      <c r="N57" s="252"/>
      <c r="O57" s="224"/>
      <c r="P57" s="224"/>
      <c r="Q57" s="224"/>
      <c r="R57" s="246"/>
    </row>
    <row r="58" spans="2:18" x14ac:dyDescent="0.35">
      <c r="B58" s="3" t="str">
        <f t="shared" ref="B58:D62" si="10">B$57</f>
        <v>Endeavour</v>
      </c>
      <c r="C58" s="3" t="str">
        <f t="shared" si="10"/>
        <v>Small business</v>
      </c>
      <c r="D58" s="3" t="str">
        <f t="shared" si="10"/>
        <v>without CL</v>
      </c>
      <c r="E58" s="3" t="s">
        <v>21</v>
      </c>
      <c r="F58" s="228">
        <f t="array" ref="F58">IFERROR(INDEX(Usage!$B$5:$P$18,MATCH($B58,Usage!$B$5:$B$18,0),MATCH($C58&amp;$D58&amp;$E58,Usage!$B$5:$S$5&amp;Usage!$B$6:$S$6&amp;Usage!$B$7:$S$7,0)),0)</f>
        <v>10000</v>
      </c>
      <c r="G58" s="3" t="s">
        <v>55</v>
      </c>
      <c r="H58" s="226"/>
      <c r="I58" s="226"/>
      <c r="J58" s="224"/>
      <c r="K58" s="246"/>
      <c r="L58" s="246"/>
      <c r="M58" s="246"/>
      <c r="N58" s="243"/>
      <c r="O58" s="226">
        <f t="array" ref="O58">INDEX('Key inputs'!$B$16:$N$40,MATCH($B58&amp;$C58&amp;$E58,'Key inputs'!$B$16:$B$40&amp;'Key inputs'!$C$16:$C$40&amp;'Key inputs'!$D$16:$D$40,0),MATCH($G58&amp;O$4&amp;O$5,'Key inputs'!$B$17:$N$17&amp;'Key inputs'!$B$18:$N$18&amp;'Key inputs'!$B$19:$N$19,0))</f>
        <v>228.45349999999999</v>
      </c>
      <c r="P58" s="226">
        <f t="array" ref="P58">INDEX('Key inputs'!$B$16:$N$40,MATCH($B58&amp;$C58&amp;$E58,'Key inputs'!$B$16:$B$40&amp;'Key inputs'!$C$16:$C$40&amp;'Key inputs'!$D$16:$D$40,0),MATCH($G58&amp;P$4&amp;P$5,'Key inputs'!$B$17:$N$17&amp;'Key inputs'!$B$18:$N$18&amp;'Key inputs'!$B$19:$N$19,0))</f>
        <v>88.704999999999998</v>
      </c>
      <c r="Q58" s="224">
        <f>O58+P58*$F58/1000</f>
        <v>1115.5035</v>
      </c>
      <c r="R58" s="246">
        <f>IFERROR(Q58/Q60,"")</f>
        <v>0.97171537496292382</v>
      </c>
    </row>
    <row r="59" spans="2:18" x14ac:dyDescent="0.35">
      <c r="B59" s="3" t="str">
        <f t="shared" si="10"/>
        <v>Endeavour</v>
      </c>
      <c r="C59" s="3" t="str">
        <f t="shared" si="10"/>
        <v>Small business</v>
      </c>
      <c r="D59" s="3" t="str">
        <f t="shared" si="10"/>
        <v>without CL</v>
      </c>
      <c r="E59" s="3" t="s">
        <v>21</v>
      </c>
      <c r="F59" s="228">
        <f t="array" ref="F59">IFERROR(INDEX(Usage!$B$5:$P$18,MATCH($B59,Usage!$B$5:$B$18,0),MATCH($C59&amp;$D59&amp;$E59,Usage!$B$5:$S$5&amp;Usage!$B$6:$S$6&amp;Usage!$B$7:$S$7,0)),0)</f>
        <v>10000</v>
      </c>
      <c r="G59" s="3" t="s">
        <v>57</v>
      </c>
      <c r="H59" s="226"/>
      <c r="I59" s="224"/>
      <c r="J59" s="224"/>
      <c r="K59" s="246"/>
      <c r="L59" s="246"/>
      <c r="M59" s="246"/>
      <c r="N59" s="243"/>
      <c r="O59" s="226">
        <f t="array" ref="O59">INDEX('Key inputs'!$B$16:$N$40,MATCH($B59&amp;$C59&amp;$E59,'Key inputs'!$B$16:$B$40&amp;'Key inputs'!$C$16:$C$40&amp;'Key inputs'!$D$16:$D$40,0),MATCH($G59&amp;O$4&amp;O$5,'Key inputs'!$B$17:$N$17&amp;'Key inputs'!$B$18:$N$18&amp;'Key inputs'!$B$19:$N$19,0))</f>
        <v>32.47</v>
      </c>
      <c r="P59" s="224">
        <f>IFERROR(INDEX('Detail inputs'!$B$3:$K$193,MATCH($B59&amp;$C59&amp;$E59&amp;$G59&amp;P$5,'Detail inputs'!$B$3:$B$193&amp;'Detail inputs'!$D$3:$D$193&amp;'Detail inputs'!$F$3:$F$193&amp;'Detail inputs'!$G$3:$G$193&amp;'Detail inputs'!$H$3:$H$193,0),MATCH(P$4,'Detail inputs'!$B$3:$K$3,0)),0)</f>
        <v>0</v>
      </c>
      <c r="Q59" s="224">
        <f>O59+P59*$F59/1000</f>
        <v>32.47</v>
      </c>
      <c r="R59" s="246">
        <f>IFERROR(Q59/Q60,"")</f>
        <v>2.82846250370762E-2</v>
      </c>
    </row>
    <row r="60" spans="2:18" s="60" customFormat="1" x14ac:dyDescent="0.35">
      <c r="B60" s="3" t="str">
        <f t="shared" si="10"/>
        <v>Endeavour</v>
      </c>
      <c r="C60" s="3" t="str">
        <f t="shared" si="10"/>
        <v>Small business</v>
      </c>
      <c r="D60" s="3" t="str">
        <f t="shared" si="10"/>
        <v>without CL</v>
      </c>
      <c r="E60" s="3" t="s">
        <v>21</v>
      </c>
      <c r="F60" s="228">
        <f t="array" ref="F60">IFERROR(INDEX(Usage!$B$5:$P$18,MATCH($B60,Usage!$B$5:$B$18,0),MATCH($C60&amp;$D60&amp;$E60,Usage!$B$5:$S$5&amp;Usage!$B$6:$S$6&amp;Usage!$B$7:$S$7,0)),0)</f>
        <v>10000</v>
      </c>
      <c r="G60" s="60" t="s">
        <v>53</v>
      </c>
      <c r="H60" s="226"/>
      <c r="I60" s="226"/>
      <c r="J60" s="226"/>
      <c r="K60" s="247"/>
      <c r="L60" s="259"/>
      <c r="M60" s="246"/>
      <c r="N60" s="253"/>
      <c r="O60" s="226"/>
      <c r="P60" s="226"/>
      <c r="Q60" s="226">
        <f>SUM(Q58:Q59)</f>
        <v>1147.9735000000001</v>
      </c>
      <c r="R60" s="247"/>
    </row>
    <row r="61" spans="2:18" outlineLevel="1" x14ac:dyDescent="0.35">
      <c r="B61" s="3" t="str">
        <f t="shared" si="10"/>
        <v>Endeavour</v>
      </c>
      <c r="C61" s="3" t="str">
        <f t="shared" si="10"/>
        <v>Small business</v>
      </c>
      <c r="D61" s="3" t="str">
        <f t="shared" si="10"/>
        <v>without CL</v>
      </c>
      <c r="E61" s="3" t="s">
        <v>21</v>
      </c>
      <c r="F61" s="228">
        <f t="array" ref="F61">IFERROR(INDEX(Usage!$B$5:$P$18,MATCH($B61,Usage!$B$5:$B$18,0),MATCH($C61&amp;$D61&amp;$E61,Usage!$B$5:$S$5&amp;Usage!$B$6:$S$6&amp;Usage!$B$7:$S$7,0)),0)</f>
        <v>10000</v>
      </c>
      <c r="G61" s="60" t="s">
        <v>35</v>
      </c>
      <c r="H61" s="226"/>
      <c r="I61" s="226"/>
      <c r="J61" s="226"/>
      <c r="K61" s="247"/>
      <c r="L61" s="259"/>
      <c r="M61" s="246"/>
      <c r="N61" s="253"/>
      <c r="O61" s="226"/>
      <c r="P61" s="226"/>
      <c r="Q61" s="226">
        <f>Q60*GST</f>
        <v>114.79735000000001</v>
      </c>
      <c r="R61" s="247"/>
    </row>
    <row r="62" spans="2:18" x14ac:dyDescent="0.35">
      <c r="B62" s="3" t="str">
        <f t="shared" si="10"/>
        <v>Endeavour</v>
      </c>
      <c r="C62" s="3" t="str">
        <f t="shared" si="10"/>
        <v>Small business</v>
      </c>
      <c r="D62" s="3" t="str">
        <f t="shared" si="10"/>
        <v>without CL</v>
      </c>
      <c r="F62" s="228"/>
      <c r="G62" s="5" t="s">
        <v>77</v>
      </c>
      <c r="H62" s="227"/>
      <c r="I62" s="227"/>
      <c r="J62" s="227"/>
      <c r="K62" s="248"/>
      <c r="L62" s="260"/>
      <c r="M62" s="248"/>
      <c r="N62" s="254"/>
      <c r="O62" s="227"/>
      <c r="P62" s="227"/>
      <c r="Q62" s="227">
        <f>SUM(Q60:Q61)</f>
        <v>1262.7708500000001</v>
      </c>
      <c r="R62" s="248"/>
    </row>
    <row r="63" spans="2:18" x14ac:dyDescent="0.35">
      <c r="F63" s="228"/>
      <c r="H63" s="224"/>
      <c r="I63" s="224"/>
      <c r="J63" s="224"/>
      <c r="K63" s="246"/>
      <c r="L63" s="261"/>
      <c r="M63" s="246"/>
      <c r="N63" s="252"/>
      <c r="O63" s="224"/>
      <c r="P63" s="224"/>
      <c r="Q63" s="224"/>
      <c r="R63" s="246"/>
    </row>
    <row r="64" spans="2:18" x14ac:dyDescent="0.35">
      <c r="B64" s="5" t="s">
        <v>3</v>
      </c>
      <c r="C64" s="5" t="s">
        <v>6</v>
      </c>
      <c r="D64" s="5" t="s">
        <v>136</v>
      </c>
      <c r="E64" s="60"/>
      <c r="F64" s="262"/>
      <c r="H64" s="224"/>
      <c r="I64" s="224"/>
      <c r="J64" s="224"/>
      <c r="K64" s="246"/>
      <c r="L64" s="246"/>
      <c r="M64" s="246"/>
      <c r="N64" s="243"/>
      <c r="O64" s="224"/>
      <c r="P64" s="224"/>
      <c r="Q64" s="224"/>
      <c r="R64" s="246"/>
    </row>
    <row r="65" spans="2:18" x14ac:dyDescent="0.35">
      <c r="B65" s="3" t="str">
        <f t="shared" ref="B65:D69" si="11">B$64</f>
        <v>Essential</v>
      </c>
      <c r="C65" s="3" t="str">
        <f t="shared" si="11"/>
        <v>Residential</v>
      </c>
      <c r="D65" s="3" t="str">
        <f t="shared" si="11"/>
        <v>without CL</v>
      </c>
      <c r="E65" s="60" t="s">
        <v>21</v>
      </c>
      <c r="F65" s="228">
        <f t="array" ref="F65">IFERROR(INDEX(Usage!$B$5:$P$18,MATCH($B65,Usage!$B$5:$B$18,0),MATCH($C65&amp;$D65&amp;$E65,Usage!$B$5:$S$5&amp;Usage!$B$6:$S$6&amp;Usage!$B$7:$S$7,0)),0)</f>
        <v>4600</v>
      </c>
      <c r="G65" s="3" t="s">
        <v>55</v>
      </c>
      <c r="H65" s="226">
        <f t="array" ref="H65">INDEX('Key inputs'!$B$16:$N$40,MATCH($B65&amp;$C65&amp;$E65,'Key inputs'!$B$16:$B$40&amp;'Key inputs'!$C$16:$C$40&amp;'Key inputs'!$D$16:$D$40,0),MATCH($G65&amp;H$4&amp;H$5,'Key inputs'!$B$17:$N$17&amp;'Key inputs'!$B$18:$N$18&amp;'Key inputs'!$B$19:$N$19,0))</f>
        <v>320.762</v>
      </c>
      <c r="I65" s="226">
        <f t="array" ref="I65">INDEX('Key inputs'!$B$16:$N$40,MATCH($B65&amp;$C65&amp;$E65,'Key inputs'!$B$16:$B$40&amp;'Key inputs'!$C$16:$C$40&amp;'Key inputs'!$D$16:$D$40,0),MATCH($G65&amp;I$4&amp;I$5,'Key inputs'!$B$17:$N$17&amp;'Key inputs'!$B$18:$N$18&amp;'Key inputs'!$B$19:$N$19,0))</f>
        <v>111.02199999999999</v>
      </c>
      <c r="J65" s="224">
        <f>H65+I65*$F65/1000</f>
        <v>831.46319999999992</v>
      </c>
      <c r="K65" s="246">
        <f>IFERROR(J65/J67,"")</f>
        <v>0.96067027828435536</v>
      </c>
      <c r="L65" s="246"/>
      <c r="M65" s="246">
        <f t="shared" ref="M65:M66" si="12">IF(OR(J65=0,J65="",Q65=""),"",Q65/J65-1)</f>
        <v>2.6710262101798499E-2</v>
      </c>
      <c r="N65" s="243"/>
      <c r="O65" s="226">
        <f t="array" ref="O65">INDEX('Key inputs'!$B$16:$N$40,MATCH($B65&amp;$C65&amp;$E65,'Key inputs'!$B$16:$B$40&amp;'Key inputs'!$C$16:$C$40&amp;'Key inputs'!$D$16:$D$40,0),MATCH($G65&amp;O$4&amp;O$5,'Key inputs'!$B$17:$N$17&amp;'Key inputs'!$B$18:$N$18&amp;'Key inputs'!$B$19:$N$19,0))</f>
        <v>332.66660000000002</v>
      </c>
      <c r="P65" s="226">
        <f t="array" ref="P65">INDEX('Key inputs'!$B$16:$N$40,MATCH($B65&amp;$C65&amp;$E65,'Key inputs'!$B$16:$B$40&amp;'Key inputs'!$C$16:$C$40&amp;'Key inputs'!$D$16:$D$40,0),MATCH($G65&amp;P$4&amp;P$5,'Key inputs'!$B$17:$N$17&amp;'Key inputs'!$B$18:$N$18&amp;'Key inputs'!$B$19:$N$19,0))</f>
        <v>113.262</v>
      </c>
      <c r="Q65" s="224">
        <f>O65+P65*$F65/1000</f>
        <v>853.67180000000008</v>
      </c>
      <c r="R65" s="246">
        <f>IFERROR(Q65/Q67,"")</f>
        <v>0.95812484609674409</v>
      </c>
    </row>
    <row r="66" spans="2:18" x14ac:dyDescent="0.35">
      <c r="B66" s="3" t="str">
        <f t="shared" si="11"/>
        <v>Essential</v>
      </c>
      <c r="C66" s="3" t="str">
        <f t="shared" si="11"/>
        <v>Residential</v>
      </c>
      <c r="D66" s="3" t="str">
        <f t="shared" si="11"/>
        <v>without CL</v>
      </c>
      <c r="E66" s="60" t="s">
        <v>21</v>
      </c>
      <c r="F66" s="228">
        <f t="array" ref="F66">IFERROR(INDEX(Usage!$B$5:$P$18,MATCH($B66,Usage!$B$5:$B$18,0),MATCH($C66&amp;$D66&amp;$E66,Usage!$B$5:$S$5&amp;Usage!$B$6:$S$6&amp;Usage!$B$7:$S$7,0)),0)</f>
        <v>4600</v>
      </c>
      <c r="G66" s="3" t="s">
        <v>57</v>
      </c>
      <c r="H66" s="226">
        <f t="array" ref="H66">INDEX('Key inputs'!$B$16:$N$40,MATCH($B66&amp;$C66&amp;$E66,'Key inputs'!$B$16:$B$40&amp;'Key inputs'!$C$16:$C$40&amp;'Key inputs'!$D$16:$D$40,0),MATCH($G66&amp;H$4&amp;H$5,'Key inputs'!$B$17:$N$17&amp;'Key inputs'!$B$18:$N$18&amp;'Key inputs'!$B$19:$N$19,0))</f>
        <v>34.04</v>
      </c>
      <c r="I66" s="224">
        <f>IFERROR(INDEX('Detail inputs'!$B$3:$K$193,MATCH($B66&amp;$C66&amp;$E66&amp;$G66&amp;I$5,'Detail inputs'!$B$3:$B$193&amp;'Detail inputs'!$D$3:$D$193&amp;'Detail inputs'!$F$3:$F$193&amp;'Detail inputs'!$G$3:$G$193&amp;'Detail inputs'!$H$3:$H$193,0),MATCH(I$4,'Detail inputs'!$B$3:$K$3,0)),0)</f>
        <v>0</v>
      </c>
      <c r="J66" s="224">
        <f>H66+I66*$F66/1000</f>
        <v>34.04</v>
      </c>
      <c r="K66" s="246">
        <f>IFERROR(J66/J67,"")</f>
        <v>3.9329721715644729E-2</v>
      </c>
      <c r="L66" s="246"/>
      <c r="M66" s="246">
        <f t="shared" si="12"/>
        <v>9.6063454759107048E-2</v>
      </c>
      <c r="N66" s="243"/>
      <c r="O66" s="226">
        <f t="array" ref="O66">INDEX('Key inputs'!$B$16:$N$40,MATCH($B66&amp;$C66&amp;$E66,'Key inputs'!$B$16:$B$40&amp;'Key inputs'!$C$16:$C$40&amp;'Key inputs'!$D$16:$D$40,0),MATCH($G66&amp;O$4&amp;O$5,'Key inputs'!$B$17:$N$17&amp;'Key inputs'!$B$18:$N$18&amp;'Key inputs'!$B$19:$N$19,0))</f>
        <v>37.31</v>
      </c>
      <c r="P66" s="224">
        <f>IFERROR(INDEX('Detail inputs'!$B$3:$K$193,MATCH($B66&amp;$C66&amp;$E66&amp;$G66&amp;P$5,'Detail inputs'!$B$3:$B$193&amp;'Detail inputs'!$D$3:$D$193&amp;'Detail inputs'!$F$3:$F$193&amp;'Detail inputs'!$G$3:$G$193&amp;'Detail inputs'!$H$3:$H$193,0),MATCH(P$4,'Detail inputs'!$B$3:$K$3,0)),0)</f>
        <v>0</v>
      </c>
      <c r="Q66" s="224">
        <f>O66+P66*$F66/1000</f>
        <v>37.31</v>
      </c>
      <c r="R66" s="246">
        <f>IFERROR(Q66/Q67,"")</f>
        <v>4.1875153903255941E-2</v>
      </c>
    </row>
    <row r="67" spans="2:18" s="60" customFormat="1" x14ac:dyDescent="0.35">
      <c r="B67" s="3" t="str">
        <f t="shared" si="11"/>
        <v>Essential</v>
      </c>
      <c r="C67" s="3" t="str">
        <f t="shared" si="11"/>
        <v>Residential</v>
      </c>
      <c r="D67" s="3" t="str">
        <f t="shared" si="11"/>
        <v>without CL</v>
      </c>
      <c r="E67" s="60" t="s">
        <v>21</v>
      </c>
      <c r="F67" s="228">
        <f t="array" ref="F67">IFERROR(INDEX(Usage!$B$5:$P$18,MATCH($B67,Usage!$B$5:$B$18,0),MATCH($C67&amp;$D67&amp;$E67,Usage!$B$5:$S$5&amp;Usage!$B$6:$S$6&amp;Usage!$B$7:$S$7,0)),0)</f>
        <v>4600</v>
      </c>
      <c r="G67" s="60" t="s">
        <v>53</v>
      </c>
      <c r="H67" s="226"/>
      <c r="I67" s="226"/>
      <c r="J67" s="226">
        <f>SUM(J65:J66)</f>
        <v>865.50319999999988</v>
      </c>
      <c r="K67" s="247"/>
      <c r="L67" s="259"/>
      <c r="M67" s="246">
        <f>IF(OR(J67=0,Q67=""),"",Q67/J67-1)</f>
        <v>2.9437903869101945E-2</v>
      </c>
      <c r="N67" s="253"/>
      <c r="O67" s="226"/>
      <c r="P67" s="226"/>
      <c r="Q67" s="226">
        <f>IF(AND(Q65="",Q66=""),J67*(1+M67),SUM(Q65:Q66))</f>
        <v>890.98180000000002</v>
      </c>
      <c r="R67" s="247"/>
    </row>
    <row r="68" spans="2:18" outlineLevel="1" x14ac:dyDescent="0.35">
      <c r="B68" s="3" t="str">
        <f t="shared" si="11"/>
        <v>Essential</v>
      </c>
      <c r="C68" s="3" t="str">
        <f t="shared" si="11"/>
        <v>Residential</v>
      </c>
      <c r="D68" s="3" t="str">
        <f t="shared" si="11"/>
        <v>without CL</v>
      </c>
      <c r="E68" s="60"/>
      <c r="F68" s="262"/>
      <c r="G68" s="60" t="s">
        <v>35</v>
      </c>
      <c r="H68" s="226"/>
      <c r="I68" s="226"/>
      <c r="J68" s="226">
        <f>J67*GST</f>
        <v>86.550319999999999</v>
      </c>
      <c r="K68" s="247"/>
      <c r="L68" s="259"/>
      <c r="M68" s="246">
        <f>IF(OR(J68=0,Q68=""),"",Q68/J68-1)</f>
        <v>2.9437903869101945E-2</v>
      </c>
      <c r="N68" s="253"/>
      <c r="O68" s="226"/>
      <c r="P68" s="226"/>
      <c r="Q68" s="226">
        <f>Q67*GST</f>
        <v>89.098180000000013</v>
      </c>
      <c r="R68" s="247"/>
    </row>
    <row r="69" spans="2:18" x14ac:dyDescent="0.35">
      <c r="B69" s="3" t="str">
        <f t="shared" si="11"/>
        <v>Essential</v>
      </c>
      <c r="C69" s="3" t="str">
        <f t="shared" si="11"/>
        <v>Residential</v>
      </c>
      <c r="D69" s="3" t="str">
        <f t="shared" si="11"/>
        <v>without CL</v>
      </c>
      <c r="E69" s="60"/>
      <c r="F69" s="262"/>
      <c r="G69" s="5" t="s">
        <v>77</v>
      </c>
      <c r="H69" s="227"/>
      <c r="I69" s="227"/>
      <c r="J69" s="227">
        <f>SUM(J67:J68)</f>
        <v>952.05351999999993</v>
      </c>
      <c r="K69" s="248"/>
      <c r="L69" s="260"/>
      <c r="M69" s="246">
        <f>IF(OR(J69=0,Q69=""),"",Q69/J69-1)</f>
        <v>2.9437903869101945E-2</v>
      </c>
      <c r="N69" s="254"/>
      <c r="O69" s="227"/>
      <c r="P69" s="227"/>
      <c r="Q69" s="227">
        <f>SUM(Q67:Q68)</f>
        <v>980.07997999999998</v>
      </c>
      <c r="R69" s="248"/>
    </row>
    <row r="70" spans="2:18" x14ac:dyDescent="0.35">
      <c r="F70" s="228"/>
      <c r="H70" s="224"/>
      <c r="I70" s="224"/>
      <c r="J70" s="224"/>
      <c r="K70" s="246"/>
      <c r="L70" s="261"/>
      <c r="M70" s="246"/>
      <c r="N70" s="252"/>
      <c r="O70" s="224"/>
      <c r="P70" s="224"/>
      <c r="Q70" s="224"/>
      <c r="R70" s="246"/>
    </row>
    <row r="71" spans="2:18" x14ac:dyDescent="0.35">
      <c r="B71" s="5" t="s">
        <v>3</v>
      </c>
      <c r="C71" s="5" t="s">
        <v>6</v>
      </c>
      <c r="D71" s="5" t="s">
        <v>137</v>
      </c>
      <c r="E71" s="60"/>
      <c r="F71" s="262"/>
      <c r="H71" s="224"/>
      <c r="I71" s="224"/>
      <c r="J71" s="224"/>
      <c r="K71" s="246"/>
      <c r="L71" s="261"/>
      <c r="M71" s="246"/>
      <c r="N71" s="252"/>
      <c r="O71" s="224"/>
      <c r="P71" s="224"/>
      <c r="Q71" s="224"/>
      <c r="R71" s="246"/>
    </row>
    <row r="72" spans="2:18" x14ac:dyDescent="0.35">
      <c r="B72" s="3" t="str">
        <f t="shared" ref="B72:D83" si="13">B$71</f>
        <v>Essential</v>
      </c>
      <c r="C72" s="3" t="str">
        <f t="shared" si="13"/>
        <v>Residential</v>
      </c>
      <c r="D72" s="3" t="str">
        <f t="shared" si="13"/>
        <v>with CL</v>
      </c>
      <c r="E72" s="3" t="s">
        <v>21</v>
      </c>
      <c r="F72" s="228">
        <f t="array" ref="F72">IFERROR(INDEX(Usage!$B$5:$P$18,MATCH($B72,Usage!$B$5:$B$18,0),MATCH($C72&amp;$D72&amp;$E72,Usage!$B$5:$S$5&amp;Usage!$B$6:$S$6&amp;Usage!$B$7:$S$7,0)),0)</f>
        <v>4600</v>
      </c>
      <c r="G72" s="21" t="s">
        <v>55</v>
      </c>
      <c r="H72" s="226">
        <f t="array" ref="H72">INDEX('Key inputs'!$B$16:$N$40,MATCH($B72&amp;$C72&amp;$E72,'Key inputs'!$B$16:$B$40&amp;'Key inputs'!$C$16:$C$40&amp;'Key inputs'!$D$16:$D$40,0),MATCH($G72&amp;H$4&amp;H$5,'Key inputs'!$B$17:$N$17&amp;'Key inputs'!$B$18:$N$18&amp;'Key inputs'!$B$19:$N$19,0))</f>
        <v>320.762</v>
      </c>
      <c r="I72" s="226">
        <f t="array" ref="I72">INDEX('Key inputs'!$B$16:$N$40,MATCH($B72&amp;$C72&amp;$E72,'Key inputs'!$B$16:$B$40&amp;'Key inputs'!$C$16:$C$40&amp;'Key inputs'!$D$16:$D$40,0),MATCH($G72&amp;I$4&amp;I$5,'Key inputs'!$B$17:$N$17&amp;'Key inputs'!$B$18:$N$18&amp;'Key inputs'!$B$19:$N$19,0))</f>
        <v>111.02199999999999</v>
      </c>
      <c r="J72" s="224">
        <f>H72+I72*$F72/1000</f>
        <v>831.46319999999992</v>
      </c>
      <c r="K72" s="246">
        <f>IFERROR(J72/J74,"")</f>
        <v>0.96067027828435536</v>
      </c>
      <c r="L72" s="246"/>
      <c r="M72" s="246">
        <f t="shared" ref="M72:M73" si="14">IF(OR(J72=0,J72="",Q72=""),"",Q72/J72-1)</f>
        <v>2.6710262101798499E-2</v>
      </c>
      <c r="N72" s="243"/>
      <c r="O72" s="226">
        <f t="array" ref="O72">INDEX('Key inputs'!$B$16:$N$40,MATCH($B72&amp;$C72&amp;$E72,'Key inputs'!$B$16:$B$40&amp;'Key inputs'!$C$16:$C$40&amp;'Key inputs'!$D$16:$D$40,0),MATCH($G72&amp;O$4&amp;O$5,'Key inputs'!$B$17:$N$17&amp;'Key inputs'!$B$18:$N$18&amp;'Key inputs'!$B$19:$N$19,0))</f>
        <v>332.66660000000002</v>
      </c>
      <c r="P72" s="226">
        <f t="array" ref="P72">INDEX('Key inputs'!$B$16:$N$40,MATCH($B72&amp;$C72&amp;$E72,'Key inputs'!$B$16:$B$40&amp;'Key inputs'!$C$16:$C$40&amp;'Key inputs'!$D$16:$D$40,0),MATCH($G72&amp;P$4&amp;P$5,'Key inputs'!$B$17:$N$17&amp;'Key inputs'!$B$18:$N$18&amp;'Key inputs'!$B$19:$N$19,0))</f>
        <v>113.262</v>
      </c>
      <c r="Q72" s="224">
        <f>O72+P72*$F72/1000</f>
        <v>853.67180000000008</v>
      </c>
      <c r="R72" s="246">
        <f>IFERROR(Q72/Q74,"")</f>
        <v>0.95812484609674409</v>
      </c>
    </row>
    <row r="73" spans="2:18" x14ac:dyDescent="0.35">
      <c r="B73" s="3" t="str">
        <f t="shared" si="13"/>
        <v>Essential</v>
      </c>
      <c r="C73" s="3" t="str">
        <f t="shared" si="13"/>
        <v>Residential</v>
      </c>
      <c r="D73" s="3" t="str">
        <f t="shared" si="13"/>
        <v>with CL</v>
      </c>
      <c r="E73" s="3" t="s">
        <v>21</v>
      </c>
      <c r="F73" s="228">
        <f t="array" ref="F73">IFERROR(INDEX(Usage!$B$5:$P$18,MATCH($B73,Usage!$B$5:$B$18,0),MATCH($C73&amp;$D73&amp;$E73,Usage!$B$5:$S$5&amp;Usage!$B$6:$S$6&amp;Usage!$B$7:$S$7,0)),0)</f>
        <v>4600</v>
      </c>
      <c r="G73" s="21" t="s">
        <v>57</v>
      </c>
      <c r="H73" s="226">
        <f t="array" ref="H73">INDEX('Key inputs'!$B$16:$N$40,MATCH($B73&amp;$C73&amp;$E73,'Key inputs'!$B$16:$B$40&amp;'Key inputs'!$C$16:$C$40&amp;'Key inputs'!$D$16:$D$40,0),MATCH($G73&amp;H$4&amp;H$5,'Key inputs'!$B$17:$N$17&amp;'Key inputs'!$B$18:$N$18&amp;'Key inputs'!$B$19:$N$19,0))</f>
        <v>34.04</v>
      </c>
      <c r="I73" s="224">
        <f>IFERROR(INDEX('Detail inputs'!$B$3:$K$193,MATCH($B73&amp;$C73&amp;$E73&amp;$G73&amp;I$5,'Detail inputs'!$B$3:$B$193&amp;'Detail inputs'!$D$3:$D$193&amp;'Detail inputs'!$F$3:$F$193&amp;'Detail inputs'!$G$3:$G$193&amp;'Detail inputs'!$H$3:$H$193,0),MATCH(I$4,'Detail inputs'!$B$3:$K$3,0)),0)</f>
        <v>0</v>
      </c>
      <c r="J73" s="224">
        <f>H73+I73*$F73/1000</f>
        <v>34.04</v>
      </c>
      <c r="K73" s="246">
        <f>IFERROR(J73/J74,"")</f>
        <v>3.9329721715644729E-2</v>
      </c>
      <c r="L73" s="246"/>
      <c r="M73" s="246">
        <f t="shared" si="14"/>
        <v>9.6063454759107048E-2</v>
      </c>
      <c r="N73" s="243"/>
      <c r="O73" s="226">
        <f t="array" ref="O73">INDEX('Key inputs'!$B$16:$N$40,MATCH($B73&amp;$C73&amp;$E73,'Key inputs'!$B$16:$B$40&amp;'Key inputs'!$C$16:$C$40&amp;'Key inputs'!$D$16:$D$40,0),MATCH($G73&amp;O$4&amp;O$5,'Key inputs'!$B$17:$N$17&amp;'Key inputs'!$B$18:$N$18&amp;'Key inputs'!$B$19:$N$19,0))</f>
        <v>37.31</v>
      </c>
      <c r="P73" s="224">
        <f>IFERROR(INDEX('Detail inputs'!$B$3:$K$193,MATCH($B73&amp;$C73&amp;$E73&amp;$G73&amp;P$5,'Detail inputs'!$B$3:$B$193&amp;'Detail inputs'!$D$3:$D$193&amp;'Detail inputs'!$F$3:$F$193&amp;'Detail inputs'!$G$3:$G$193&amp;'Detail inputs'!$H$3:$H$193,0),MATCH(P$4,'Detail inputs'!$B$3:$K$3,0)),0)</f>
        <v>0</v>
      </c>
      <c r="Q73" s="224">
        <f>O73+P73*$F73/1000</f>
        <v>37.31</v>
      </c>
      <c r="R73" s="246">
        <f>IFERROR(Q73/Q74,"")</f>
        <v>4.1875153903255941E-2</v>
      </c>
    </row>
    <row r="74" spans="2:18" x14ac:dyDescent="0.35">
      <c r="B74" s="3" t="str">
        <f t="shared" si="13"/>
        <v>Essential</v>
      </c>
      <c r="C74" s="3" t="str">
        <f t="shared" si="13"/>
        <v>Residential</v>
      </c>
      <c r="D74" s="3" t="str">
        <f t="shared" si="13"/>
        <v>with CL</v>
      </c>
      <c r="E74" s="3" t="s">
        <v>21</v>
      </c>
      <c r="F74" s="228">
        <f t="array" ref="F74">IFERROR(INDEX(Usage!$B$5:$P$18,MATCH($B74,Usage!$B$5:$B$18,0),MATCH($C74&amp;$D74&amp;$E74,Usage!$B$5:$S$5&amp;Usage!$B$6:$S$6&amp;Usage!$B$7:$S$7,0)),0)</f>
        <v>4600</v>
      </c>
      <c r="G74" s="3" t="s">
        <v>53</v>
      </c>
      <c r="H74" s="224"/>
      <c r="I74" s="224"/>
      <c r="J74" s="226">
        <f>SUM(J72:J73)</f>
        <v>865.50319999999988</v>
      </c>
      <c r="K74" s="246"/>
      <c r="L74" s="261"/>
      <c r="M74" s="246">
        <f>IF(OR(J74=0,Q74=""),"",Q74/J74-1)</f>
        <v>2.9437903869101945E-2</v>
      </c>
      <c r="N74" s="253"/>
      <c r="O74" s="226"/>
      <c r="P74" s="226"/>
      <c r="Q74" s="226">
        <f>IF(AND(Q72="",Q73=""),J74*(1+M74),SUM(Q72:Q73))</f>
        <v>890.98180000000002</v>
      </c>
      <c r="R74" s="246"/>
    </row>
    <row r="75" spans="2:18" x14ac:dyDescent="0.35">
      <c r="B75" s="3" t="str">
        <f t="shared" si="13"/>
        <v>Essential</v>
      </c>
      <c r="C75" s="3" t="str">
        <f t="shared" si="13"/>
        <v>Residential</v>
      </c>
      <c r="D75" s="3" t="str">
        <f t="shared" si="13"/>
        <v>with CL</v>
      </c>
      <c r="E75" s="3" t="s">
        <v>15</v>
      </c>
      <c r="F75" s="228">
        <f t="array" ref="F75">IFERROR(INDEX(Usage!$B$5:$P$18,MATCH($B75,Usage!$B$5:$B$18,0),MATCH($C75&amp;$D75&amp;$E75,Usage!$B$5:$S$5&amp;Usage!$B$6:$S$6&amp;Usage!$B$7:$S$7,0)),0)</f>
        <v>1540</v>
      </c>
      <c r="G75" s="21" t="s">
        <v>55</v>
      </c>
      <c r="H75" s="226">
        <f t="array" ref="H75">INDEX('Key inputs'!$B$16:$N$40,MATCH($B75&amp;$C75&amp;$E75,'Key inputs'!$B$16:$B$40&amp;'Key inputs'!$C$16:$C$40&amp;'Key inputs'!$D$16:$D$40,0),MATCH($G75&amp;H$4&amp;H$5,'Key inputs'!$B$17:$N$17&amp;'Key inputs'!$B$18:$N$18&amp;'Key inputs'!$B$19:$N$19,0))</f>
        <v>34.127499999999998</v>
      </c>
      <c r="I75" s="226">
        <f t="array" ref="I75">INDEX('Key inputs'!$B$16:$N$40,MATCH($B75&amp;$C75&amp;$E75,'Key inputs'!$B$16:$B$40&amp;'Key inputs'!$C$16:$C$40&amp;'Key inputs'!$D$16:$D$40,0),MATCH($G75&amp;I$4&amp;I$5,'Key inputs'!$B$17:$N$17&amp;'Key inputs'!$B$18:$N$18&amp;'Key inputs'!$B$19:$N$19,0))</f>
        <v>24.855999999999998</v>
      </c>
      <c r="J75" s="224">
        <f>H75*INDEX(Usage!$B$4:$M$18,MATCH($B75,Usage!$B$4:$B$18,0),MATCH(IF($E75="CL1","CL1 Proportion","CL2 Proportion"),Usage!$B$8:$M$8,0))+I75*$F75/1000</f>
        <v>64.556414999999987</v>
      </c>
      <c r="K75" s="246">
        <f>IFERROR(J75/J77,"")</f>
        <v>0.88794687538061512</v>
      </c>
      <c r="L75" s="246"/>
      <c r="M75" s="246">
        <f t="shared" ref="M75:M76" si="15">IF(OR(J75=0,J75="",Q75=""),"",Q75/J75-1)</f>
        <v>1.9526595459181229E-2</v>
      </c>
      <c r="N75" s="243"/>
      <c r="O75" s="226">
        <f t="array" ref="O75">INDEX('Key inputs'!$B$16:$N$40,MATCH($B75&amp;$C75&amp;$E75,'Key inputs'!$B$16:$B$40&amp;'Key inputs'!$C$16:$C$40&amp;'Key inputs'!$D$16:$D$40,0),MATCH($G75&amp;O$4&amp;O$5,'Key inputs'!$B$17:$N$17&amp;'Key inputs'!$B$18:$N$18&amp;'Key inputs'!$B$19:$N$19,0))</f>
        <v>34.8446</v>
      </c>
      <c r="P75" s="226">
        <f t="array" ref="P75">INDEX('Key inputs'!$B$16:$N$40,MATCH($B75&amp;$C75&amp;$E75,'Key inputs'!$B$16:$B$40&amp;'Key inputs'!$C$16:$C$40&amp;'Key inputs'!$D$16:$D$40,0),MATCH($G75&amp;P$4&amp;P$5,'Key inputs'!$B$17:$N$17&amp;'Key inputs'!$B$18:$N$18&amp;'Key inputs'!$B$19:$N$19,0))</f>
        <v>25.316000000000003</v>
      </c>
      <c r="Q75" s="224">
        <f>O75*INDEX(Usage!$B$4:$M$18,MATCH($B75,Usage!$B$4:$B$18,0),MATCH(IF($E75="CL1","CL1 Proportion","CL2 Proportion"),Usage!$B$8:$M$8,0))+P75*$F75/1000</f>
        <v>65.81698200000001</v>
      </c>
      <c r="R75" s="246">
        <f>IFERROR(Q75/Q77,"")</f>
        <v>0.88196036592286564</v>
      </c>
    </row>
    <row r="76" spans="2:18" x14ac:dyDescent="0.35">
      <c r="B76" s="3" t="str">
        <f t="shared" si="13"/>
        <v>Essential</v>
      </c>
      <c r="C76" s="3" t="str">
        <f t="shared" si="13"/>
        <v>Residential</v>
      </c>
      <c r="D76" s="3" t="str">
        <f t="shared" si="13"/>
        <v>with CL</v>
      </c>
      <c r="E76" s="3" t="s">
        <v>15</v>
      </c>
      <c r="F76" s="228">
        <f t="array" ref="F76">IFERROR(INDEX(Usage!$B$5:$P$18,MATCH($B76,Usage!$B$5:$B$18,0),MATCH($C76&amp;$D76&amp;$E76,Usage!$B$5:$S$5&amp;Usage!$B$6:$S$6&amp;Usage!$B$7:$S$7,0)),0)</f>
        <v>1540</v>
      </c>
      <c r="G76" s="21" t="s">
        <v>57</v>
      </c>
      <c r="H76" s="226">
        <f t="array" ref="H76">INDEX('Key inputs'!$B$16:$N$40,MATCH($B76&amp;$C76&amp;$E76,'Key inputs'!$B$16:$B$40&amp;'Key inputs'!$C$16:$C$40&amp;'Key inputs'!$D$16:$D$40,0),MATCH($G76&amp;H$4&amp;H$5,'Key inputs'!$B$17:$N$17&amp;'Key inputs'!$B$18:$N$18&amp;'Key inputs'!$B$19:$N$19,0))</f>
        <v>10.58</v>
      </c>
      <c r="I76" s="224">
        <f>IFERROR(INDEX('Detail inputs'!$B$3:$K$193,MATCH($B76&amp;$C76&amp;$E76&amp;$G76&amp;I$5,'Detail inputs'!$B$3:$B$193&amp;'Detail inputs'!$D$3:$D$193&amp;'Detail inputs'!$F$3:$F$193&amp;'Detail inputs'!$G$3:$G$193&amp;'Detail inputs'!$H$3:$H$193,0),MATCH(I$4,'Detail inputs'!$B$3:$K$3,0)),0)</f>
        <v>0</v>
      </c>
      <c r="J76" s="224">
        <f>H76*INDEX(Usage!$B$4:$M$18,MATCH($B76,Usage!$B$4:$B$18,0),MATCH(IF($E76="CL1","CL1 Proportion","CL2 Proportion"),Usage!$B$8:$M$8,0))+I76*$F76/1000</f>
        <v>8.1465999999999994</v>
      </c>
      <c r="K76" s="246">
        <f>IFERROR(J76/J77,"")</f>
        <v>0.11205312461938477</v>
      </c>
      <c r="L76" s="246"/>
      <c r="M76" s="246">
        <f t="shared" si="15"/>
        <v>8.1285444234404869E-2</v>
      </c>
      <c r="N76" s="243"/>
      <c r="O76" s="226">
        <f t="array" ref="O76">INDEX('Key inputs'!$B$16:$N$40,MATCH($B76&amp;$C76&amp;$E76,'Key inputs'!$B$16:$B$40&amp;'Key inputs'!$C$16:$C$40&amp;'Key inputs'!$D$16:$D$40,0),MATCH($G76&amp;O$4&amp;O$5,'Key inputs'!$B$17:$N$17&amp;'Key inputs'!$B$18:$N$18&amp;'Key inputs'!$B$19:$N$19,0))</f>
        <v>11.440000000000001</v>
      </c>
      <c r="P76" s="224">
        <f>IFERROR(INDEX('Detail inputs'!$B$3:$K$193,MATCH($B76&amp;$C76&amp;$E76&amp;$G76&amp;P$5,'Detail inputs'!$B$3:$B$193&amp;'Detail inputs'!$D$3:$D$193&amp;'Detail inputs'!$F$3:$F$193&amp;'Detail inputs'!$G$3:$G$193&amp;'Detail inputs'!$H$3:$H$193,0),MATCH(P$4,'Detail inputs'!$B$3:$K$3,0)),0)</f>
        <v>0</v>
      </c>
      <c r="Q76" s="224">
        <f>O76*INDEX(Usage!$B$4:$M$18,MATCH($B76,Usage!$B$4:$B$18,0),MATCH(IF($E76="CL1","CL1 Proportion","CL2 Proportion"),Usage!$B$8:$M$8,0))+P76*$F76/1000</f>
        <v>8.8088000000000015</v>
      </c>
      <c r="R76" s="246">
        <f>IFERROR(Q76/Q77,"")</f>
        <v>0.11803963407713436</v>
      </c>
    </row>
    <row r="77" spans="2:18" x14ac:dyDescent="0.35">
      <c r="B77" s="3" t="str">
        <f t="shared" si="13"/>
        <v>Essential</v>
      </c>
      <c r="C77" s="3" t="str">
        <f t="shared" si="13"/>
        <v>Residential</v>
      </c>
      <c r="D77" s="3" t="str">
        <f t="shared" si="13"/>
        <v>with CL</v>
      </c>
      <c r="E77" s="3" t="s">
        <v>15</v>
      </c>
      <c r="F77" s="228">
        <f t="array" ref="F77">IFERROR(INDEX(Usage!$B$5:$P$18,MATCH($B77,Usage!$B$5:$B$18,0),MATCH($C77&amp;$D77&amp;$E77,Usage!$B$5:$S$5&amp;Usage!$B$6:$S$6&amp;Usage!$B$7:$S$7,0)),0)</f>
        <v>1540</v>
      </c>
      <c r="G77" s="3" t="s">
        <v>53</v>
      </c>
      <c r="H77" s="224"/>
      <c r="I77" s="224"/>
      <c r="J77" s="226">
        <f>SUM(J75:J76)</f>
        <v>72.703014999999994</v>
      </c>
      <c r="K77" s="246"/>
      <c r="L77" s="261"/>
      <c r="M77" s="246">
        <f>IF(OR(J77=0,Q77=""),"",Q77/J77-1)</f>
        <v>2.6446867437341037E-2</v>
      </c>
      <c r="N77" s="253"/>
      <c r="O77" s="226"/>
      <c r="P77" s="226"/>
      <c r="Q77" s="226">
        <f>IF(AND(Q75="",Q76=""),J77*(1+M77),SUM(Q75:Q76))</f>
        <v>74.625782000000015</v>
      </c>
      <c r="R77" s="246"/>
    </row>
    <row r="78" spans="2:18" x14ac:dyDescent="0.35">
      <c r="B78" s="3" t="str">
        <f t="shared" si="13"/>
        <v>Essential</v>
      </c>
      <c r="C78" s="3" t="str">
        <f t="shared" si="13"/>
        <v>Residential</v>
      </c>
      <c r="D78" s="3" t="str">
        <f t="shared" si="13"/>
        <v>with CL</v>
      </c>
      <c r="E78" s="3" t="s">
        <v>16</v>
      </c>
      <c r="F78" s="228">
        <f t="array" ref="F78">IFERROR(INDEX(Usage!$B$5:$P$18,MATCH($B78,Usage!$B$5:$B$18,0),MATCH($C78&amp;$D78&amp;$E78,Usage!$B$5:$S$5&amp;Usage!$B$6:$S$6&amp;Usage!$B$7:$S$7,0)),0)</f>
        <v>460</v>
      </c>
      <c r="G78" s="21" t="s">
        <v>55</v>
      </c>
      <c r="H78" s="226">
        <f t="array" ref="H78">INDEX('Key inputs'!$B$16:$N$40,MATCH($B78&amp;$C78&amp;$E78,'Key inputs'!$B$16:$B$40&amp;'Key inputs'!$C$16:$C$40&amp;'Key inputs'!$D$16:$D$40,0),MATCH($G78&amp;H$4&amp;H$5,'Key inputs'!$B$17:$N$17&amp;'Key inputs'!$B$18:$N$18&amp;'Key inputs'!$B$19:$N$19,0))</f>
        <v>34.127499999999998</v>
      </c>
      <c r="I78" s="226">
        <f t="array" ref="I78">INDEX('Key inputs'!$B$16:$N$40,MATCH($B78&amp;$C78&amp;$E78,'Key inputs'!$B$16:$B$40&amp;'Key inputs'!$C$16:$C$40&amp;'Key inputs'!$D$16:$D$40,0),MATCH($G78&amp;I$4&amp;I$5,'Key inputs'!$B$17:$N$17&amp;'Key inputs'!$B$18:$N$18&amp;'Key inputs'!$B$19:$N$19,0))</f>
        <v>51.517000000000003</v>
      </c>
      <c r="J78" s="224">
        <f>H78*INDEX(Usage!$B$4:$M$18,MATCH($B78,Usage!$B$4:$B$18,0),MATCH(IF($E78="CL1","CL1 Proportion","CL2 Proportion"),Usage!$B$8:$M$8,0))+I78*$F78/1000</f>
        <v>31.547145</v>
      </c>
      <c r="K78" s="246">
        <f>IFERROR(J78/J80,"")</f>
        <v>0.92838843520608638</v>
      </c>
      <c r="L78" s="246"/>
      <c r="M78" s="246">
        <f t="shared" ref="M78:M79" si="16">IF(OR(J78=0,J78="",Q78=""),"",Q78/J78-1)</f>
        <v>1.9576193027927014E-2</v>
      </c>
      <c r="N78" s="243"/>
      <c r="O78" s="226">
        <f t="array" ref="O78">INDEX('Key inputs'!$B$16:$N$40,MATCH($B78&amp;$C78&amp;$E78,'Key inputs'!$B$16:$B$40&amp;'Key inputs'!$C$16:$C$40&amp;'Key inputs'!$D$16:$D$40,0),MATCH($G78&amp;O$4&amp;O$5,'Key inputs'!$B$17:$N$17&amp;'Key inputs'!$B$18:$N$18&amp;'Key inputs'!$B$19:$N$19,0))</f>
        <v>34.8446</v>
      </c>
      <c r="P78" s="226">
        <f t="array" ref="P78">INDEX('Key inputs'!$B$16:$N$40,MATCH($B78&amp;$C78&amp;$E78,'Key inputs'!$B$16:$B$40&amp;'Key inputs'!$C$16:$C$40&amp;'Key inputs'!$D$16:$D$40,0),MATCH($G78&amp;P$4&amp;P$5,'Key inputs'!$B$17:$N$17&amp;'Key inputs'!$B$18:$N$18&amp;'Key inputs'!$B$19:$N$19,0))</f>
        <v>52.500999999999998</v>
      </c>
      <c r="Q78" s="224">
        <f>O78*INDEX(Usage!$B$4:$M$18,MATCH($B78,Usage!$B$4:$B$18,0),MATCH(IF($E78="CL1","CL1 Proportion","CL2 Proportion"),Usage!$B$8:$M$8,0))+P78*$F78/1000</f>
        <v>32.164718000000001</v>
      </c>
      <c r="R78" s="246">
        <f>IFERROR(Q78/Q80,"")</f>
        <v>0.92438193468555707</v>
      </c>
    </row>
    <row r="79" spans="2:18" x14ac:dyDescent="0.35">
      <c r="B79" s="3" t="str">
        <f t="shared" si="13"/>
        <v>Essential</v>
      </c>
      <c r="C79" s="3" t="str">
        <f t="shared" si="13"/>
        <v>Residential</v>
      </c>
      <c r="D79" s="3" t="str">
        <f t="shared" si="13"/>
        <v>with CL</v>
      </c>
      <c r="E79" s="3" t="s">
        <v>16</v>
      </c>
      <c r="F79" s="228">
        <f t="array" ref="F79">IFERROR(INDEX(Usage!$B$5:$P$18,MATCH($B79,Usage!$B$5:$B$18,0),MATCH($C79&amp;$D79&amp;$E79,Usage!$B$5:$S$5&amp;Usage!$B$6:$S$6&amp;Usage!$B$7:$S$7,0)),0)</f>
        <v>460</v>
      </c>
      <c r="G79" s="21" t="s">
        <v>57</v>
      </c>
      <c r="H79" s="226">
        <f t="array" ref="H79">INDEX('Key inputs'!$B$16:$N$40,MATCH($B79&amp;$C79&amp;$E79,'Key inputs'!$B$16:$B$40&amp;'Key inputs'!$C$16:$C$40&amp;'Key inputs'!$D$16:$D$40,0),MATCH($G79&amp;H$4&amp;H$5,'Key inputs'!$B$17:$N$17&amp;'Key inputs'!$B$18:$N$18&amp;'Key inputs'!$B$19:$N$19,0))</f>
        <v>10.58</v>
      </c>
      <c r="I79" s="224">
        <f>IFERROR(INDEX('Detail inputs'!$B$3:$K$193,MATCH($B79&amp;$C79&amp;$E79&amp;$G79&amp;I$5,'Detail inputs'!$B$3:$B$193&amp;'Detail inputs'!$D$3:$D$193&amp;'Detail inputs'!$F$3:$F$193&amp;'Detail inputs'!$G$3:$G$193&amp;'Detail inputs'!$H$3:$H$193,0),MATCH(I$4,'Detail inputs'!$B$3:$K$3,0)),0)</f>
        <v>0</v>
      </c>
      <c r="J79" s="224">
        <f>H79*INDEX(Usage!$B$4:$M$18,MATCH($B79,Usage!$B$4:$B$18,0),MATCH(IF($E79="CL1","CL1 Proportion","CL2 Proportion"),Usage!$B$8:$M$8,0))+I79*$F79/1000</f>
        <v>2.4333999999999998</v>
      </c>
      <c r="K79" s="246">
        <f>IFERROR(J79/J80,"")</f>
        <v>7.1611564793913687E-2</v>
      </c>
      <c r="L79" s="246"/>
      <c r="M79" s="246">
        <f t="shared" si="16"/>
        <v>8.1285444234404647E-2</v>
      </c>
      <c r="N79" s="243"/>
      <c r="O79" s="226">
        <f t="array" ref="O79">INDEX('Key inputs'!$B$16:$N$40,MATCH($B79&amp;$C79&amp;$E79,'Key inputs'!$B$16:$B$40&amp;'Key inputs'!$C$16:$C$40&amp;'Key inputs'!$D$16:$D$40,0),MATCH($G79&amp;O$4&amp;O$5,'Key inputs'!$B$17:$N$17&amp;'Key inputs'!$B$18:$N$18&amp;'Key inputs'!$B$19:$N$19,0))</f>
        <v>11.440000000000001</v>
      </c>
      <c r="P79" s="224">
        <f>IFERROR(INDEX('Detail inputs'!$B$3:$K$193,MATCH($B79&amp;$C79&amp;$E79&amp;$G79&amp;P$5,'Detail inputs'!$B$3:$B$193&amp;'Detail inputs'!$D$3:$D$193&amp;'Detail inputs'!$F$3:$F$193&amp;'Detail inputs'!$G$3:$G$193&amp;'Detail inputs'!$H$3:$H$193,0),MATCH(P$4,'Detail inputs'!$B$3:$K$3,0)),0)</f>
        <v>0</v>
      </c>
      <c r="Q79" s="224">
        <f>O79*INDEX(Usage!$B$4:$M$18,MATCH($B79,Usage!$B$4:$B$18,0),MATCH(IF($E79="CL1","CL1 Proportion","CL2 Proportion"),Usage!$B$8:$M$8,0))+P79*$F79/1000</f>
        <v>2.6312000000000002</v>
      </c>
      <c r="R79" s="246">
        <f>IFERROR(Q79/Q80,"")</f>
        <v>7.5618065314442928E-2</v>
      </c>
    </row>
    <row r="80" spans="2:18" x14ac:dyDescent="0.35">
      <c r="B80" s="3" t="str">
        <f t="shared" si="13"/>
        <v>Essential</v>
      </c>
      <c r="C80" s="3" t="str">
        <f t="shared" si="13"/>
        <v>Residential</v>
      </c>
      <c r="D80" s="3" t="str">
        <f t="shared" si="13"/>
        <v>with CL</v>
      </c>
      <c r="E80" s="3" t="s">
        <v>16</v>
      </c>
      <c r="F80" s="228">
        <f t="array" ref="F80">IFERROR(INDEX(Usage!$B$5:$P$18,MATCH($B80,Usage!$B$5:$B$18,0),MATCH($C80&amp;$D80&amp;$E80,Usage!$B$5:$S$5&amp;Usage!$B$6:$S$6&amp;Usage!$B$7:$S$7,0)),0)</f>
        <v>460</v>
      </c>
      <c r="G80" s="3" t="s">
        <v>53</v>
      </c>
      <c r="H80" s="224"/>
      <c r="I80" s="224"/>
      <c r="J80" s="226">
        <f>SUM(J78:J79)</f>
        <v>33.980544999999999</v>
      </c>
      <c r="K80" s="246"/>
      <c r="L80" s="261"/>
      <c r="M80" s="246">
        <f>IF(OR(J80=0,Q80=""),"",Q80/J80-1)</f>
        <v>2.3995289069083547E-2</v>
      </c>
      <c r="N80" s="253"/>
      <c r="O80" s="226"/>
      <c r="P80" s="226"/>
      <c r="Q80" s="226">
        <f>IF(AND(Q78="",Q79=""),J80*(1+M80),SUM(Q78:Q79))</f>
        <v>34.795918</v>
      </c>
      <c r="R80" s="246"/>
    </row>
    <row r="81" spans="2:18" s="60" customFormat="1" x14ac:dyDescent="0.35">
      <c r="B81" s="3" t="str">
        <f t="shared" si="13"/>
        <v>Essential</v>
      </c>
      <c r="C81" s="3" t="str">
        <f t="shared" si="13"/>
        <v>Residential</v>
      </c>
      <c r="D81" s="3" t="str">
        <f t="shared" si="13"/>
        <v>with CL</v>
      </c>
      <c r="E81" s="60" t="s">
        <v>53</v>
      </c>
      <c r="F81" s="228">
        <f t="array" ref="F81">IFERROR(INDEX(Usage!$B$5:$P$18,MATCH($B81,Usage!$B$5:$B$18,0),MATCH($C81&amp;$D81&amp;$E81,Usage!$B$5:$S$5&amp;Usage!$B$6:$S$6&amp;Usage!$B$7:$S$7,0)),0)</f>
        <v>6600</v>
      </c>
      <c r="G81" s="60" t="s">
        <v>53</v>
      </c>
      <c r="H81" s="226"/>
      <c r="I81" s="226"/>
      <c r="J81" s="226">
        <f>J74+J77+J80</f>
        <v>972.18675999999994</v>
      </c>
      <c r="K81" s="247"/>
      <c r="L81" s="259"/>
      <c r="M81" s="246">
        <f>IF(OR(J81=0,Q81=""),"",Q81/J81-1)</f>
        <v>2.9023991233947832E-2</v>
      </c>
      <c r="N81" s="253"/>
      <c r="O81" s="226"/>
      <c r="P81" s="226"/>
      <c r="Q81" s="226">
        <f>Q74+Q77+Q80</f>
        <v>1000.4035000000001</v>
      </c>
      <c r="R81" s="247"/>
    </row>
    <row r="82" spans="2:18" outlineLevel="1" x14ac:dyDescent="0.35">
      <c r="B82" s="3" t="str">
        <f t="shared" si="13"/>
        <v>Essential</v>
      </c>
      <c r="C82" s="3" t="str">
        <f t="shared" si="13"/>
        <v>Residential</v>
      </c>
      <c r="D82" s="3" t="str">
        <f t="shared" si="13"/>
        <v>with CL</v>
      </c>
      <c r="E82" s="60"/>
      <c r="F82" s="262"/>
      <c r="G82" s="60" t="s">
        <v>35</v>
      </c>
      <c r="H82" s="226"/>
      <c r="I82" s="226"/>
      <c r="J82" s="226">
        <f>J81*GST</f>
        <v>97.218676000000002</v>
      </c>
      <c r="K82" s="247"/>
      <c r="L82" s="259"/>
      <c r="M82" s="246">
        <f>IF(OR(J82=0,Q82=""),"",Q82/J82-1)</f>
        <v>2.9023991233947832E-2</v>
      </c>
      <c r="N82" s="253"/>
      <c r="O82" s="226"/>
      <c r="P82" s="226"/>
      <c r="Q82" s="226">
        <f>Q81*GST</f>
        <v>100.04035000000002</v>
      </c>
      <c r="R82" s="247"/>
    </row>
    <row r="83" spans="2:18" x14ac:dyDescent="0.35">
      <c r="B83" s="3" t="str">
        <f t="shared" si="13"/>
        <v>Essential</v>
      </c>
      <c r="C83" s="3" t="str">
        <f t="shared" si="13"/>
        <v>Residential</v>
      </c>
      <c r="D83" s="3" t="str">
        <f t="shared" si="13"/>
        <v>with CL</v>
      </c>
      <c r="E83" s="60"/>
      <c r="F83" s="262"/>
      <c r="G83" s="5" t="s">
        <v>77</v>
      </c>
      <c r="H83" s="227"/>
      <c r="I83" s="227"/>
      <c r="J83" s="227">
        <f>SUM(J81:J82)</f>
        <v>1069.405436</v>
      </c>
      <c r="K83" s="248"/>
      <c r="L83" s="260"/>
      <c r="M83" s="246">
        <f>IF(OR(J83=0,Q83=""),"",Q83/J83-1)</f>
        <v>2.9023991233947832E-2</v>
      </c>
      <c r="N83" s="254"/>
      <c r="O83" s="227"/>
      <c r="P83" s="227"/>
      <c r="Q83" s="227">
        <f>SUM(Q81:Q82)</f>
        <v>1100.4438500000001</v>
      </c>
      <c r="R83" s="248"/>
    </row>
    <row r="84" spans="2:18" x14ac:dyDescent="0.35">
      <c r="F84" s="228"/>
      <c r="H84" s="224"/>
      <c r="I84" s="224"/>
      <c r="J84" s="224"/>
      <c r="K84" s="246"/>
      <c r="L84" s="261"/>
      <c r="M84" s="246"/>
      <c r="N84" s="252"/>
      <c r="O84" s="224"/>
      <c r="P84" s="224"/>
      <c r="Q84" s="224"/>
      <c r="R84" s="246"/>
    </row>
    <row r="85" spans="2:18" x14ac:dyDescent="0.35">
      <c r="B85" s="5" t="s">
        <v>3</v>
      </c>
      <c r="C85" s="5" t="s">
        <v>14</v>
      </c>
      <c r="D85" s="5" t="s">
        <v>136</v>
      </c>
      <c r="E85" s="5"/>
      <c r="F85" s="263"/>
      <c r="H85" s="224"/>
      <c r="I85" s="224"/>
      <c r="J85" s="224"/>
      <c r="K85" s="246"/>
      <c r="L85" s="261"/>
      <c r="M85" s="246"/>
      <c r="N85" s="252"/>
      <c r="O85" s="224"/>
      <c r="P85" s="224"/>
      <c r="Q85" s="224"/>
      <c r="R85" s="246"/>
    </row>
    <row r="86" spans="2:18" x14ac:dyDescent="0.35">
      <c r="B86" s="3" t="str">
        <f t="shared" ref="B86:D90" si="17">B$85</f>
        <v>Essential</v>
      </c>
      <c r="C86" s="3" t="str">
        <f t="shared" si="17"/>
        <v>Small business</v>
      </c>
      <c r="D86" s="3" t="str">
        <f t="shared" si="17"/>
        <v>without CL</v>
      </c>
      <c r="E86" s="3" t="s">
        <v>21</v>
      </c>
      <c r="F86" s="228">
        <f t="array" ref="F86">IFERROR(INDEX(Usage!$B$5:$P$18,MATCH($B86,Usage!$B$5:$B$18,0),MATCH($C86&amp;$D86&amp;$E86,Usage!$B$5:$S$5&amp;Usage!$B$6:$S$6&amp;Usage!$B$7:$S$7,0)),0)</f>
        <v>10000</v>
      </c>
      <c r="G86" s="3" t="s">
        <v>55</v>
      </c>
      <c r="H86" s="226"/>
      <c r="I86" s="226"/>
      <c r="J86" s="224"/>
      <c r="K86" s="246"/>
      <c r="L86" s="246"/>
      <c r="M86" s="246"/>
      <c r="N86" s="243"/>
      <c r="O86" s="226">
        <f t="array" ref="O86">INDEX('Key inputs'!$B$16:$N$40,MATCH($B86&amp;$C86&amp;$E86,'Key inputs'!$B$16:$B$40&amp;'Key inputs'!$C$16:$C$40&amp;'Key inputs'!$D$16:$D$40,0),MATCH($G86&amp;O$4&amp;O$5,'Key inputs'!$B$17:$N$17&amp;'Key inputs'!$B$18:$N$18&amp;'Key inputs'!$B$19:$N$19,0))</f>
        <v>332.66660000000002</v>
      </c>
      <c r="P86" s="226">
        <f t="array" ref="P86">INDEX('Key inputs'!$B$16:$N$40,MATCH($B86&amp;$C86&amp;$E86,'Key inputs'!$B$16:$B$40&amp;'Key inputs'!$C$16:$C$40&amp;'Key inputs'!$D$16:$D$40,0),MATCH($G86&amp;P$4&amp;P$5,'Key inputs'!$B$17:$N$17&amp;'Key inputs'!$B$18:$N$18&amp;'Key inputs'!$B$19:$N$19,0))</f>
        <v>155.99299999999999</v>
      </c>
      <c r="Q86" s="224">
        <f>O86+P86*$F86/1000</f>
        <v>1892.5966000000001</v>
      </c>
      <c r="R86" s="246">
        <f>IFERROR(Q86/Q88,"")</f>
        <v>0.98066745820756307</v>
      </c>
    </row>
    <row r="87" spans="2:18" x14ac:dyDescent="0.35">
      <c r="B87" s="3" t="str">
        <f t="shared" si="17"/>
        <v>Essential</v>
      </c>
      <c r="C87" s="3" t="str">
        <f t="shared" si="17"/>
        <v>Small business</v>
      </c>
      <c r="D87" s="3" t="str">
        <f t="shared" si="17"/>
        <v>without CL</v>
      </c>
      <c r="E87" s="3" t="s">
        <v>21</v>
      </c>
      <c r="F87" s="228">
        <f t="array" ref="F87">IFERROR(INDEX(Usage!$B$5:$P$18,MATCH($B87,Usage!$B$5:$B$18,0),MATCH($C87&amp;$D87&amp;$E87,Usage!$B$5:$S$5&amp;Usage!$B$6:$S$6&amp;Usage!$B$7:$S$7,0)),0)</f>
        <v>10000</v>
      </c>
      <c r="G87" s="3" t="s">
        <v>57</v>
      </c>
      <c r="H87" s="226"/>
      <c r="I87" s="224"/>
      <c r="J87" s="224"/>
      <c r="K87" s="246"/>
      <c r="L87" s="246"/>
      <c r="M87" s="246"/>
      <c r="N87" s="243"/>
      <c r="O87" s="226">
        <f t="array" ref="O87">INDEX('Key inputs'!$B$16:$N$40,MATCH($B87&amp;$C87&amp;$E87,'Key inputs'!$B$16:$B$40&amp;'Key inputs'!$C$16:$C$40&amp;'Key inputs'!$D$16:$D$40,0),MATCH($G87&amp;O$4&amp;O$5,'Key inputs'!$B$17:$N$17&amp;'Key inputs'!$B$18:$N$18&amp;'Key inputs'!$B$19:$N$19,0))</f>
        <v>37.31</v>
      </c>
      <c r="P87" s="224">
        <f>IFERROR(INDEX('Detail inputs'!$B$3:$K$193,MATCH($B87&amp;$C87&amp;$E87&amp;$G87&amp;P$5,'Detail inputs'!$B$3:$B$193&amp;'Detail inputs'!$D$3:$D$193&amp;'Detail inputs'!$F$3:$F$193&amp;'Detail inputs'!$G$3:$G$193&amp;'Detail inputs'!$H$3:$H$193,0),MATCH(P$4,'Detail inputs'!$B$3:$K$3,0)),0)</f>
        <v>0</v>
      </c>
      <c r="Q87" s="224">
        <f>O87+P87*$F87/1000</f>
        <v>37.31</v>
      </c>
      <c r="R87" s="246">
        <f>IFERROR(Q87/Q88,"")</f>
        <v>1.9332541792437003E-2</v>
      </c>
    </row>
    <row r="88" spans="2:18" s="60" customFormat="1" x14ac:dyDescent="0.35">
      <c r="B88" s="3" t="str">
        <f t="shared" si="17"/>
        <v>Essential</v>
      </c>
      <c r="C88" s="3" t="str">
        <f t="shared" si="17"/>
        <v>Small business</v>
      </c>
      <c r="D88" s="3" t="str">
        <f t="shared" si="17"/>
        <v>without CL</v>
      </c>
      <c r="E88" s="3" t="s">
        <v>21</v>
      </c>
      <c r="F88" s="228">
        <f t="array" ref="F88">IFERROR(INDEX(Usage!$B$5:$P$18,MATCH($B88,Usage!$B$5:$B$18,0),MATCH($C88&amp;$D88&amp;$E88,Usage!$B$5:$S$5&amp;Usage!$B$6:$S$6&amp;Usage!$B$7:$S$7,0)),0)</f>
        <v>10000</v>
      </c>
      <c r="G88" s="60" t="s">
        <v>53</v>
      </c>
      <c r="H88" s="226"/>
      <c r="I88" s="226"/>
      <c r="J88" s="226"/>
      <c r="K88" s="247"/>
      <c r="L88" s="259"/>
      <c r="M88" s="246"/>
      <c r="N88" s="253"/>
      <c r="O88" s="226"/>
      <c r="P88" s="226"/>
      <c r="Q88" s="226">
        <f>IF(AND(Q86="",Q87=""),J88*(1+M88),SUM(Q86:Q87))</f>
        <v>1929.9066</v>
      </c>
      <c r="R88" s="247"/>
    </row>
    <row r="89" spans="2:18" outlineLevel="1" x14ac:dyDescent="0.35">
      <c r="B89" s="3" t="str">
        <f t="shared" si="17"/>
        <v>Essential</v>
      </c>
      <c r="C89" s="3" t="str">
        <f t="shared" si="17"/>
        <v>Small business</v>
      </c>
      <c r="D89" s="3" t="str">
        <f t="shared" si="17"/>
        <v>without CL</v>
      </c>
      <c r="E89" s="60"/>
      <c r="F89" s="262"/>
      <c r="G89" s="60" t="s">
        <v>35</v>
      </c>
      <c r="H89" s="226"/>
      <c r="I89" s="226"/>
      <c r="J89" s="226"/>
      <c r="K89" s="247"/>
      <c r="L89" s="259"/>
      <c r="M89" s="246"/>
      <c r="N89" s="253"/>
      <c r="O89" s="226"/>
      <c r="P89" s="226"/>
      <c r="Q89" s="226">
        <f>Q88*GST</f>
        <v>192.99066000000002</v>
      </c>
      <c r="R89" s="247"/>
    </row>
    <row r="90" spans="2:18" x14ac:dyDescent="0.35">
      <c r="B90" s="3" t="str">
        <f t="shared" si="17"/>
        <v>Essential</v>
      </c>
      <c r="C90" s="3" t="str">
        <f t="shared" si="17"/>
        <v>Small business</v>
      </c>
      <c r="D90" s="3" t="str">
        <f t="shared" si="17"/>
        <v>without CL</v>
      </c>
      <c r="E90" s="60"/>
      <c r="F90" s="262"/>
      <c r="G90" s="5" t="s">
        <v>77</v>
      </c>
      <c r="H90" s="227"/>
      <c r="I90" s="227"/>
      <c r="J90" s="227"/>
      <c r="K90" s="248"/>
      <c r="L90" s="260"/>
      <c r="M90" s="246"/>
      <c r="N90" s="254"/>
      <c r="O90" s="227"/>
      <c r="P90" s="227"/>
      <c r="Q90" s="227">
        <f>SUM(Q88:Q89)</f>
        <v>2122.8972600000002</v>
      </c>
      <c r="R90" s="248"/>
    </row>
    <row r="91" spans="2:18" x14ac:dyDescent="0.35">
      <c r="F91" s="252"/>
      <c r="H91" s="224"/>
      <c r="I91" s="224"/>
      <c r="J91" s="224"/>
      <c r="K91" s="261"/>
      <c r="L91" s="261"/>
      <c r="M91" s="261"/>
      <c r="N91" s="252"/>
      <c r="O91" s="224"/>
      <c r="P91" s="224"/>
      <c r="Q91" s="224"/>
      <c r="R91" s="261"/>
    </row>
    <row r="92" spans="2:18" x14ac:dyDescent="0.35">
      <c r="B92" s="5" t="s">
        <v>0</v>
      </c>
      <c r="C92" s="5" t="s">
        <v>6</v>
      </c>
      <c r="D92" s="5" t="s">
        <v>136</v>
      </c>
      <c r="E92" s="60"/>
      <c r="F92" s="262"/>
      <c r="H92" s="224"/>
      <c r="I92" s="224"/>
      <c r="J92" s="224"/>
      <c r="K92" s="246"/>
      <c r="L92" s="246"/>
      <c r="M92" s="246"/>
      <c r="N92" s="243"/>
      <c r="O92" s="224"/>
      <c r="P92" s="224"/>
      <c r="Q92" s="224"/>
      <c r="R92" s="246"/>
    </row>
    <row r="93" spans="2:18" x14ac:dyDescent="0.35">
      <c r="B93" s="3" t="str">
        <f t="shared" ref="B93:D97" si="18">B$92</f>
        <v>Energex</v>
      </c>
      <c r="C93" s="3" t="str">
        <f t="shared" si="18"/>
        <v>Residential</v>
      </c>
      <c r="D93" s="3" t="str">
        <f t="shared" si="18"/>
        <v>without CL</v>
      </c>
      <c r="E93" s="60" t="s">
        <v>21</v>
      </c>
      <c r="F93" s="228">
        <f t="array" ref="F93">IFERROR(INDEX(Usage!$B$5:$P$18,MATCH($B93,Usage!$B$5:$B$18,0),MATCH($C93&amp;$D93&amp;$E93,Usage!$B$5:$S$5&amp;Usage!$B$6:$S$6&amp;Usage!$B$7:$S$7,0)),0)</f>
        <v>4600</v>
      </c>
      <c r="G93" s="3" t="s">
        <v>55</v>
      </c>
      <c r="H93" s="226">
        <f t="array" ref="H93">INDEX('Key inputs'!$B$16:$N$40,MATCH($B93&amp;$C93&amp;$E93,'Key inputs'!$B$16:$B$40&amp;'Key inputs'!$C$16:$C$40&amp;'Key inputs'!$D$16:$D$40,0),MATCH($G93&amp;H$4&amp;H$5,'Key inputs'!$B$17:$N$17&amp;'Key inputs'!$B$18:$N$18&amp;'Key inputs'!$B$19:$N$19,0))</f>
        <v>187.61</v>
      </c>
      <c r="I93" s="226">
        <f t="array" ref="I93">INDEX('Key inputs'!$B$16:$N$40,MATCH($B93&amp;$C93&amp;$E93,'Key inputs'!$B$16:$B$40&amp;'Key inputs'!$C$16:$C$40&amp;'Key inputs'!$D$16:$D$40,0),MATCH($G93&amp;I$4&amp;I$5,'Key inputs'!$B$17:$N$17&amp;'Key inputs'!$B$18:$N$18&amp;'Key inputs'!$B$19:$N$19,0))</f>
        <v>84.68</v>
      </c>
      <c r="J93" s="224">
        <f>H93+I93*$F93/1000</f>
        <v>577.13800000000015</v>
      </c>
      <c r="K93" s="246">
        <f>IFERROR(J93/J95,"")</f>
        <v>0.93808585870571204</v>
      </c>
      <c r="L93" s="246"/>
      <c r="M93" s="246">
        <f t="shared" ref="M93:M97" si="19">IF(OR(J93=0,J93="",Q93=""),"",Q93/J93-1)</f>
        <v>-8.0796967103188844E-2</v>
      </c>
      <c r="N93" s="243"/>
      <c r="O93" s="226">
        <f t="array" ref="O93">INDEX('Key inputs'!$B$16:$N$40,MATCH($B93&amp;$C93&amp;$E93,'Key inputs'!$B$16:$B$40&amp;'Key inputs'!$C$16:$C$40&amp;'Key inputs'!$D$16:$D$40,0),MATCH($G93&amp;O$4&amp;O$5,'Key inputs'!$B$17:$N$17&amp;'Key inputs'!$B$18:$N$18&amp;'Key inputs'!$B$19:$N$19,0))</f>
        <v>188.26700000000002</v>
      </c>
      <c r="P93" s="226">
        <f t="array" ref="P93">INDEX('Key inputs'!$B$16:$N$40,MATCH($B93&amp;$C93&amp;$E93,'Key inputs'!$B$16:$B$40&amp;'Key inputs'!$C$16:$C$40&amp;'Key inputs'!$D$16:$D$40,0),MATCH($G93&amp;P$4&amp;P$5,'Key inputs'!$B$17:$N$17&amp;'Key inputs'!$B$18:$N$18&amp;'Key inputs'!$B$19:$N$19,0))</f>
        <v>74.399999999999991</v>
      </c>
      <c r="Q93" s="224">
        <f>O93+P93*$F93/1000</f>
        <v>530.50699999999995</v>
      </c>
      <c r="R93" s="246">
        <f>IFERROR(Q93/Q95,"")</f>
        <v>0.93083324706497506</v>
      </c>
    </row>
    <row r="94" spans="2:18" x14ac:dyDescent="0.35">
      <c r="B94" s="3" t="str">
        <f t="shared" si="18"/>
        <v>Energex</v>
      </c>
      <c r="C94" s="3" t="str">
        <f t="shared" si="18"/>
        <v>Residential</v>
      </c>
      <c r="D94" s="3" t="str">
        <f t="shared" si="18"/>
        <v>without CL</v>
      </c>
      <c r="E94" s="60" t="s">
        <v>21</v>
      </c>
      <c r="F94" s="228">
        <f t="array" ref="F94">IFERROR(INDEX(Usage!$B$5:$P$18,MATCH($B94,Usage!$B$5:$B$18,0),MATCH($C94&amp;$D94&amp;$E94,Usage!$B$5:$S$5&amp;Usage!$B$6:$S$6&amp;Usage!$B$7:$S$7,0)),0)</f>
        <v>4600</v>
      </c>
      <c r="G94" s="3" t="s">
        <v>57</v>
      </c>
      <c r="H94" s="226">
        <f t="array" ref="H94">INDEX('Key inputs'!$B$16:$N$40,MATCH($B94&amp;$C94&amp;$E94,'Key inputs'!$B$16:$B$40&amp;'Key inputs'!$C$16:$C$40&amp;'Key inputs'!$D$16:$D$40,0),MATCH($G94&amp;H$4&amp;H$5,'Key inputs'!$B$17:$N$17&amp;'Key inputs'!$B$18:$N$18&amp;'Key inputs'!$B$19:$N$19,0))</f>
        <v>38.0914</v>
      </c>
      <c r="I94" s="224">
        <f>IFERROR(INDEX('Detail inputs'!$B$3:$K$193,MATCH($B94&amp;$C94&amp;$E94&amp;$G94&amp;I$5,'Detail inputs'!$B$3:$B$193&amp;'Detail inputs'!$D$3:$D$193&amp;'Detail inputs'!$F$3:$F$193&amp;'Detail inputs'!$G$3:$G$193&amp;'Detail inputs'!$H$3:$H$193,0),MATCH(I$4,'Detail inputs'!$B$3:$K$3,0)),0)</f>
        <v>0</v>
      </c>
      <c r="J94" s="224">
        <f>H94+I94*$F94/1000</f>
        <v>38.0914</v>
      </c>
      <c r="K94" s="246">
        <f>IFERROR(J94/J95,"")</f>
        <v>6.1914141294287933E-2</v>
      </c>
      <c r="L94" s="246"/>
      <c r="M94" s="246">
        <f t="shared" si="19"/>
        <v>3.4879264085856621E-2</v>
      </c>
      <c r="N94" s="243"/>
      <c r="O94" s="226">
        <f t="array" ref="O94">INDEX('Key inputs'!$B$16:$N$40,MATCH($B94&amp;$C94&amp;$E94,'Key inputs'!$B$16:$B$40&amp;'Key inputs'!$C$16:$C$40&amp;'Key inputs'!$D$16:$D$40,0),MATCH($G94&amp;O$4&amp;O$5,'Key inputs'!$B$17:$N$17&amp;'Key inputs'!$B$18:$N$18&amp;'Key inputs'!$B$19:$N$19,0))</f>
        <v>39.42</v>
      </c>
      <c r="P94" s="224">
        <f>IFERROR(INDEX('Detail inputs'!$B$3:$K$193,MATCH($B94&amp;$C94&amp;$E94&amp;$G94&amp;P$5,'Detail inputs'!$B$3:$B$193&amp;'Detail inputs'!$D$3:$D$193&amp;'Detail inputs'!$F$3:$F$193&amp;'Detail inputs'!$G$3:$G$193&amp;'Detail inputs'!$H$3:$H$193,0),MATCH(P$4,'Detail inputs'!$B$3:$K$3,0)),0)</f>
        <v>0</v>
      </c>
      <c r="Q94" s="224">
        <f>O94+P94*$F94/1000</f>
        <v>39.42</v>
      </c>
      <c r="R94" s="246">
        <f>IFERROR(Q94/Q95,"")</f>
        <v>6.9166752935025028E-2</v>
      </c>
    </row>
    <row r="95" spans="2:18" s="60" customFormat="1" x14ac:dyDescent="0.35">
      <c r="B95" s="3" t="str">
        <f t="shared" si="18"/>
        <v>Energex</v>
      </c>
      <c r="C95" s="3" t="str">
        <f t="shared" si="18"/>
        <v>Residential</v>
      </c>
      <c r="D95" s="3" t="str">
        <f t="shared" si="18"/>
        <v>without CL</v>
      </c>
      <c r="E95" s="60" t="s">
        <v>21</v>
      </c>
      <c r="F95" s="228">
        <f t="array" ref="F95">IFERROR(INDEX(Usage!$B$5:$P$18,MATCH($B95,Usage!$B$5:$B$18,0),MATCH($C95&amp;$D95&amp;$E95,Usage!$B$5:$S$5&amp;Usage!$B$6:$S$6&amp;Usage!$B$7:$S$7,0)),0)</f>
        <v>4600</v>
      </c>
      <c r="G95" s="60" t="s">
        <v>53</v>
      </c>
      <c r="H95" s="226"/>
      <c r="I95" s="226"/>
      <c r="J95" s="226">
        <f>SUM(J93:J94)</f>
        <v>615.22940000000017</v>
      </c>
      <c r="K95" s="247"/>
      <c r="L95" s="259"/>
      <c r="M95" s="246">
        <f t="shared" si="19"/>
        <v>-7.3634972580959634E-2</v>
      </c>
      <c r="N95" s="253"/>
      <c r="O95" s="226"/>
      <c r="P95" s="226"/>
      <c r="Q95" s="226">
        <f>SUM(Q93:Q94)</f>
        <v>569.92699999999991</v>
      </c>
      <c r="R95" s="247"/>
    </row>
    <row r="96" spans="2:18" outlineLevel="1" x14ac:dyDescent="0.35">
      <c r="B96" s="3" t="str">
        <f t="shared" si="18"/>
        <v>Energex</v>
      </c>
      <c r="C96" s="3" t="str">
        <f t="shared" si="18"/>
        <v>Residential</v>
      </c>
      <c r="D96" s="3" t="str">
        <f t="shared" si="18"/>
        <v>without CL</v>
      </c>
      <c r="E96" s="60"/>
      <c r="F96" s="262"/>
      <c r="G96" s="60" t="s">
        <v>35</v>
      </c>
      <c r="H96" s="226"/>
      <c r="I96" s="226"/>
      <c r="J96" s="226">
        <f>J95*GST</f>
        <v>61.52294000000002</v>
      </c>
      <c r="K96" s="247"/>
      <c r="L96" s="259"/>
      <c r="M96" s="246">
        <f t="shared" si="19"/>
        <v>-7.3634972580959634E-2</v>
      </c>
      <c r="N96" s="253"/>
      <c r="O96" s="226"/>
      <c r="P96" s="226"/>
      <c r="Q96" s="226">
        <f>Q95*GST</f>
        <v>56.992699999999992</v>
      </c>
      <c r="R96" s="247"/>
    </row>
    <row r="97" spans="2:18" x14ac:dyDescent="0.35">
      <c r="B97" s="3" t="str">
        <f t="shared" si="18"/>
        <v>Energex</v>
      </c>
      <c r="C97" s="3" t="str">
        <f t="shared" si="18"/>
        <v>Residential</v>
      </c>
      <c r="D97" s="3" t="str">
        <f t="shared" si="18"/>
        <v>without CL</v>
      </c>
      <c r="E97" s="60"/>
      <c r="F97" s="262"/>
      <c r="G97" s="5" t="s">
        <v>77</v>
      </c>
      <c r="H97" s="227"/>
      <c r="I97" s="227"/>
      <c r="J97" s="227">
        <f>SUM(J95:J96)</f>
        <v>676.75234000000023</v>
      </c>
      <c r="K97" s="248"/>
      <c r="L97" s="260"/>
      <c r="M97" s="248">
        <f t="shared" si="19"/>
        <v>-7.3634972580959634E-2</v>
      </c>
      <c r="N97" s="254"/>
      <c r="O97" s="227"/>
      <c r="P97" s="227"/>
      <c r="Q97" s="227">
        <f>SUM(Q95:Q96)</f>
        <v>626.91969999999992</v>
      </c>
      <c r="R97" s="248"/>
    </row>
    <row r="98" spans="2:18" x14ac:dyDescent="0.35">
      <c r="F98" s="228"/>
      <c r="H98" s="224"/>
      <c r="I98" s="224"/>
      <c r="J98" s="224"/>
      <c r="K98" s="246"/>
      <c r="L98" s="261"/>
      <c r="M98" s="246"/>
      <c r="N98" s="252"/>
      <c r="O98" s="224"/>
      <c r="P98" s="224"/>
      <c r="Q98" s="224"/>
      <c r="R98" s="246"/>
    </row>
    <row r="99" spans="2:18" x14ac:dyDescent="0.35">
      <c r="B99" s="5" t="s">
        <v>0</v>
      </c>
      <c r="C99" s="5" t="s">
        <v>6</v>
      </c>
      <c r="D99" s="5" t="s">
        <v>137</v>
      </c>
      <c r="E99" s="60"/>
      <c r="F99" s="262"/>
      <c r="H99" s="224"/>
      <c r="I99" s="224"/>
      <c r="J99" s="224"/>
      <c r="K99" s="246"/>
      <c r="L99" s="261"/>
      <c r="M99" s="246"/>
      <c r="N99" s="252"/>
      <c r="O99" s="224"/>
      <c r="P99" s="224"/>
      <c r="Q99" s="224"/>
      <c r="R99" s="246"/>
    </row>
    <row r="100" spans="2:18" x14ac:dyDescent="0.35">
      <c r="B100" s="3" t="str">
        <f t="shared" ref="B100:D111" si="20">B$99</f>
        <v>Energex</v>
      </c>
      <c r="C100" s="3" t="str">
        <f t="shared" si="20"/>
        <v>Residential</v>
      </c>
      <c r="D100" s="3" t="str">
        <f t="shared" si="20"/>
        <v>with CL</v>
      </c>
      <c r="E100" s="3" t="s">
        <v>21</v>
      </c>
      <c r="F100" s="228">
        <f t="array" ref="F100">IFERROR(INDEX(Usage!$B$5:$P$18,MATCH($B100,Usage!$B$5:$B$18,0),MATCH($C100&amp;$D100&amp;$E100,Usage!$B$5:$S$5&amp;Usage!$B$6:$S$6&amp;Usage!$B$7:$S$7,0)),0)</f>
        <v>4400</v>
      </c>
      <c r="G100" s="21" t="s">
        <v>55</v>
      </c>
      <c r="H100" s="226">
        <f t="array" ref="H100">INDEX('Key inputs'!$B$16:$N$40,MATCH($B100&amp;$C100&amp;$E100,'Key inputs'!$B$16:$B$40&amp;'Key inputs'!$C$16:$C$40&amp;'Key inputs'!$D$16:$D$40,0),MATCH($G100&amp;H$4&amp;H$5,'Key inputs'!$B$17:$N$17&amp;'Key inputs'!$B$18:$N$18&amp;'Key inputs'!$B$19:$N$19,0))</f>
        <v>187.61</v>
      </c>
      <c r="I100" s="226">
        <f t="array" ref="I100">INDEX('Key inputs'!$B$16:$N$40,MATCH($B100&amp;$C100&amp;$E100,'Key inputs'!$B$16:$B$40&amp;'Key inputs'!$C$16:$C$40&amp;'Key inputs'!$D$16:$D$40,0),MATCH($G100&amp;I$4&amp;I$5,'Key inputs'!$B$17:$N$17&amp;'Key inputs'!$B$18:$N$18&amp;'Key inputs'!$B$19:$N$19,0))</f>
        <v>84.68</v>
      </c>
      <c r="J100" s="224">
        <f>H100+I100*$F100/1000</f>
        <v>560.202</v>
      </c>
      <c r="K100" s="246">
        <f>IFERROR(J100/J102,"")</f>
        <v>0.93633324385660943</v>
      </c>
      <c r="L100" s="246"/>
      <c r="M100" s="246">
        <f t="shared" ref="M100:M111" si="21">IF(OR(J100=0,J100="",Q100=""),"",Q100/J100-1)</f>
        <v>-7.9569512425875066E-2</v>
      </c>
      <c r="N100" s="243"/>
      <c r="O100" s="226">
        <f t="array" ref="O100">INDEX('Key inputs'!$B$16:$N$40,MATCH($B100&amp;$C100&amp;$E100,'Key inputs'!$B$16:$B$40&amp;'Key inputs'!$C$16:$C$40&amp;'Key inputs'!$D$16:$D$40,0),MATCH($G100&amp;O$4&amp;O$5,'Key inputs'!$B$17:$N$17&amp;'Key inputs'!$B$18:$N$18&amp;'Key inputs'!$B$19:$N$19,0))</f>
        <v>188.26700000000002</v>
      </c>
      <c r="P100" s="226">
        <f t="array" ref="P100">INDEX('Key inputs'!$B$16:$N$40,MATCH($B100&amp;$C100&amp;$E100,'Key inputs'!$B$16:$B$40&amp;'Key inputs'!$C$16:$C$40&amp;'Key inputs'!$D$16:$D$40,0),MATCH($G100&amp;P$4&amp;P$5,'Key inputs'!$B$17:$N$17&amp;'Key inputs'!$B$18:$N$18&amp;'Key inputs'!$B$19:$N$19,0))</f>
        <v>74.399999999999991</v>
      </c>
      <c r="Q100" s="224">
        <f>O100+P100*$F100/1000</f>
        <v>515.62699999999995</v>
      </c>
      <c r="R100" s="246">
        <f>IFERROR(Q100/Q102,"")</f>
        <v>0.92897898736503404</v>
      </c>
    </row>
    <row r="101" spans="2:18" x14ac:dyDescent="0.35">
      <c r="B101" s="3" t="str">
        <f t="shared" si="20"/>
        <v>Energex</v>
      </c>
      <c r="C101" s="3" t="str">
        <f t="shared" si="20"/>
        <v>Residential</v>
      </c>
      <c r="D101" s="3" t="str">
        <f t="shared" si="20"/>
        <v>with CL</v>
      </c>
      <c r="E101" s="3" t="s">
        <v>21</v>
      </c>
      <c r="F101" s="228">
        <f t="array" ref="F101">IFERROR(INDEX(Usage!$B$5:$P$18,MATCH($B101,Usage!$B$5:$B$18,0),MATCH($C101&amp;$D101&amp;$E101,Usage!$B$5:$S$5&amp;Usage!$B$6:$S$6&amp;Usage!$B$7:$S$7,0)),0)</f>
        <v>4400</v>
      </c>
      <c r="G101" s="21" t="s">
        <v>57</v>
      </c>
      <c r="H101" s="226">
        <f t="array" ref="H101">INDEX('Key inputs'!$B$16:$N$40,MATCH($B101&amp;$C101&amp;$E101,'Key inputs'!$B$16:$B$40&amp;'Key inputs'!$C$16:$C$40&amp;'Key inputs'!$D$16:$D$40,0),MATCH($G101&amp;H$4&amp;H$5,'Key inputs'!$B$17:$N$17&amp;'Key inputs'!$B$18:$N$18&amp;'Key inputs'!$B$19:$N$19,0))</f>
        <v>38.0914</v>
      </c>
      <c r="I101" s="224">
        <f>IFERROR(INDEX('Detail inputs'!$B$3:$K$193,MATCH($B101&amp;$C101&amp;$E101&amp;$G101&amp;I$5,'Detail inputs'!$B$3:$B$193&amp;'Detail inputs'!$D$3:$D$193&amp;'Detail inputs'!$F$3:$F$193&amp;'Detail inputs'!$G$3:$G$193&amp;'Detail inputs'!$H$3:$H$193,0),MATCH(I$4,'Detail inputs'!$B$3:$K$3,0)),0)</f>
        <v>0</v>
      </c>
      <c r="J101" s="224">
        <f>H101+I101*$F101/1000</f>
        <v>38.0914</v>
      </c>
      <c r="K101" s="246">
        <f>IFERROR(J101/J102,"")</f>
        <v>6.3666756143390513E-2</v>
      </c>
      <c r="L101" s="246"/>
      <c r="M101" s="246">
        <f t="shared" si="21"/>
        <v>3.4879264085856621E-2</v>
      </c>
      <c r="N101" s="243"/>
      <c r="O101" s="226">
        <f t="array" ref="O101">INDEX('Key inputs'!$B$16:$N$40,MATCH($B101&amp;$C101&amp;$E101,'Key inputs'!$B$16:$B$40&amp;'Key inputs'!$C$16:$C$40&amp;'Key inputs'!$D$16:$D$40,0),MATCH($G101&amp;O$4&amp;O$5,'Key inputs'!$B$17:$N$17&amp;'Key inputs'!$B$18:$N$18&amp;'Key inputs'!$B$19:$N$19,0))</f>
        <v>39.42</v>
      </c>
      <c r="P101" s="224">
        <f>IFERROR(INDEX('Detail inputs'!$B$3:$K$193,MATCH($B101&amp;$C101&amp;$E101&amp;$G101&amp;P$5,'Detail inputs'!$B$3:$B$193&amp;'Detail inputs'!$D$3:$D$193&amp;'Detail inputs'!$F$3:$F$193&amp;'Detail inputs'!$G$3:$G$193&amp;'Detail inputs'!$H$3:$H$193,0),MATCH(P$4,'Detail inputs'!$B$3:$K$3,0)),0)</f>
        <v>0</v>
      </c>
      <c r="Q101" s="224">
        <f>O101+P101*$F101/1000</f>
        <v>39.42</v>
      </c>
      <c r="R101" s="246">
        <f>IFERROR(Q101/Q102,"")</f>
        <v>7.102101263496606E-2</v>
      </c>
    </row>
    <row r="102" spans="2:18" x14ac:dyDescent="0.35">
      <c r="B102" s="3" t="str">
        <f t="shared" si="20"/>
        <v>Energex</v>
      </c>
      <c r="C102" s="3" t="str">
        <f t="shared" si="20"/>
        <v>Residential</v>
      </c>
      <c r="D102" s="3" t="str">
        <f t="shared" si="20"/>
        <v>with CL</v>
      </c>
      <c r="E102" s="3" t="s">
        <v>21</v>
      </c>
      <c r="F102" s="228">
        <f t="array" ref="F102">IFERROR(INDEX(Usage!$B$5:$P$18,MATCH($B102,Usage!$B$5:$B$18,0),MATCH($C102&amp;$D102&amp;$E102,Usage!$B$5:$S$5&amp;Usage!$B$6:$S$6&amp;Usage!$B$7:$S$7,0)),0)</f>
        <v>4400</v>
      </c>
      <c r="G102" s="3" t="s">
        <v>53</v>
      </c>
      <c r="H102" s="224"/>
      <c r="I102" s="224"/>
      <c r="J102" s="226">
        <f>SUM(J100:J101)</f>
        <v>598.29340000000002</v>
      </c>
      <c r="K102" s="246"/>
      <c r="L102" s="261"/>
      <c r="M102" s="246">
        <f t="shared" si="21"/>
        <v>-7.2282930080793339E-2</v>
      </c>
      <c r="N102" s="253"/>
      <c r="O102" s="226"/>
      <c r="P102" s="226"/>
      <c r="Q102" s="226">
        <f>SUM(Q100:Q101)</f>
        <v>555.04699999999991</v>
      </c>
      <c r="R102" s="246"/>
    </row>
    <row r="103" spans="2:18" x14ac:dyDescent="0.35">
      <c r="B103" s="3" t="str">
        <f t="shared" si="20"/>
        <v>Energex</v>
      </c>
      <c r="C103" s="3" t="str">
        <f t="shared" si="20"/>
        <v>Residential</v>
      </c>
      <c r="D103" s="3" t="str">
        <f t="shared" si="20"/>
        <v>with CL</v>
      </c>
      <c r="E103" s="3" t="s">
        <v>15</v>
      </c>
      <c r="F103" s="228">
        <f t="array" ref="F103">IFERROR(INDEX(Usage!$B$5:$P$18,MATCH($B103,Usage!$B$5:$B$18,0),MATCH($C103&amp;$D103&amp;$E103,Usage!$B$5:$S$5&amp;Usage!$B$6:$S$6&amp;Usage!$B$7:$S$7,0)),0)</f>
        <v>551</v>
      </c>
      <c r="G103" s="21" t="s">
        <v>55</v>
      </c>
      <c r="H103" s="226">
        <f t="array" ref="H103">INDEX('Key inputs'!$B$16:$N$40,MATCH($B103&amp;$C103&amp;$E103,'Key inputs'!$B$16:$B$40&amp;'Key inputs'!$C$16:$C$40&amp;'Key inputs'!$D$16:$D$40,0),MATCH($G103&amp;H$4&amp;H$5,'Key inputs'!$B$17:$N$17&amp;'Key inputs'!$B$18:$N$18&amp;'Key inputs'!$B$19:$N$19,0))</f>
        <v>0</v>
      </c>
      <c r="I103" s="226">
        <f t="array" ref="I103">INDEX('Key inputs'!$B$16:$N$40,MATCH($B103&amp;$C103&amp;$E103,'Key inputs'!$B$16:$B$40&amp;'Key inputs'!$C$16:$C$40&amp;'Key inputs'!$D$16:$D$40,0),MATCH($G103&amp;I$4&amp;I$5,'Key inputs'!$B$17:$N$17&amp;'Key inputs'!$B$18:$N$18&amp;'Key inputs'!$B$19:$N$19,0))</f>
        <v>39.199999999999996</v>
      </c>
      <c r="J103" s="224">
        <f>H103*INDEX(Usage!$B$4:$M$18,MATCH($B103,Usage!$B$4:$B$18,0),MATCH(IF($E103="CL1","CL1 Proportion","CL2 Proportion"),Usage!$B$8:$M$8,0))+I103*$F103/1000</f>
        <v>21.599199999999996</v>
      </c>
      <c r="K103" s="246">
        <f>IFERROR(J103/J105,"")</f>
        <v>0.87030035762006497</v>
      </c>
      <c r="L103" s="246"/>
      <c r="M103" s="246">
        <f t="shared" si="21"/>
        <v>-0.14030612244897944</v>
      </c>
      <c r="N103" s="243"/>
      <c r="O103" s="226">
        <f t="array" ref="O103">INDEX('Key inputs'!$B$16:$N$40,MATCH($B103&amp;$C103&amp;$E103,'Key inputs'!$B$16:$B$40&amp;'Key inputs'!$C$16:$C$40&amp;'Key inputs'!$D$16:$D$40,0),MATCH($G103&amp;O$4&amp;O$5,'Key inputs'!$B$17:$N$17&amp;'Key inputs'!$B$18:$N$18&amp;'Key inputs'!$B$19:$N$19,0))</f>
        <v>0</v>
      </c>
      <c r="P103" s="226">
        <f t="array" ref="P103">INDEX('Key inputs'!$B$16:$N$40,MATCH($B103&amp;$C103&amp;$E103,'Key inputs'!$B$16:$B$40&amp;'Key inputs'!$C$16:$C$40&amp;'Key inputs'!$D$16:$D$40,0),MATCH($G103&amp;P$4&amp;P$5,'Key inputs'!$B$17:$N$17&amp;'Key inputs'!$B$18:$N$18&amp;'Key inputs'!$B$19:$N$19,0))</f>
        <v>33.700000000000003</v>
      </c>
      <c r="Q103" s="224">
        <f>O103*INDEX(Usage!$B$4:$M$18,MATCH($B103,Usage!$B$4:$B$18,0),MATCH(IF($E103="CL1","CL1 Proportion","CL2 Proportion"),Usage!$B$8:$M$8,0))+P103*$F103/1000</f>
        <v>18.5687</v>
      </c>
      <c r="R103" s="246">
        <f>IFERROR(Q103/Q105,"")</f>
        <v>0.84785487288135586</v>
      </c>
    </row>
    <row r="104" spans="2:18" x14ac:dyDescent="0.35">
      <c r="B104" s="3" t="str">
        <f t="shared" si="20"/>
        <v>Energex</v>
      </c>
      <c r="C104" s="3" t="str">
        <f t="shared" si="20"/>
        <v>Residential</v>
      </c>
      <c r="D104" s="3" t="str">
        <f t="shared" si="20"/>
        <v>with CL</v>
      </c>
      <c r="E104" s="3" t="s">
        <v>15</v>
      </c>
      <c r="F104" s="228">
        <f t="array" ref="F104">IFERROR(INDEX(Usage!$B$5:$P$18,MATCH($B104,Usage!$B$5:$B$18,0),MATCH($C104&amp;$D104&amp;$E104,Usage!$B$5:$S$5&amp;Usage!$B$6:$S$6&amp;Usage!$B$7:$S$7,0)),0)</f>
        <v>551</v>
      </c>
      <c r="G104" s="21" t="s">
        <v>57</v>
      </c>
      <c r="H104" s="226">
        <f t="array" ref="H104">INDEX('Key inputs'!$B$16:$N$40,MATCH($B104&amp;$C104&amp;$E104,'Key inputs'!$B$16:$B$40&amp;'Key inputs'!$C$16:$C$40&amp;'Key inputs'!$D$16:$D$40,0),MATCH($G104&amp;H$4&amp;H$5,'Key inputs'!$B$17:$N$17&amp;'Key inputs'!$B$18:$N$18&amp;'Key inputs'!$B$19:$N$19,0))</f>
        <v>11.09965</v>
      </c>
      <c r="I104" s="224">
        <f>IFERROR(INDEX('Detail inputs'!$B$3:$K$193,MATCH($B104&amp;$C104&amp;$E104&amp;$G104&amp;I$5,'Detail inputs'!$B$3:$B$193&amp;'Detail inputs'!$D$3:$D$193&amp;'Detail inputs'!$F$3:$F$193&amp;'Detail inputs'!$G$3:$G$193&amp;'Detail inputs'!$H$3:$H$193,0),MATCH(I$4,'Detail inputs'!$B$3:$K$3,0)),0)</f>
        <v>0</v>
      </c>
      <c r="J104" s="224">
        <f>H104*INDEX(Usage!$B$4:$M$18,MATCH($B104,Usage!$B$4:$B$18,0),MATCH(IF($E104="CL1","CL1 Proportion","CL2 Proportion"),Usage!$B$8:$M$8,0))+I104*$F104/1000</f>
        <v>3.2188984999999999</v>
      </c>
      <c r="K104" s="246">
        <f>IFERROR(J104/J105,"")</f>
        <v>0.12969964237993495</v>
      </c>
      <c r="L104" s="246"/>
      <c r="M104" s="246">
        <f t="shared" si="21"/>
        <v>3.5167775560490666E-2</v>
      </c>
      <c r="N104" s="243"/>
      <c r="O104" s="226">
        <f t="array" ref="O104">INDEX('Key inputs'!$B$16:$N$40,MATCH($B104&amp;$C104&amp;$E104,'Key inputs'!$B$16:$B$40&amp;'Key inputs'!$C$16:$C$40&amp;'Key inputs'!$D$16:$D$40,0),MATCH($G104&amp;O$4&amp;O$5,'Key inputs'!$B$17:$N$17&amp;'Key inputs'!$B$18:$N$18&amp;'Key inputs'!$B$19:$N$19,0))</f>
        <v>11.49</v>
      </c>
      <c r="P104" s="224">
        <f>IFERROR(INDEX('Detail inputs'!$B$3:$K$193,MATCH($B104&amp;$C104&amp;$E104&amp;$G104&amp;P$5,'Detail inputs'!$B$3:$B$193&amp;'Detail inputs'!$D$3:$D$193&amp;'Detail inputs'!$F$3:$F$193&amp;'Detail inputs'!$G$3:$G$193&amp;'Detail inputs'!$H$3:$H$193,0),MATCH(P$4,'Detail inputs'!$B$3:$K$3,0)),0)</f>
        <v>0</v>
      </c>
      <c r="Q104" s="224">
        <f>O104*INDEX(Usage!$B$4:$M$18,MATCH($B104,Usage!$B$4:$B$18,0),MATCH(IF($E104="CL1","CL1 Proportion","CL2 Proportion"),Usage!$B$8:$M$8,0))+P104*$F104/1000</f>
        <v>3.3320999999999996</v>
      </c>
      <c r="R104" s="246">
        <f>IFERROR(Q104/Q105,"")</f>
        <v>0.15214512711864406</v>
      </c>
    </row>
    <row r="105" spans="2:18" x14ac:dyDescent="0.35">
      <c r="B105" s="3" t="str">
        <f t="shared" si="20"/>
        <v>Energex</v>
      </c>
      <c r="C105" s="3" t="str">
        <f t="shared" si="20"/>
        <v>Residential</v>
      </c>
      <c r="D105" s="3" t="str">
        <f t="shared" si="20"/>
        <v>with CL</v>
      </c>
      <c r="E105" s="3" t="s">
        <v>15</v>
      </c>
      <c r="F105" s="228">
        <f t="array" ref="F105">IFERROR(INDEX(Usage!$B$5:$P$18,MATCH($B105,Usage!$B$5:$B$18,0),MATCH($C105&amp;$D105&amp;$E105,Usage!$B$5:$S$5&amp;Usage!$B$6:$S$6&amp;Usage!$B$7:$S$7,0)),0)</f>
        <v>551</v>
      </c>
      <c r="G105" s="3" t="s">
        <v>53</v>
      </c>
      <c r="H105" s="224"/>
      <c r="I105" s="224"/>
      <c r="J105" s="226">
        <f>SUM(J103:J104)</f>
        <v>24.818098499999998</v>
      </c>
      <c r="K105" s="246"/>
      <c r="L105" s="261"/>
      <c r="M105" s="246">
        <f t="shared" si="21"/>
        <v>-0.11754722063013801</v>
      </c>
      <c r="N105" s="253"/>
      <c r="O105" s="226"/>
      <c r="P105" s="226"/>
      <c r="Q105" s="226">
        <f>SUM(Q103:Q104)</f>
        <v>21.9008</v>
      </c>
      <c r="R105" s="246"/>
    </row>
    <row r="106" spans="2:18" x14ac:dyDescent="0.35">
      <c r="B106" s="3" t="str">
        <f t="shared" si="20"/>
        <v>Energex</v>
      </c>
      <c r="C106" s="3" t="str">
        <f t="shared" si="20"/>
        <v>Residential</v>
      </c>
      <c r="D106" s="3" t="str">
        <f t="shared" si="20"/>
        <v>with CL</v>
      </c>
      <c r="E106" s="3" t="s">
        <v>16</v>
      </c>
      <c r="F106" s="228">
        <f t="array" ref="F106">IFERROR(INDEX(Usage!$B$5:$P$18,MATCH($B106,Usage!$B$5:$B$18,0),MATCH($C106&amp;$D106&amp;$E106,Usage!$B$5:$S$5&amp;Usage!$B$6:$S$6&amp;Usage!$B$7:$S$7,0)),0)</f>
        <v>1349</v>
      </c>
      <c r="G106" s="21" t="s">
        <v>55</v>
      </c>
      <c r="H106" s="226">
        <f t="array" ref="H106">INDEX('Key inputs'!$B$16:$N$40,MATCH($B106&amp;$C106&amp;$E106,'Key inputs'!$B$16:$B$40&amp;'Key inputs'!$C$16:$C$40&amp;'Key inputs'!$D$16:$D$40,0),MATCH($G106&amp;H$4&amp;H$5,'Key inputs'!$B$17:$N$17&amp;'Key inputs'!$B$18:$N$18&amp;'Key inputs'!$B$19:$N$19,0))</f>
        <v>0</v>
      </c>
      <c r="I106" s="226">
        <f t="array" ref="I106">INDEX('Key inputs'!$B$16:$N$40,MATCH($B106&amp;$C106&amp;$E106,'Key inputs'!$B$16:$B$40&amp;'Key inputs'!$C$16:$C$40&amp;'Key inputs'!$D$16:$D$40,0),MATCH($G106&amp;I$4&amp;I$5,'Key inputs'!$B$17:$N$17&amp;'Key inputs'!$B$18:$N$18&amp;'Key inputs'!$B$19:$N$19,0))</f>
        <v>49.2</v>
      </c>
      <c r="J106" s="224">
        <f>H106*INDEX(Usage!$B$4:$M$18,MATCH($B106,Usage!$B$4:$B$18,0),MATCH(IF($E106="CL1","CL1 Proportion","CL2 Proportion"),Usage!$B$8:$M$8,0))+I106*$F106/1000</f>
        <v>66.370800000000003</v>
      </c>
      <c r="K106" s="246">
        <f>IFERROR(J106/J108,"")</f>
        <v>0.89386415043462086</v>
      </c>
      <c r="L106" s="246"/>
      <c r="M106" s="246">
        <f t="shared" si="21"/>
        <v>-0.11178861788617889</v>
      </c>
      <c r="N106" s="243"/>
      <c r="O106" s="226">
        <f t="array" ref="O106">INDEX('Key inputs'!$B$16:$N$40,MATCH($B106&amp;$C106&amp;$E106,'Key inputs'!$B$16:$B$40&amp;'Key inputs'!$C$16:$C$40&amp;'Key inputs'!$D$16:$D$40,0),MATCH($G106&amp;O$4&amp;O$5,'Key inputs'!$B$17:$N$17&amp;'Key inputs'!$B$18:$N$18&amp;'Key inputs'!$B$19:$N$19,0))</f>
        <v>0</v>
      </c>
      <c r="P106" s="226">
        <f t="array" ref="P106">INDEX('Key inputs'!$B$16:$N$40,MATCH($B106&amp;$C106&amp;$E106,'Key inputs'!$B$16:$B$40&amp;'Key inputs'!$C$16:$C$40&amp;'Key inputs'!$D$16:$D$40,0),MATCH($G106&amp;P$4&amp;P$5,'Key inputs'!$B$17:$N$17&amp;'Key inputs'!$B$18:$N$18&amp;'Key inputs'!$B$19:$N$19,0))</f>
        <v>43.7</v>
      </c>
      <c r="Q106" s="224">
        <f>O106*INDEX(Usage!$B$4:$M$18,MATCH($B106,Usage!$B$4:$B$18,0),MATCH(IF($E106="CL1","CL1 Proportion","CL2 Proportion"),Usage!$B$8:$M$8,0))+P106*$F106/1000</f>
        <v>58.951300000000003</v>
      </c>
      <c r="R106" s="246">
        <f>IFERROR(Q106/Q108,"")</f>
        <v>0.8784384257300043</v>
      </c>
    </row>
    <row r="107" spans="2:18" x14ac:dyDescent="0.35">
      <c r="B107" s="3" t="str">
        <f t="shared" si="20"/>
        <v>Energex</v>
      </c>
      <c r="C107" s="3" t="str">
        <f t="shared" si="20"/>
        <v>Residential</v>
      </c>
      <c r="D107" s="3" t="str">
        <f t="shared" si="20"/>
        <v>with CL</v>
      </c>
      <c r="E107" s="3" t="s">
        <v>16</v>
      </c>
      <c r="F107" s="228">
        <f t="array" ref="F107">IFERROR(INDEX(Usage!$B$5:$P$18,MATCH($B107,Usage!$B$5:$B$18,0),MATCH($C107&amp;$D107&amp;$E107,Usage!$B$5:$S$5&amp;Usage!$B$6:$S$6&amp;Usage!$B$7:$S$7,0)),0)</f>
        <v>1349</v>
      </c>
      <c r="G107" s="21" t="s">
        <v>57</v>
      </c>
      <c r="H107" s="226">
        <f t="array" ref="H107">INDEX('Key inputs'!$B$16:$N$40,MATCH($B107&amp;$C107&amp;$E107,'Key inputs'!$B$16:$B$40&amp;'Key inputs'!$C$16:$C$40&amp;'Key inputs'!$D$16:$D$40,0),MATCH($G107&amp;H$4&amp;H$5,'Key inputs'!$B$17:$N$17&amp;'Key inputs'!$B$18:$N$18&amp;'Key inputs'!$B$19:$N$19,0))</f>
        <v>11.09965</v>
      </c>
      <c r="I107" s="224">
        <f>IFERROR(INDEX('Detail inputs'!$B$3:$K$193,MATCH($B107&amp;$C107&amp;$E107&amp;$G107&amp;I$5,'Detail inputs'!$B$3:$B$193&amp;'Detail inputs'!$D$3:$D$193&amp;'Detail inputs'!$F$3:$F$193&amp;'Detail inputs'!$G$3:$G$193&amp;'Detail inputs'!$H$3:$H$193,0),MATCH(I$4,'Detail inputs'!$B$3:$K$3,0)),0)</f>
        <v>0</v>
      </c>
      <c r="J107" s="224">
        <f>H107*INDEX(Usage!$B$4:$M$18,MATCH($B107,Usage!$B$4:$B$18,0),MATCH(IF($E107="CL1","CL1 Proportion","CL2 Proportion"),Usage!$B$8:$M$8,0))+I107*$F107/1000</f>
        <v>7.8807514999999997</v>
      </c>
      <c r="K107" s="246">
        <f>IFERROR(J107/J108,"")</f>
        <v>0.10613584956537911</v>
      </c>
      <c r="L107" s="246"/>
      <c r="M107" s="246">
        <f t="shared" si="21"/>
        <v>3.5167775560490666E-2</v>
      </c>
      <c r="N107" s="243"/>
      <c r="O107" s="226">
        <f t="array" ref="O107">INDEX('Key inputs'!$B$16:$N$40,MATCH($B107&amp;$C107&amp;$E107,'Key inputs'!$B$16:$B$40&amp;'Key inputs'!$C$16:$C$40&amp;'Key inputs'!$D$16:$D$40,0),MATCH($G107&amp;O$4&amp;O$5,'Key inputs'!$B$17:$N$17&amp;'Key inputs'!$B$18:$N$18&amp;'Key inputs'!$B$19:$N$19,0))</f>
        <v>11.49</v>
      </c>
      <c r="P107" s="224">
        <f>IFERROR(INDEX('Detail inputs'!$B$3:$K$193,MATCH($B107&amp;$C107&amp;$E107&amp;$G107&amp;P$5,'Detail inputs'!$B$3:$B$193&amp;'Detail inputs'!$D$3:$D$193&amp;'Detail inputs'!$F$3:$F$193&amp;'Detail inputs'!$G$3:$G$193&amp;'Detail inputs'!$H$3:$H$193,0),MATCH(P$4,'Detail inputs'!$B$3:$K$3,0)),0)</f>
        <v>0</v>
      </c>
      <c r="Q107" s="224">
        <f>O107*INDEX(Usage!$B$4:$M$18,MATCH($B107,Usage!$B$4:$B$18,0),MATCH(IF($E107="CL1","CL1 Proportion","CL2 Proportion"),Usage!$B$8:$M$8,0))+P107*$F107/1000</f>
        <v>8.1578999999999997</v>
      </c>
      <c r="R107" s="246">
        <f>IFERROR(Q107/Q108,"")</f>
        <v>0.12156157426999577</v>
      </c>
    </row>
    <row r="108" spans="2:18" x14ac:dyDescent="0.35">
      <c r="B108" s="3" t="str">
        <f t="shared" si="20"/>
        <v>Energex</v>
      </c>
      <c r="C108" s="3" t="str">
        <f t="shared" si="20"/>
        <v>Residential</v>
      </c>
      <c r="D108" s="3" t="str">
        <f t="shared" si="20"/>
        <v>with CL</v>
      </c>
      <c r="E108" s="3" t="s">
        <v>16</v>
      </c>
      <c r="F108" s="228">
        <f t="array" ref="F108">IFERROR(INDEX(Usage!$B$5:$P$18,MATCH($B108,Usage!$B$5:$B$18,0),MATCH($C108&amp;$D108&amp;$E108,Usage!$B$5:$S$5&amp;Usage!$B$6:$S$6&amp;Usage!$B$7:$S$7,0)),0)</f>
        <v>1349</v>
      </c>
      <c r="G108" s="3" t="s">
        <v>53</v>
      </c>
      <c r="H108" s="224"/>
      <c r="I108" s="224"/>
      <c r="J108" s="226">
        <f>SUM(J106:J107)</f>
        <v>74.251551500000005</v>
      </c>
      <c r="K108" s="246"/>
      <c r="L108" s="261"/>
      <c r="M108" s="246">
        <f t="shared" si="21"/>
        <v>-9.6191276218652533E-2</v>
      </c>
      <c r="N108" s="253"/>
      <c r="O108" s="226"/>
      <c r="P108" s="226"/>
      <c r="Q108" s="226">
        <f>SUM(Q106:Q107)</f>
        <v>67.109200000000001</v>
      </c>
      <c r="R108" s="246"/>
    </row>
    <row r="109" spans="2:18" s="60" customFormat="1" x14ac:dyDescent="0.35">
      <c r="B109" s="3" t="str">
        <f t="shared" si="20"/>
        <v>Energex</v>
      </c>
      <c r="C109" s="3" t="str">
        <f t="shared" si="20"/>
        <v>Residential</v>
      </c>
      <c r="D109" s="3" t="str">
        <f t="shared" si="20"/>
        <v>with CL</v>
      </c>
      <c r="E109" s="60" t="s">
        <v>53</v>
      </c>
      <c r="F109" s="228">
        <f t="array" ref="F109">IFERROR(INDEX(Usage!$B$5:$P$18,MATCH($B109,Usage!$B$5:$B$18,0),MATCH($C109&amp;$D109&amp;$E109,Usage!$B$5:$S$5&amp;Usage!$B$6:$S$6&amp;Usage!$B$7:$S$7,0)),0)</f>
        <v>6300</v>
      </c>
      <c r="G109" s="60" t="s">
        <v>53</v>
      </c>
      <c r="H109" s="226"/>
      <c r="I109" s="226"/>
      <c r="J109" s="226">
        <f>SUM(J102,J105,J108)</f>
        <v>697.36305000000004</v>
      </c>
      <c r="K109" s="247"/>
      <c r="L109" s="259"/>
      <c r="M109" s="246">
        <f t="shared" si="21"/>
        <v>-7.6439452878956149E-2</v>
      </c>
      <c r="N109" s="253"/>
      <c r="O109" s="226"/>
      <c r="P109" s="226"/>
      <c r="Q109" s="226">
        <f>SUM(Q102,Q105,Q108)</f>
        <v>644.0569999999999</v>
      </c>
      <c r="R109" s="247"/>
    </row>
    <row r="110" spans="2:18" outlineLevel="1" x14ac:dyDescent="0.35">
      <c r="B110" s="3" t="str">
        <f t="shared" si="20"/>
        <v>Energex</v>
      </c>
      <c r="C110" s="3" t="str">
        <f t="shared" si="20"/>
        <v>Residential</v>
      </c>
      <c r="D110" s="3" t="str">
        <f t="shared" si="20"/>
        <v>with CL</v>
      </c>
      <c r="E110" s="60"/>
      <c r="F110" s="262"/>
      <c r="G110" s="60" t="s">
        <v>35</v>
      </c>
      <c r="H110" s="226"/>
      <c r="I110" s="226"/>
      <c r="J110" s="226">
        <f>J109*GST</f>
        <v>69.736305000000002</v>
      </c>
      <c r="K110" s="247"/>
      <c r="L110" s="259"/>
      <c r="M110" s="246">
        <f t="shared" si="21"/>
        <v>-7.6439452878956038E-2</v>
      </c>
      <c r="N110" s="253"/>
      <c r="O110" s="226"/>
      <c r="P110" s="226"/>
      <c r="Q110" s="226">
        <f>Q109*GST</f>
        <v>64.405699999999996</v>
      </c>
      <c r="R110" s="247"/>
    </row>
    <row r="111" spans="2:18" x14ac:dyDescent="0.35">
      <c r="B111" s="3" t="str">
        <f t="shared" si="20"/>
        <v>Energex</v>
      </c>
      <c r="C111" s="3" t="str">
        <f t="shared" si="20"/>
        <v>Residential</v>
      </c>
      <c r="D111" s="3" t="str">
        <f t="shared" si="20"/>
        <v>with CL</v>
      </c>
      <c r="E111" s="60"/>
      <c r="F111" s="262"/>
      <c r="G111" s="5" t="s">
        <v>77</v>
      </c>
      <c r="H111" s="227"/>
      <c r="I111" s="227"/>
      <c r="J111" s="227">
        <f>SUM(J109:J110)</f>
        <v>767.09935500000006</v>
      </c>
      <c r="K111" s="248"/>
      <c r="L111" s="260"/>
      <c r="M111" s="248">
        <f t="shared" si="21"/>
        <v>-7.6439452878956149E-2</v>
      </c>
      <c r="N111" s="254"/>
      <c r="O111" s="227"/>
      <c r="P111" s="227"/>
      <c r="Q111" s="227">
        <f>SUM(Q109:Q110)</f>
        <v>708.46269999999993</v>
      </c>
      <c r="R111" s="248"/>
    </row>
    <row r="112" spans="2:18" x14ac:dyDescent="0.35">
      <c r="F112" s="228"/>
      <c r="H112" s="224"/>
      <c r="I112" s="224"/>
      <c r="J112" s="224"/>
      <c r="K112" s="246"/>
      <c r="L112" s="261"/>
      <c r="M112" s="246"/>
      <c r="N112" s="252"/>
      <c r="O112" s="224"/>
      <c r="P112" s="224"/>
      <c r="Q112" s="224"/>
      <c r="R112" s="246"/>
    </row>
    <row r="113" spans="2:18" x14ac:dyDescent="0.35">
      <c r="B113" s="5" t="s">
        <v>0</v>
      </c>
      <c r="C113" s="5" t="s">
        <v>14</v>
      </c>
      <c r="D113" s="5" t="s">
        <v>136</v>
      </c>
      <c r="E113" s="5"/>
      <c r="F113" s="263"/>
      <c r="H113" s="224"/>
      <c r="I113" s="224"/>
      <c r="J113" s="224"/>
      <c r="K113" s="246"/>
      <c r="L113" s="261"/>
      <c r="M113" s="246"/>
      <c r="N113" s="252"/>
      <c r="O113" s="224"/>
      <c r="P113" s="224"/>
      <c r="Q113" s="224"/>
      <c r="R113" s="246"/>
    </row>
    <row r="114" spans="2:18" x14ac:dyDescent="0.35">
      <c r="B114" s="3" t="str">
        <f t="shared" ref="B114:D118" si="22">B$113</f>
        <v>Energex</v>
      </c>
      <c r="C114" s="3" t="str">
        <f t="shared" si="22"/>
        <v>Small business</v>
      </c>
      <c r="D114" s="3" t="str">
        <f t="shared" si="22"/>
        <v>without CL</v>
      </c>
      <c r="E114" s="3" t="s">
        <v>21</v>
      </c>
      <c r="F114" s="228">
        <f t="array" ref="F114">IFERROR(INDEX(Usage!$B$5:$P$18,MATCH($B114,Usage!$B$5:$B$18,0),MATCH($C114&amp;$D114&amp;$E114,Usage!$B$5:$S$5&amp;Usage!$B$6:$S$6&amp;Usage!$B$7:$S$7,0)),0)</f>
        <v>10000</v>
      </c>
      <c r="G114" s="3" t="s">
        <v>55</v>
      </c>
      <c r="H114" s="226"/>
      <c r="I114" s="226"/>
      <c r="J114" s="224"/>
      <c r="K114" s="246"/>
      <c r="L114" s="246"/>
      <c r="M114" s="246"/>
      <c r="N114" s="243"/>
      <c r="O114" s="226">
        <f t="array" ref="O114">INDEX('Key inputs'!$B$16:$N$40,MATCH($B114&amp;$C114&amp;$E114,'Key inputs'!$B$16:$B$40&amp;'Key inputs'!$C$16:$C$40&amp;'Key inputs'!$D$16:$D$40,0),MATCH($G114&amp;O$4&amp;O$5,'Key inputs'!$B$17:$N$17&amp;'Key inputs'!$B$18:$N$18&amp;'Key inputs'!$B$19:$N$19,0))</f>
        <v>251.923</v>
      </c>
      <c r="P114" s="226">
        <f t="array" ref="P114">INDEX('Key inputs'!$B$16:$N$40,MATCH($B114&amp;$C114&amp;$E114,'Key inputs'!$B$16:$B$40&amp;'Key inputs'!$C$16:$C$40&amp;'Key inputs'!$D$16:$D$40,0),MATCH($G114&amp;P$4&amp;P$5,'Key inputs'!$B$17:$N$17&amp;'Key inputs'!$B$18:$N$18&amp;'Key inputs'!$B$19:$N$19,0))</f>
        <v>81.8</v>
      </c>
      <c r="Q114" s="224">
        <f>O114+P114*$F114/1000</f>
        <v>1069.923</v>
      </c>
      <c r="R114" s="246">
        <f>IFERROR(Q114/Q116,"")</f>
        <v>0.96446545387675398</v>
      </c>
    </row>
    <row r="115" spans="2:18" x14ac:dyDescent="0.35">
      <c r="B115" s="3" t="str">
        <f t="shared" si="22"/>
        <v>Energex</v>
      </c>
      <c r="C115" s="3" t="str">
        <f t="shared" si="22"/>
        <v>Small business</v>
      </c>
      <c r="D115" s="3" t="str">
        <f t="shared" si="22"/>
        <v>without CL</v>
      </c>
      <c r="E115" s="3" t="s">
        <v>21</v>
      </c>
      <c r="F115" s="228">
        <f t="array" ref="F115">IFERROR(INDEX(Usage!$B$5:$P$18,MATCH($B115,Usage!$B$5:$B$18,0),MATCH($C115&amp;$D115&amp;$E115,Usage!$B$5:$S$5&amp;Usage!$B$6:$S$6&amp;Usage!$B$7:$S$7,0)),0)</f>
        <v>10000</v>
      </c>
      <c r="G115" s="3" t="s">
        <v>57</v>
      </c>
      <c r="H115" s="226"/>
      <c r="I115" s="224"/>
      <c r="J115" s="224"/>
      <c r="K115" s="246"/>
      <c r="L115" s="246"/>
      <c r="M115" s="246"/>
      <c r="N115" s="243"/>
      <c r="O115" s="226">
        <f t="array" ref="O115">INDEX('Key inputs'!$B$16:$N$40,MATCH($B115&amp;$C115&amp;$E115,'Key inputs'!$B$16:$B$40&amp;'Key inputs'!$C$16:$C$40&amp;'Key inputs'!$D$16:$D$40,0),MATCH($G115&amp;O$4&amp;O$5,'Key inputs'!$B$17:$N$17&amp;'Key inputs'!$B$18:$N$18&amp;'Key inputs'!$B$19:$N$19,0))</f>
        <v>39.42</v>
      </c>
      <c r="P115" s="224">
        <f>IFERROR(INDEX('Detail inputs'!$B$3:$K$193,MATCH($B115&amp;$C115&amp;$E115&amp;$G115&amp;P$5,'Detail inputs'!$B$3:$B$193&amp;'Detail inputs'!$D$3:$D$193&amp;'Detail inputs'!$F$3:$F$193&amp;'Detail inputs'!$G$3:$G$193&amp;'Detail inputs'!$H$3:$H$193,0),MATCH(P$4,'Detail inputs'!$B$3:$K$3,0)),0)</f>
        <v>0</v>
      </c>
      <c r="Q115" s="224">
        <f>O115+P115*$F115/1000</f>
        <v>39.42</v>
      </c>
      <c r="R115" s="246">
        <f>IFERROR(Q115/Q116,"")</f>
        <v>3.5534546123245921E-2</v>
      </c>
    </row>
    <row r="116" spans="2:18" s="60" customFormat="1" x14ac:dyDescent="0.35">
      <c r="B116" s="3" t="str">
        <f t="shared" si="22"/>
        <v>Energex</v>
      </c>
      <c r="C116" s="3" t="str">
        <f t="shared" si="22"/>
        <v>Small business</v>
      </c>
      <c r="D116" s="3" t="str">
        <f t="shared" si="22"/>
        <v>without CL</v>
      </c>
      <c r="E116" s="3" t="s">
        <v>21</v>
      </c>
      <c r="F116" s="228">
        <f t="array" ref="F116">IFERROR(INDEX(Usage!$B$5:$P$18,MATCH($B116,Usage!$B$5:$B$18,0),MATCH($C116&amp;$D116&amp;$E116,Usage!$B$5:$S$5&amp;Usage!$B$6:$S$6&amp;Usage!$B$7:$S$7,0)),0)</f>
        <v>10000</v>
      </c>
      <c r="G116" s="60" t="s">
        <v>53</v>
      </c>
      <c r="H116" s="226"/>
      <c r="I116" s="226"/>
      <c r="J116" s="226"/>
      <c r="K116" s="247"/>
      <c r="L116" s="259"/>
      <c r="M116" s="246"/>
      <c r="N116" s="253"/>
      <c r="O116" s="226"/>
      <c r="P116" s="226"/>
      <c r="Q116" s="226">
        <f>SUM(Q114:Q115)</f>
        <v>1109.3430000000001</v>
      </c>
      <c r="R116" s="247"/>
    </row>
    <row r="117" spans="2:18" outlineLevel="1" x14ac:dyDescent="0.35">
      <c r="B117" s="3" t="str">
        <f t="shared" si="22"/>
        <v>Energex</v>
      </c>
      <c r="C117" s="3" t="str">
        <f t="shared" si="22"/>
        <v>Small business</v>
      </c>
      <c r="D117" s="3" t="str">
        <f t="shared" si="22"/>
        <v>without CL</v>
      </c>
      <c r="E117" s="60"/>
      <c r="F117" s="262"/>
      <c r="G117" s="60" t="s">
        <v>35</v>
      </c>
      <c r="H117" s="226"/>
      <c r="I117" s="226"/>
      <c r="J117" s="226"/>
      <c r="K117" s="247"/>
      <c r="L117" s="259"/>
      <c r="M117" s="246"/>
      <c r="N117" s="253"/>
      <c r="O117" s="226"/>
      <c r="P117" s="226"/>
      <c r="Q117" s="226">
        <f>Q116*GST</f>
        <v>110.93430000000001</v>
      </c>
      <c r="R117" s="247"/>
    </row>
    <row r="118" spans="2:18" x14ac:dyDescent="0.35">
      <c r="B118" s="3" t="str">
        <f t="shared" si="22"/>
        <v>Energex</v>
      </c>
      <c r="C118" s="3" t="str">
        <f t="shared" si="22"/>
        <v>Small business</v>
      </c>
      <c r="D118" s="3" t="str">
        <f t="shared" si="22"/>
        <v>without CL</v>
      </c>
      <c r="E118" s="60"/>
      <c r="F118" s="262"/>
      <c r="G118" s="5" t="s">
        <v>77</v>
      </c>
      <c r="H118" s="227"/>
      <c r="I118" s="227"/>
      <c r="J118" s="227"/>
      <c r="K118" s="248"/>
      <c r="L118" s="260"/>
      <c r="M118" s="248"/>
      <c r="N118" s="254"/>
      <c r="O118" s="227"/>
      <c r="P118" s="227"/>
      <c r="Q118" s="227">
        <f>SUM(Q116:Q117)</f>
        <v>1220.2773000000002</v>
      </c>
      <c r="R118" s="248"/>
    </row>
    <row r="119" spans="2:18" x14ac:dyDescent="0.35">
      <c r="F119" s="252"/>
      <c r="H119" s="224"/>
      <c r="I119" s="224"/>
      <c r="J119" s="224"/>
      <c r="K119" s="261"/>
      <c r="L119" s="261"/>
      <c r="M119" s="261"/>
      <c r="N119" s="252"/>
      <c r="O119" s="224"/>
      <c r="P119" s="224"/>
      <c r="Q119" s="224"/>
      <c r="R119" s="261"/>
    </row>
    <row r="120" spans="2:18" x14ac:dyDescent="0.35">
      <c r="B120" s="5" t="s">
        <v>5</v>
      </c>
      <c r="C120" s="5" t="s">
        <v>6</v>
      </c>
      <c r="D120" s="5" t="s">
        <v>136</v>
      </c>
      <c r="F120" s="228"/>
      <c r="G120" s="59"/>
      <c r="H120" s="224"/>
      <c r="I120" s="224"/>
      <c r="J120" s="224"/>
      <c r="K120" s="246"/>
      <c r="L120" s="261"/>
      <c r="M120" s="246"/>
      <c r="N120" s="252"/>
      <c r="O120" s="224"/>
      <c r="P120" s="224"/>
      <c r="Q120" s="224"/>
      <c r="R120" s="246"/>
    </row>
    <row r="121" spans="2:18" x14ac:dyDescent="0.35">
      <c r="B121" s="3" t="str">
        <f t="shared" ref="B121:D125" si="23">B$120</f>
        <v>SAPN</v>
      </c>
      <c r="C121" s="3" t="str">
        <f t="shared" si="23"/>
        <v>Residential</v>
      </c>
      <c r="D121" s="3" t="str">
        <f t="shared" si="23"/>
        <v>without CL</v>
      </c>
      <c r="E121" s="3" t="s">
        <v>21</v>
      </c>
      <c r="F121" s="228">
        <f t="array" ref="F121">IFERROR(INDEX(Usage!$B$5:$P$18,MATCH($B121,Usage!$B$5:$B$18,0),MATCH($C121&amp;$D121&amp;$E121,Usage!$B$5:$S$5&amp;Usage!$B$6:$S$6&amp;Usage!$B$7:$S$7,0)),0)</f>
        <v>4000</v>
      </c>
      <c r="G121" s="3" t="s">
        <v>55</v>
      </c>
      <c r="H121" s="226">
        <f t="array" ref="H121">INDEX('Key inputs'!$B$16:$N$40,MATCH($B121&amp;$C121&amp;$E121,'Key inputs'!$B$16:$B$40&amp;'Key inputs'!$C$16:$C$40&amp;'Key inputs'!$D$16:$D$40,0),MATCH($G121&amp;H$4&amp;H$5,'Key inputs'!$B$17:$N$17&amp;'Key inputs'!$B$18:$N$18&amp;'Key inputs'!$B$19:$N$19,0))</f>
        <v>180.018</v>
      </c>
      <c r="I121" s="226">
        <f t="array" ref="I121">INDEX('Key inputs'!$B$16:$N$40,MATCH($B121&amp;$C121&amp;$E121,'Key inputs'!$B$16:$B$40&amp;'Key inputs'!$C$16:$C$40&amp;'Key inputs'!$D$16:$D$40,0),MATCH($G121&amp;I$4&amp;I$5,'Key inputs'!$B$17:$N$17&amp;'Key inputs'!$B$18:$N$18&amp;'Key inputs'!$B$19:$N$19,0))</f>
        <v>135.30000000000001</v>
      </c>
      <c r="J121" s="224">
        <f>H121+I121*$F121/1000</f>
        <v>721.21800000000007</v>
      </c>
      <c r="K121" s="246">
        <f>IFERROR(J121/J123,"")</f>
        <v>0.96888677526740452</v>
      </c>
      <c r="L121" s="246"/>
      <c r="M121" s="246">
        <f t="shared" ref="M121:M125" si="24">IF(OR(J121=0,J121="",Q121=""),"",Q121/J121-1)</f>
        <v>8.8752637898665832E-3</v>
      </c>
      <c r="N121" s="243"/>
      <c r="O121" s="226">
        <f t="array" ref="O121">INDEX('Key inputs'!$B$16:$N$40,MATCH($B121&amp;$C121&amp;$E121,'Key inputs'!$B$16:$B$40&amp;'Key inputs'!$C$16:$C$40&amp;'Key inputs'!$D$16:$D$40,0),MATCH($G121&amp;O$4&amp;O$5,'Key inputs'!$B$17:$N$17&amp;'Key inputs'!$B$18:$N$18&amp;'Key inputs'!$B$19:$N$19,0))</f>
        <v>190.01899999999998</v>
      </c>
      <c r="P121" s="226">
        <f t="array" ref="P121">INDEX('Key inputs'!$B$16:$N$40,MATCH($B121&amp;$C121&amp;$E121,'Key inputs'!$B$16:$B$40&amp;'Key inputs'!$C$16:$C$40&amp;'Key inputs'!$D$16:$D$40,0),MATCH($G121&amp;P$4&amp;P$5,'Key inputs'!$B$17:$N$17&amp;'Key inputs'!$B$18:$N$18&amp;'Key inputs'!$B$19:$N$19,0))</f>
        <v>134.4</v>
      </c>
      <c r="Q121" s="224">
        <f>O121+P121*$F121/1000</f>
        <v>727.61900000000003</v>
      </c>
      <c r="R121" s="246">
        <f>IFERROR(Q121/Q123,"")</f>
        <v>0.96809468879016602</v>
      </c>
    </row>
    <row r="122" spans="2:18" x14ac:dyDescent="0.35">
      <c r="B122" s="3" t="str">
        <f t="shared" si="23"/>
        <v>SAPN</v>
      </c>
      <c r="C122" s="3" t="str">
        <f t="shared" si="23"/>
        <v>Residential</v>
      </c>
      <c r="D122" s="3" t="str">
        <f t="shared" si="23"/>
        <v>without CL</v>
      </c>
      <c r="E122" s="3" t="s">
        <v>21</v>
      </c>
      <c r="F122" s="228">
        <f t="array" ref="F122">IFERROR(INDEX(Usage!$B$5:$P$18,MATCH($B122,Usage!$B$5:$B$18,0),MATCH($C122&amp;$D122&amp;$E122,Usage!$B$5:$S$5&amp;Usage!$B$6:$S$6&amp;Usage!$B$7:$S$7,0)),0)</f>
        <v>4000</v>
      </c>
      <c r="G122" s="3" t="s">
        <v>57</v>
      </c>
      <c r="H122" s="226">
        <f t="array" ref="H122">INDEX('Key inputs'!$B$16:$N$40,MATCH($B122&amp;$C122&amp;$E122,'Key inputs'!$B$16:$B$40&amp;'Key inputs'!$C$16:$C$40&amp;'Key inputs'!$D$16:$D$40,0),MATCH($G122&amp;H$4&amp;H$5,'Key inputs'!$B$17:$N$17&amp;'Key inputs'!$B$18:$N$18&amp;'Key inputs'!$B$19:$N$19,0))</f>
        <v>23.16</v>
      </c>
      <c r="I122" s="224">
        <f>IFERROR(INDEX('Detail inputs'!$B$3:$K$193,MATCH($B122&amp;$C122&amp;$E122&amp;$G122&amp;I$5,'Detail inputs'!$B$3:$B$193&amp;'Detail inputs'!$D$3:$D$193&amp;'Detail inputs'!$F$3:$F$193&amp;'Detail inputs'!$G$3:$G$193&amp;'Detail inputs'!$H$3:$H$193,0),MATCH(I$4,'Detail inputs'!$B$3:$K$3,0)),0)</f>
        <v>0</v>
      </c>
      <c r="J122" s="224">
        <f>H122+I122*$F122/1000</f>
        <v>23.16</v>
      </c>
      <c r="K122" s="246">
        <f>IFERROR(J122/J123,"")</f>
        <v>3.1113224732595535E-2</v>
      </c>
      <c r="L122" s="246"/>
      <c r="M122" s="246">
        <f t="shared" si="24"/>
        <v>3.5405872193436938E-2</v>
      </c>
      <c r="N122" s="243"/>
      <c r="O122" s="226">
        <f t="array" ref="O122">INDEX('Key inputs'!$B$16:$N$40,MATCH($B122&amp;$C122&amp;$E122,'Key inputs'!$B$16:$B$40&amp;'Key inputs'!$C$16:$C$40&amp;'Key inputs'!$D$16:$D$40,0),MATCH($G122&amp;O$4&amp;O$5,'Key inputs'!$B$17:$N$17&amp;'Key inputs'!$B$18:$N$18&amp;'Key inputs'!$B$19:$N$19,0))</f>
        <v>23.98</v>
      </c>
      <c r="P122" s="224">
        <f>IFERROR(INDEX('Detail inputs'!$B$3:$K$193,MATCH($B122&amp;$C122&amp;$E122&amp;$G122&amp;P$5,'Detail inputs'!$B$3:$B$193&amp;'Detail inputs'!$D$3:$D$193&amp;'Detail inputs'!$F$3:$F$193&amp;'Detail inputs'!$G$3:$G$193&amp;'Detail inputs'!$H$3:$H$193,0),MATCH(P$4,'Detail inputs'!$B$3:$K$3,0)),0)</f>
        <v>0</v>
      </c>
      <c r="Q122" s="224">
        <f>O122+P122*$F122/1000</f>
        <v>23.98</v>
      </c>
      <c r="R122" s="246">
        <f>IFERROR(Q122/Q123,"")</f>
        <v>3.1905311209833968E-2</v>
      </c>
    </row>
    <row r="123" spans="2:18" s="60" customFormat="1" x14ac:dyDescent="0.35">
      <c r="B123" s="3" t="str">
        <f t="shared" si="23"/>
        <v>SAPN</v>
      </c>
      <c r="C123" s="3" t="str">
        <f t="shared" si="23"/>
        <v>Residential</v>
      </c>
      <c r="D123" s="3" t="str">
        <f t="shared" si="23"/>
        <v>without CL</v>
      </c>
      <c r="E123" s="3" t="s">
        <v>21</v>
      </c>
      <c r="F123" s="228">
        <f t="array" ref="F123">IFERROR(INDEX(Usage!$B$5:$P$18,MATCH($B123,Usage!$B$5:$B$18,0),MATCH($C123&amp;$D123&amp;$E123,Usage!$B$5:$S$5&amp;Usage!$B$6:$S$6&amp;Usage!$B$7:$S$7,0)),0)</f>
        <v>4000</v>
      </c>
      <c r="G123" s="60" t="s">
        <v>53</v>
      </c>
      <c r="H123" s="226"/>
      <c r="I123" s="226"/>
      <c r="J123" s="226">
        <f>SUM(J121:J122)</f>
        <v>744.37800000000004</v>
      </c>
      <c r="K123" s="247"/>
      <c r="L123" s="259"/>
      <c r="M123" s="246">
        <f t="shared" si="24"/>
        <v>9.7007165714193544E-3</v>
      </c>
      <c r="N123" s="253"/>
      <c r="O123" s="226"/>
      <c r="P123" s="226"/>
      <c r="Q123" s="226">
        <f>SUM(Q121:Q122)</f>
        <v>751.59900000000005</v>
      </c>
      <c r="R123" s="247"/>
    </row>
    <row r="124" spans="2:18" outlineLevel="1" x14ac:dyDescent="0.35">
      <c r="B124" s="3" t="str">
        <f t="shared" si="23"/>
        <v>SAPN</v>
      </c>
      <c r="C124" s="3" t="str">
        <f t="shared" si="23"/>
        <v>Residential</v>
      </c>
      <c r="D124" s="3" t="str">
        <f t="shared" si="23"/>
        <v>without CL</v>
      </c>
      <c r="F124" s="228"/>
      <c r="G124" s="60" t="s">
        <v>35</v>
      </c>
      <c r="H124" s="226"/>
      <c r="I124" s="226"/>
      <c r="J124" s="226">
        <f>J123*GST</f>
        <v>74.43780000000001</v>
      </c>
      <c r="K124" s="247"/>
      <c r="L124" s="259"/>
      <c r="M124" s="246">
        <f t="shared" si="24"/>
        <v>9.7007165714193544E-3</v>
      </c>
      <c r="N124" s="253"/>
      <c r="O124" s="226"/>
      <c r="P124" s="226"/>
      <c r="Q124" s="226">
        <f>Q123*GST</f>
        <v>75.159900000000007</v>
      </c>
      <c r="R124" s="247"/>
    </row>
    <row r="125" spans="2:18" x14ac:dyDescent="0.35">
      <c r="B125" s="3" t="str">
        <f t="shared" si="23"/>
        <v>SAPN</v>
      </c>
      <c r="C125" s="3" t="str">
        <f t="shared" si="23"/>
        <v>Residential</v>
      </c>
      <c r="D125" s="3" t="str">
        <f t="shared" si="23"/>
        <v>without CL</v>
      </c>
      <c r="F125" s="228"/>
      <c r="G125" s="5" t="s">
        <v>77</v>
      </c>
      <c r="H125" s="227"/>
      <c r="I125" s="227"/>
      <c r="J125" s="227">
        <f>SUM(J123:J124)</f>
        <v>818.81580000000008</v>
      </c>
      <c r="K125" s="248"/>
      <c r="L125" s="260"/>
      <c r="M125" s="248">
        <f t="shared" si="24"/>
        <v>9.7007165714193544E-3</v>
      </c>
      <c r="N125" s="254"/>
      <c r="O125" s="227"/>
      <c r="P125" s="227"/>
      <c r="Q125" s="227">
        <f>SUM(Q123:Q124)</f>
        <v>826.75890000000004</v>
      </c>
      <c r="R125" s="248"/>
    </row>
    <row r="126" spans="2:18" x14ac:dyDescent="0.35">
      <c r="F126" s="228"/>
      <c r="H126" s="224"/>
      <c r="I126" s="224"/>
      <c r="J126" s="224"/>
      <c r="K126" s="246"/>
      <c r="L126" s="261"/>
      <c r="M126" s="246"/>
      <c r="N126" s="252"/>
      <c r="O126" s="224"/>
      <c r="P126" s="224"/>
      <c r="Q126" s="224"/>
      <c r="R126" s="246"/>
    </row>
    <row r="127" spans="2:18" x14ac:dyDescent="0.35">
      <c r="B127" s="5" t="s">
        <v>5</v>
      </c>
      <c r="C127" s="5" t="s">
        <v>6</v>
      </c>
      <c r="D127" s="5" t="s">
        <v>137</v>
      </c>
      <c r="F127" s="228"/>
      <c r="H127" s="224"/>
      <c r="I127" s="224"/>
      <c r="J127" s="224"/>
      <c r="K127" s="246"/>
      <c r="L127" s="261"/>
      <c r="M127" s="246"/>
      <c r="N127" s="252"/>
      <c r="O127" s="224"/>
      <c r="P127" s="224"/>
      <c r="Q127" s="224"/>
      <c r="R127" s="246"/>
    </row>
    <row r="128" spans="2:18" x14ac:dyDescent="0.35">
      <c r="B128" s="3" t="str">
        <f t="shared" ref="B128:D136" si="25">B$127</f>
        <v>SAPN</v>
      </c>
      <c r="C128" s="3" t="str">
        <f t="shared" si="25"/>
        <v>Residential</v>
      </c>
      <c r="D128" s="3" t="str">
        <f t="shared" si="25"/>
        <v>with CL</v>
      </c>
      <c r="E128" s="3" t="s">
        <v>21</v>
      </c>
      <c r="F128" s="228">
        <f t="array" ref="F128">IFERROR(INDEX(Usage!$B$5:$P$18,MATCH($B128,Usage!$B$5:$B$18,0),MATCH($C128&amp;$D128&amp;$E128,Usage!$B$5:$S$5&amp;Usage!$B$6:$S$6&amp;Usage!$B$7:$S$7,0)),0)</f>
        <v>4200</v>
      </c>
      <c r="G128" s="3" t="s">
        <v>55</v>
      </c>
      <c r="H128" s="226">
        <f t="array" ref="H128">INDEX('Key inputs'!$B$16:$N$40,MATCH($B128&amp;$C128&amp;$E128,'Key inputs'!$B$16:$B$40&amp;'Key inputs'!$C$16:$C$40&amp;'Key inputs'!$D$16:$D$40,0),MATCH($G128&amp;H$4&amp;H$5,'Key inputs'!$B$17:$N$17&amp;'Key inputs'!$B$18:$N$18&amp;'Key inputs'!$B$19:$N$19,0))</f>
        <v>180.018</v>
      </c>
      <c r="I128" s="226">
        <f t="array" ref="I128">INDEX('Key inputs'!$B$16:$N$40,MATCH($B128&amp;$C128&amp;$E128,'Key inputs'!$B$16:$B$40&amp;'Key inputs'!$C$16:$C$40&amp;'Key inputs'!$D$16:$D$40,0),MATCH($G128&amp;I$4&amp;I$5,'Key inputs'!$B$17:$N$17&amp;'Key inputs'!$B$18:$N$18&amp;'Key inputs'!$B$19:$N$19,0))</f>
        <v>135.30000000000001</v>
      </c>
      <c r="J128" s="224">
        <f>H128+I128*$F128/1000</f>
        <v>748.27800000000002</v>
      </c>
      <c r="K128" s="246">
        <f>IFERROR(J128/J130,"")</f>
        <v>0.96997814471156463</v>
      </c>
      <c r="L128" s="246"/>
      <c r="M128" s="246">
        <f t="shared" ref="M128:M130" si="26">IF(OR(J128=0,J128="",Q128=""),"",Q128/J128-1)</f>
        <v>8.3137550482574873E-3</v>
      </c>
      <c r="N128" s="243"/>
      <c r="O128" s="226">
        <f t="array" ref="O128">INDEX('Key inputs'!$B$16:$N$40,MATCH($B128&amp;$C128&amp;$E128,'Key inputs'!$B$16:$B$40&amp;'Key inputs'!$C$16:$C$40&amp;'Key inputs'!$D$16:$D$40,0),MATCH($G128&amp;O$4&amp;O$5,'Key inputs'!$B$17:$N$17&amp;'Key inputs'!$B$18:$N$18&amp;'Key inputs'!$B$19:$N$19,0))</f>
        <v>190.01899999999998</v>
      </c>
      <c r="P128" s="226">
        <f t="array" ref="P128">INDEX('Key inputs'!$B$16:$N$40,MATCH($B128&amp;$C128&amp;$E128,'Key inputs'!$B$16:$B$40&amp;'Key inputs'!$C$16:$C$40&amp;'Key inputs'!$D$16:$D$40,0),MATCH($G128&amp;P$4&amp;P$5,'Key inputs'!$B$17:$N$17&amp;'Key inputs'!$B$18:$N$18&amp;'Key inputs'!$B$19:$N$19,0))</f>
        <v>134.4</v>
      </c>
      <c r="Q128" s="224">
        <f>O128+P128*$F128/1000</f>
        <v>754.49900000000002</v>
      </c>
      <c r="R128" s="246">
        <f>IFERROR(Q128/Q130,"")</f>
        <v>0.96919634312550496</v>
      </c>
    </row>
    <row r="129" spans="2:18" x14ac:dyDescent="0.35">
      <c r="B129" s="3" t="str">
        <f t="shared" si="25"/>
        <v>SAPN</v>
      </c>
      <c r="C129" s="3" t="str">
        <f t="shared" si="25"/>
        <v>Residential</v>
      </c>
      <c r="D129" s="3" t="str">
        <f t="shared" si="25"/>
        <v>with CL</v>
      </c>
      <c r="E129" s="3" t="s">
        <v>21</v>
      </c>
      <c r="F129" s="228">
        <f t="array" ref="F129">IFERROR(INDEX(Usage!$B$5:$P$18,MATCH($B129,Usage!$B$5:$B$18,0),MATCH($C129&amp;$D129&amp;$E129,Usage!$B$5:$S$5&amp;Usage!$B$6:$S$6&amp;Usage!$B$7:$S$7,0)),0)</f>
        <v>4200</v>
      </c>
      <c r="G129" s="3" t="s">
        <v>57</v>
      </c>
      <c r="H129" s="226">
        <f t="array" ref="H129">INDEX('Key inputs'!$B$16:$N$40,MATCH($B129&amp;$C129&amp;$E129,'Key inputs'!$B$16:$B$40&amp;'Key inputs'!$C$16:$C$40&amp;'Key inputs'!$D$16:$D$40,0),MATCH($G129&amp;H$4&amp;H$5,'Key inputs'!$B$17:$N$17&amp;'Key inputs'!$B$18:$N$18&amp;'Key inputs'!$B$19:$N$19,0))</f>
        <v>23.16</v>
      </c>
      <c r="I129" s="224">
        <f>IFERROR(INDEX('Detail inputs'!$B$3:$K$193,MATCH($B129&amp;$C129&amp;$E129&amp;$G129&amp;I$5,'Detail inputs'!$B$3:$B$193&amp;'Detail inputs'!$D$3:$D$193&amp;'Detail inputs'!$F$3:$F$193&amp;'Detail inputs'!$G$3:$G$193&amp;'Detail inputs'!$H$3:$H$193,0),MATCH(I$4,'Detail inputs'!$B$3:$K$3,0)),0)</f>
        <v>0</v>
      </c>
      <c r="J129" s="224">
        <f>H129+I129*$F129/1000</f>
        <v>23.16</v>
      </c>
      <c r="K129" s="246">
        <f>IFERROR(J129/J130,"")</f>
        <v>3.0021855288435366E-2</v>
      </c>
      <c r="L129" s="246"/>
      <c r="M129" s="246">
        <f t="shared" si="26"/>
        <v>3.5405872193436938E-2</v>
      </c>
      <c r="N129" s="243"/>
      <c r="O129" s="226">
        <f t="array" ref="O129">INDEX('Key inputs'!$B$16:$N$40,MATCH($B129&amp;$C129&amp;$E129,'Key inputs'!$B$16:$B$40&amp;'Key inputs'!$C$16:$C$40&amp;'Key inputs'!$D$16:$D$40,0),MATCH($G129&amp;O$4&amp;O$5,'Key inputs'!$B$17:$N$17&amp;'Key inputs'!$B$18:$N$18&amp;'Key inputs'!$B$19:$N$19,0))</f>
        <v>23.98</v>
      </c>
      <c r="P129" s="224">
        <f>IFERROR(INDEX('Detail inputs'!$B$3:$K$193,MATCH($B129&amp;$C129&amp;$E129&amp;$G129&amp;P$5,'Detail inputs'!$B$3:$B$193&amp;'Detail inputs'!$D$3:$D$193&amp;'Detail inputs'!$F$3:$F$193&amp;'Detail inputs'!$G$3:$G$193&amp;'Detail inputs'!$H$3:$H$193,0),MATCH(P$4,'Detail inputs'!$B$3:$K$3,0)),0)</f>
        <v>0</v>
      </c>
      <c r="Q129" s="224">
        <f>O129+P129*$F129/1000</f>
        <v>23.98</v>
      </c>
      <c r="R129" s="246">
        <f>IFERROR(Q129/Q130,"")</f>
        <v>3.0803656874495006E-2</v>
      </c>
    </row>
    <row r="130" spans="2:18" x14ac:dyDescent="0.35">
      <c r="B130" s="3" t="str">
        <f t="shared" si="25"/>
        <v>SAPN</v>
      </c>
      <c r="C130" s="3" t="str">
        <f t="shared" si="25"/>
        <v>Residential</v>
      </c>
      <c r="D130" s="3" t="str">
        <f t="shared" si="25"/>
        <v>with CL</v>
      </c>
      <c r="E130" s="3" t="s">
        <v>21</v>
      </c>
      <c r="F130" s="228">
        <f t="array" ref="F130">IFERROR(INDEX(Usage!$B$5:$P$18,MATCH($B130,Usage!$B$5:$B$18,0),MATCH($C130&amp;$D130&amp;$E130,Usage!$B$5:$S$5&amp;Usage!$B$6:$S$6&amp;Usage!$B$7:$S$7,0)),0)</f>
        <v>4200</v>
      </c>
      <c r="G130" s="3" t="s">
        <v>53</v>
      </c>
      <c r="H130" s="224"/>
      <c r="I130" s="224"/>
      <c r="J130" s="226">
        <f>SUM(J128:J129)</f>
        <v>771.43799999999999</v>
      </c>
      <c r="K130" s="247"/>
      <c r="L130" s="259"/>
      <c r="M130" s="246">
        <f t="shared" si="26"/>
        <v>9.1271106686474646E-3</v>
      </c>
      <c r="N130" s="253"/>
      <c r="O130" s="226"/>
      <c r="P130" s="226"/>
      <c r="Q130" s="226">
        <f>SUM(Q128:Q129)</f>
        <v>778.47900000000004</v>
      </c>
      <c r="R130" s="246"/>
    </row>
    <row r="131" spans="2:18" x14ac:dyDescent="0.35">
      <c r="B131" s="3" t="str">
        <f t="shared" si="25"/>
        <v>SAPN</v>
      </c>
      <c r="C131" s="3" t="str">
        <f t="shared" si="25"/>
        <v>Residential</v>
      </c>
      <c r="D131" s="3" t="str">
        <f t="shared" si="25"/>
        <v>with CL</v>
      </c>
      <c r="E131" s="3" t="s">
        <v>15</v>
      </c>
      <c r="F131" s="228">
        <f t="array" ref="F131">IFERROR(INDEX(Usage!$B$5:$P$18,MATCH($B131,Usage!$B$5:$B$18,0),MATCH($C131&amp;$D131&amp;$E131,Usage!$B$5:$S$5&amp;Usage!$B$6:$S$6&amp;Usage!$B$7:$S$7,0)),0)</f>
        <v>1800</v>
      </c>
      <c r="G131" s="3" t="s">
        <v>55</v>
      </c>
      <c r="H131" s="226">
        <f t="array" ref="H131">INDEX('Key inputs'!$B$16:$N$40,MATCH($B131&amp;$C131&amp;$E131,'Key inputs'!$B$16:$B$40&amp;'Key inputs'!$C$16:$C$40&amp;'Key inputs'!$D$16:$D$40,0),MATCH($G131&amp;H$4&amp;H$5,'Key inputs'!$B$17:$N$17&amp;'Key inputs'!$B$18:$N$18&amp;'Key inputs'!$B$19:$N$19,0))</f>
        <v>0</v>
      </c>
      <c r="I131" s="226">
        <f t="array" ref="I131">INDEX('Key inputs'!$B$16:$N$40,MATCH($B131&amp;$C131&amp;$E131,'Key inputs'!$B$16:$B$40&amp;'Key inputs'!$C$16:$C$40&amp;'Key inputs'!$D$16:$D$40,0),MATCH($G131&amp;I$4&amp;I$5,'Key inputs'!$B$17:$N$17&amp;'Key inputs'!$B$18:$N$18&amp;'Key inputs'!$B$19:$N$19,0))</f>
        <v>67.8</v>
      </c>
      <c r="J131" s="224">
        <f>H131*INDEX(Usage!$B$4:$M$18,MATCH($B131,Usage!$B$4:$B$18,0),MATCH(IF($E131="CL1","CL1 Proportion","CL2 Proportion"),Usage!$B$8:$M$8,0))+I131*$F131/1000</f>
        <v>122.04</v>
      </c>
      <c r="K131" s="246">
        <f>IFERROR(J131/J133,"")</f>
        <v>0.84049586776859497</v>
      </c>
      <c r="L131" s="246"/>
      <c r="M131" s="246">
        <f t="shared" ref="M131:M136" si="27">IF(OR(J131=0,J131="",Q131=""),"",Q131/J131-1)</f>
        <v>-7.3746312684366266E-3</v>
      </c>
      <c r="N131" s="243"/>
      <c r="O131" s="226">
        <f t="array" ref="O131">INDEX('Key inputs'!$B$16:$N$40,MATCH($B131&amp;$C131&amp;$E131,'Key inputs'!$B$16:$B$40&amp;'Key inputs'!$C$16:$C$40&amp;'Key inputs'!$D$16:$D$40,0),MATCH($G131&amp;O$4&amp;O$5,'Key inputs'!$B$17:$N$17&amp;'Key inputs'!$B$18:$N$18&amp;'Key inputs'!$B$19:$N$19,0))</f>
        <v>0</v>
      </c>
      <c r="P131" s="226">
        <f t="array" ref="P131">INDEX('Key inputs'!$B$16:$N$40,MATCH($B131&amp;$C131&amp;$E131,'Key inputs'!$B$16:$B$40&amp;'Key inputs'!$C$16:$C$40&amp;'Key inputs'!$D$16:$D$40,0),MATCH($G131&amp;P$4&amp;P$5,'Key inputs'!$B$17:$N$17&amp;'Key inputs'!$B$18:$N$18&amp;'Key inputs'!$B$19:$N$19,0))</f>
        <v>67.3</v>
      </c>
      <c r="Q131" s="224">
        <f>O131*INDEX(Usage!$B$4:$M$18,MATCH($B131,Usage!$B$4:$B$18,0),MATCH(IF($E131="CL1","CL1 Proportion","CL2 Proportion"),Usage!$B$8:$M$8,0))+P131*$F131/1000</f>
        <v>121.14</v>
      </c>
      <c r="R131" s="246">
        <f>IFERROR(Q131/Q133,"")</f>
        <v>0.83475744211686875</v>
      </c>
    </row>
    <row r="132" spans="2:18" x14ac:dyDescent="0.35">
      <c r="B132" s="3" t="str">
        <f t="shared" si="25"/>
        <v>SAPN</v>
      </c>
      <c r="C132" s="3" t="str">
        <f t="shared" si="25"/>
        <v>Residential</v>
      </c>
      <c r="D132" s="3" t="str">
        <f t="shared" si="25"/>
        <v>with CL</v>
      </c>
      <c r="E132" s="3" t="s">
        <v>15</v>
      </c>
      <c r="F132" s="228">
        <f t="array" ref="F132">IFERROR(INDEX(Usage!$B$5:$P$18,MATCH($B132,Usage!$B$5:$B$18,0),MATCH($C132&amp;$D132&amp;$E132,Usage!$B$5:$S$5&amp;Usage!$B$6:$S$6&amp;Usage!$B$7:$S$7,0)),0)</f>
        <v>1800</v>
      </c>
      <c r="G132" s="3" t="s">
        <v>57</v>
      </c>
      <c r="H132" s="226">
        <f t="array" ref="H132">INDEX('Key inputs'!$B$16:$N$40,MATCH($B132&amp;$C132&amp;$E132,'Key inputs'!$B$16:$B$40&amp;'Key inputs'!$C$16:$C$40&amp;'Key inputs'!$D$16:$D$40,0),MATCH($G132&amp;H$4&amp;H$5,'Key inputs'!$B$17:$N$17&amp;'Key inputs'!$B$18:$N$18&amp;'Key inputs'!$B$19:$N$19,0))</f>
        <v>23.16</v>
      </c>
      <c r="I132" s="224">
        <f>IFERROR(INDEX('Detail inputs'!$B$3:$K$193,MATCH($B132&amp;$C132&amp;$E132&amp;$G132&amp;I$5,'Detail inputs'!$B$3:$B$193&amp;'Detail inputs'!$D$3:$D$193&amp;'Detail inputs'!$F$3:$F$193&amp;'Detail inputs'!$G$3:$G$193&amp;'Detail inputs'!$H$3:$H$193,0),MATCH(I$4,'Detail inputs'!$B$3:$K$3,0)),0)</f>
        <v>0</v>
      </c>
      <c r="J132" s="224">
        <f>H132*INDEX(Usage!$B$4:$M$18,MATCH($B132,Usage!$B$4:$B$18,0),MATCH(IF($E132="CL1","CL1 Proportion","CL2 Proportion"),Usage!$B$8:$M$8,0))+I132*$F132/1000</f>
        <v>23.16</v>
      </c>
      <c r="K132" s="246">
        <f>IFERROR(J132/J133,"")</f>
        <v>0.15950413223140494</v>
      </c>
      <c r="L132" s="246"/>
      <c r="M132" s="246">
        <f t="shared" si="27"/>
        <v>3.5405872193436938E-2</v>
      </c>
      <c r="N132" s="243"/>
      <c r="O132" s="226">
        <f t="array" ref="O132">INDEX('Key inputs'!$B$16:$N$40,MATCH($B132&amp;$C132&amp;$E132,'Key inputs'!$B$16:$B$40&amp;'Key inputs'!$C$16:$C$40&amp;'Key inputs'!$D$16:$D$40,0),MATCH($G132&amp;O$4&amp;O$5,'Key inputs'!$B$17:$N$17&amp;'Key inputs'!$B$18:$N$18&amp;'Key inputs'!$B$19:$N$19,0))</f>
        <v>23.98</v>
      </c>
      <c r="P132" s="224">
        <f>IFERROR(INDEX('Detail inputs'!$B$3:$K$193,MATCH($B132&amp;$C132&amp;$E132&amp;$G132&amp;P$5,'Detail inputs'!$B$3:$B$193&amp;'Detail inputs'!$D$3:$D$193&amp;'Detail inputs'!$F$3:$F$193&amp;'Detail inputs'!$G$3:$G$193&amp;'Detail inputs'!$H$3:$H$193,0),MATCH(P$4,'Detail inputs'!$B$3:$K$3,0)),0)</f>
        <v>0</v>
      </c>
      <c r="Q132" s="224">
        <f>O132*INDEX(Usage!$B$4:$M$18,MATCH($B132,Usage!$B$4:$B$18,0),MATCH(IF($E132="CL1","CL1 Proportion","CL2 Proportion"),Usage!$B$8:$M$8,0))+P132*$F132/1000</f>
        <v>23.98</v>
      </c>
      <c r="R132" s="246">
        <f>IFERROR(Q132/Q133,"")</f>
        <v>0.16524255788313119</v>
      </c>
    </row>
    <row r="133" spans="2:18" x14ac:dyDescent="0.35">
      <c r="B133" s="3" t="str">
        <f t="shared" si="25"/>
        <v>SAPN</v>
      </c>
      <c r="C133" s="3" t="str">
        <f t="shared" si="25"/>
        <v>Residential</v>
      </c>
      <c r="D133" s="3" t="str">
        <f t="shared" si="25"/>
        <v>with CL</v>
      </c>
      <c r="E133" s="3" t="s">
        <v>15</v>
      </c>
      <c r="F133" s="228">
        <f t="array" ref="F133">IFERROR(INDEX(Usage!$B$5:$P$18,MATCH($B133,Usage!$B$5:$B$18,0),MATCH($C133&amp;$D133&amp;$E133,Usage!$B$5:$S$5&amp;Usage!$B$6:$S$6&amp;Usage!$B$7:$S$7,0)),0)</f>
        <v>1800</v>
      </c>
      <c r="G133" s="3" t="s">
        <v>53</v>
      </c>
      <c r="H133" s="224"/>
      <c r="I133" s="224"/>
      <c r="J133" s="226">
        <f>SUM(J131:J132)</f>
        <v>145.20000000000002</v>
      </c>
      <c r="K133" s="247"/>
      <c r="L133" s="259"/>
      <c r="M133" s="246">
        <f t="shared" si="27"/>
        <v>-5.5096418732791808E-4</v>
      </c>
      <c r="N133" s="253"/>
      <c r="O133" s="226"/>
      <c r="P133" s="226"/>
      <c r="Q133" s="226">
        <f>SUM(Q131:Q132)</f>
        <v>145.12</v>
      </c>
      <c r="R133" s="246"/>
    </row>
    <row r="134" spans="2:18" s="60" customFormat="1" x14ac:dyDescent="0.35">
      <c r="B134" s="3" t="str">
        <f t="shared" si="25"/>
        <v>SAPN</v>
      </c>
      <c r="C134" s="3" t="str">
        <f t="shared" si="25"/>
        <v>Residential</v>
      </c>
      <c r="D134" s="3" t="str">
        <f t="shared" si="25"/>
        <v>with CL</v>
      </c>
      <c r="E134" s="60" t="s">
        <v>53</v>
      </c>
      <c r="F134" s="228">
        <f t="array" ref="F134">IFERROR(INDEX(Usage!$B$5:$P$18,MATCH($B134,Usage!$B$5:$B$18,0),MATCH($C134&amp;$D134&amp;$E134,Usage!$B$5:$S$5&amp;Usage!$B$6:$S$6&amp;Usage!$B$7:$S$7,0)),0)</f>
        <v>6000</v>
      </c>
      <c r="G134" s="60" t="s">
        <v>53</v>
      </c>
      <c r="H134" s="224"/>
      <c r="I134" s="224"/>
      <c r="J134" s="224">
        <f>SUM(J130,J133)</f>
        <v>916.63800000000003</v>
      </c>
      <c r="K134" s="246"/>
      <c r="L134" s="246"/>
      <c r="M134" s="246">
        <f t="shared" si="27"/>
        <v>7.5940556686500127E-3</v>
      </c>
      <c r="N134" s="243"/>
      <c r="O134" s="224"/>
      <c r="P134" s="224"/>
      <c r="Q134" s="224">
        <f>SUM(Q130,Q133)</f>
        <v>923.59900000000005</v>
      </c>
      <c r="R134" s="247"/>
    </row>
    <row r="135" spans="2:18" hidden="1" outlineLevel="1" x14ac:dyDescent="0.35">
      <c r="B135" s="3" t="str">
        <f t="shared" si="25"/>
        <v>SAPN</v>
      </c>
      <c r="C135" s="3" t="str">
        <f t="shared" si="25"/>
        <v>Residential</v>
      </c>
      <c r="D135" s="3" t="str">
        <f t="shared" si="25"/>
        <v>with CL</v>
      </c>
      <c r="F135" s="228"/>
      <c r="G135" s="60" t="s">
        <v>35</v>
      </c>
      <c r="H135" s="224"/>
      <c r="I135" s="224"/>
      <c r="J135" s="226">
        <f>J134*GST</f>
        <v>91.663800000000009</v>
      </c>
      <c r="K135" s="247"/>
      <c r="L135" s="259"/>
      <c r="M135" s="246">
        <f t="shared" si="27"/>
        <v>7.5940556686500127E-3</v>
      </c>
      <c r="N135" s="253"/>
      <c r="O135" s="226"/>
      <c r="P135" s="226"/>
      <c r="Q135" s="226">
        <f>Q134*GST</f>
        <v>92.35990000000001</v>
      </c>
      <c r="R135" s="247"/>
    </row>
    <row r="136" spans="2:18" collapsed="1" x14ac:dyDescent="0.35">
      <c r="B136" s="3" t="str">
        <f t="shared" si="25"/>
        <v>SAPN</v>
      </c>
      <c r="C136" s="3" t="str">
        <f t="shared" si="25"/>
        <v>Residential</v>
      </c>
      <c r="D136" s="3" t="str">
        <f t="shared" si="25"/>
        <v>with CL</v>
      </c>
      <c r="F136" s="228"/>
      <c r="G136" s="5" t="s">
        <v>77</v>
      </c>
      <c r="H136" s="224"/>
      <c r="I136" s="224"/>
      <c r="J136" s="227">
        <f>SUM(J134:J135)</f>
        <v>1008.3018000000001</v>
      </c>
      <c r="K136" s="248"/>
      <c r="L136" s="260"/>
      <c r="M136" s="248">
        <f t="shared" si="27"/>
        <v>7.5940556686500127E-3</v>
      </c>
      <c r="N136" s="254"/>
      <c r="O136" s="227"/>
      <c r="P136" s="227"/>
      <c r="Q136" s="227">
        <f>SUM(Q134:Q135)</f>
        <v>1015.9589000000001</v>
      </c>
      <c r="R136" s="248"/>
    </row>
    <row r="137" spans="2:18" x14ac:dyDescent="0.35">
      <c r="F137" s="252"/>
      <c r="H137" s="226"/>
      <c r="I137" s="226"/>
      <c r="J137" s="224"/>
      <c r="K137" s="246"/>
      <c r="L137" s="246"/>
      <c r="M137" s="246"/>
      <c r="N137" s="243"/>
      <c r="O137" s="226"/>
      <c r="P137" s="226"/>
      <c r="Q137" s="224"/>
      <c r="R137" s="261"/>
    </row>
    <row r="138" spans="2:18" x14ac:dyDescent="0.35">
      <c r="B138" s="5" t="s">
        <v>5</v>
      </c>
      <c r="C138" s="5" t="s">
        <v>14</v>
      </c>
      <c r="D138" s="5" t="s">
        <v>136</v>
      </c>
      <c r="F138" s="228"/>
      <c r="H138" s="226"/>
      <c r="I138" s="224"/>
      <c r="J138" s="224"/>
      <c r="K138" s="246"/>
      <c r="L138" s="246"/>
      <c r="M138" s="246"/>
      <c r="N138" s="243"/>
      <c r="O138" s="226"/>
      <c r="P138" s="224"/>
      <c r="Q138" s="224"/>
      <c r="R138" s="246"/>
    </row>
    <row r="139" spans="2:18" hidden="1" outlineLevel="1" x14ac:dyDescent="0.35">
      <c r="B139" s="3" t="str">
        <f>B138</f>
        <v>SAPN</v>
      </c>
      <c r="C139" s="3" t="str">
        <f t="shared" ref="C139:C141" si="28">C138</f>
        <v>Small business</v>
      </c>
      <c r="D139" s="3" t="str">
        <f t="shared" ref="D139:D141" si="29">D138</f>
        <v>without CL</v>
      </c>
      <c r="E139" s="3" t="s">
        <v>21</v>
      </c>
      <c r="F139" s="228">
        <f t="array" ref="F139">IFERROR(INDEX(Usage!$B$5:$P$18,MATCH($B139,Usage!$B$5:$B$18,0),MATCH($C139&amp;$D139&amp;$E139,Usage!$B$5:$S$5&amp;Usage!$B$6:$S$6&amp;Usage!$B$7:$S$7,0)),0)</f>
        <v>10000</v>
      </c>
      <c r="G139" s="3" t="s">
        <v>48</v>
      </c>
      <c r="H139" s="224" t="str">
        <f t="array" ref="H139">IFERROR(INDEX('Detail inputs'!$B$3:$K$193,MATCH($B139&amp;$C139&amp;$E139&amp;$G139&amp;H$5,'Detail inputs'!$B$3:$B$193&amp;'Detail inputs'!$D$3:$D$193&amp;'Detail inputs'!$F$3:$F$193&amp;'Detail inputs'!$G$3:$G$193&amp;'Detail inputs'!$H$3:$H$193,0),MATCH(H$4,'Detail inputs'!$B$3:$K$3,0)),"")</f>
        <v/>
      </c>
      <c r="I139" s="224" t="str">
        <f t="array" ref="I139">IFERROR(INDEX('Detail inputs'!$B$3:$K$193,MATCH($B139&amp;$C139&amp;$E139&amp;$G139&amp;I$5,'Detail inputs'!$B$3:$B$193&amp;'Detail inputs'!$D$3:$D$193&amp;'Detail inputs'!$F$3:$F$193&amp;'Detail inputs'!$G$3:$G$193&amp;'Detail inputs'!$H$3:$H$193,0),MATCH(I$4,'Detail inputs'!$B$3:$K$3,0)),"")</f>
        <v/>
      </c>
      <c r="J139" s="224" t="str">
        <f>IFERROR(IF(H139="",I139*$F139/1000,IF(I139="",H139,H139+I139*$F139/1000)),"")</f>
        <v/>
      </c>
      <c r="K139" s="246" t="str">
        <f>IFERROR(J139/J142,"")</f>
        <v/>
      </c>
      <c r="L139" s="246"/>
      <c r="M139" s="246" t="str">
        <f t="shared" ref="M139:M141" si="30">IF(OR(J139=0,J139="",Q139=""),"",Q139/J139-1)</f>
        <v/>
      </c>
      <c r="N139" s="243"/>
      <c r="O139" s="224" t="str">
        <f t="array" ref="O139">IFERROR(INDEX('Detail inputs'!$B$3:$K$193,MATCH($B139&amp;$C139&amp;$E139&amp;$G139&amp;O$5,'Detail inputs'!$B$3:$B$193&amp;'Detail inputs'!$D$3:$D$193&amp;'Detail inputs'!$F$3:$F$193&amp;'Detail inputs'!$G$3:$G$193&amp;'Detail inputs'!$H$3:$H$193,0),MATCH(O$4,'Detail inputs'!$B$3:$K$3,0)),"")</f>
        <v/>
      </c>
      <c r="P139" s="224" t="str">
        <f t="array" ref="P139">IFERROR(INDEX('Detail inputs'!$B$3:$K$193,MATCH($B139&amp;$C139&amp;$E139&amp;$G139&amp;P$5,'Detail inputs'!$B$3:$B$193&amp;'Detail inputs'!$D$3:$D$193&amp;'Detail inputs'!$F$3:$F$193&amp;'Detail inputs'!$G$3:$G$193&amp;'Detail inputs'!$H$3:$H$193,0),MATCH(P$4,'Detail inputs'!$B$3:$K$3,0)),"")</f>
        <v/>
      </c>
      <c r="Q139" s="224" t="str">
        <f>IFERROR(IF(O139="",P139*$F139/1000,IF(P139="",O139,O139+P139*$F139/1000)),"")</f>
        <v/>
      </c>
      <c r="R139" s="246" t="str">
        <f>IFERROR(Q139/Q142,"")</f>
        <v/>
      </c>
    </row>
    <row r="140" spans="2:18" hidden="1" outlineLevel="1" x14ac:dyDescent="0.35">
      <c r="B140" s="3" t="str">
        <f t="shared" ref="B140:B141" si="31">B139</f>
        <v>SAPN</v>
      </c>
      <c r="C140" s="3" t="str">
        <f t="shared" si="28"/>
        <v>Small business</v>
      </c>
      <c r="D140" s="3" t="str">
        <f t="shared" si="29"/>
        <v>without CL</v>
      </c>
      <c r="E140" s="3" t="s">
        <v>21</v>
      </c>
      <c r="F140" s="228">
        <f t="array" ref="F140">IFERROR(INDEX(Usage!$B$5:$P$18,MATCH($B140,Usage!$B$5:$B$18,0),MATCH($C140&amp;$D140&amp;$E140,Usage!$B$5:$S$5&amp;Usage!$B$6:$S$6&amp;Usage!$B$7:$S$7,0)),0)</f>
        <v>10000</v>
      </c>
      <c r="G140" s="3" t="s">
        <v>49</v>
      </c>
      <c r="H140" s="224" t="str">
        <f t="array" ref="H140">IFERROR(INDEX('Detail inputs'!$B$3:$K$193,MATCH($B140&amp;$C140&amp;$E140&amp;$G140&amp;H$5,'Detail inputs'!$B$3:$B$193&amp;'Detail inputs'!$D$3:$D$193&amp;'Detail inputs'!$F$3:$F$193&amp;'Detail inputs'!$G$3:$G$193&amp;'Detail inputs'!$H$3:$H$193,0),MATCH(H$4,'Detail inputs'!$B$3:$K$3,0)),"")</f>
        <v/>
      </c>
      <c r="I140" s="224" t="str">
        <f t="array" ref="I140">IFERROR(INDEX('Detail inputs'!$B$3:$K$193,MATCH($B140&amp;$C140&amp;$E140&amp;$G140&amp;I$5,'Detail inputs'!$B$3:$B$193&amp;'Detail inputs'!$D$3:$D$193&amp;'Detail inputs'!$F$3:$F$193&amp;'Detail inputs'!$G$3:$G$193&amp;'Detail inputs'!$H$3:$H$193,0),MATCH(I$4,'Detail inputs'!$B$3:$K$3,0)),"")</f>
        <v/>
      </c>
      <c r="J140" s="224" t="str">
        <f>IFERROR(IF(H140="",I140*$F140/1000,IF(I140="",H140,H140+I140*$F140/1000)),"")</f>
        <v/>
      </c>
      <c r="K140" s="246" t="str">
        <f>IFERROR(J140/J142,"")</f>
        <v/>
      </c>
      <c r="L140" s="246"/>
      <c r="M140" s="246" t="str">
        <f t="shared" si="30"/>
        <v/>
      </c>
      <c r="N140" s="243"/>
      <c r="O140" s="224" t="str">
        <f t="array" ref="O140">IFERROR(INDEX('Detail inputs'!$B$3:$K$193,MATCH($B140&amp;$C140&amp;$E140&amp;$G140&amp;O$5,'Detail inputs'!$B$3:$B$193&amp;'Detail inputs'!$D$3:$D$193&amp;'Detail inputs'!$F$3:$F$193&amp;'Detail inputs'!$G$3:$G$193&amp;'Detail inputs'!$H$3:$H$193,0),MATCH(O$4,'Detail inputs'!$B$3:$K$3,0)),"")</f>
        <v/>
      </c>
      <c r="P140" s="224" t="str">
        <f t="array" ref="P140">IFERROR(INDEX('Detail inputs'!$B$3:$K$193,MATCH($B140&amp;$C140&amp;$E140&amp;$G140&amp;P$5,'Detail inputs'!$B$3:$B$193&amp;'Detail inputs'!$D$3:$D$193&amp;'Detail inputs'!$F$3:$F$193&amp;'Detail inputs'!$G$3:$G$193&amp;'Detail inputs'!$H$3:$H$193,0),MATCH(P$4,'Detail inputs'!$B$3:$K$3,0)),"")</f>
        <v/>
      </c>
      <c r="Q140" s="224" t="str">
        <f>IFERROR(IF(O140="",P140*$F140/1000,IF(P140="",O140,O140+P140*$F140/1000)),"")</f>
        <v/>
      </c>
      <c r="R140" s="246" t="str">
        <f>IFERROR(Q140/Q142,"")</f>
        <v/>
      </c>
    </row>
    <row r="141" spans="2:18" hidden="1" outlineLevel="1" x14ac:dyDescent="0.35">
      <c r="B141" s="3" t="str">
        <f t="shared" si="31"/>
        <v>SAPN</v>
      </c>
      <c r="C141" s="3" t="str">
        <f t="shared" si="28"/>
        <v>Small business</v>
      </c>
      <c r="D141" s="3" t="str">
        <f t="shared" si="29"/>
        <v>without CL</v>
      </c>
      <c r="E141" s="3" t="s">
        <v>21</v>
      </c>
      <c r="F141" s="228">
        <f t="array" ref="F141">IFERROR(INDEX(Usage!$B$5:$P$18,MATCH($B141,Usage!$B$5:$B$18,0),MATCH($C141&amp;$D141&amp;$E141,Usage!$B$5:$S$5&amp;Usage!$B$6:$S$6&amp;Usage!$B$7:$S$7,0)),0)</f>
        <v>10000</v>
      </c>
      <c r="G141" s="3" t="s">
        <v>74</v>
      </c>
      <c r="H141" s="224" t="str">
        <f t="array" ref="H141">IFERROR(INDEX('Detail inputs'!$B$3:$K$193,MATCH($B141&amp;$C141&amp;$E141&amp;$G141&amp;H$5,'Detail inputs'!$B$3:$B$193&amp;'Detail inputs'!$D$3:$D$193&amp;'Detail inputs'!$F$3:$F$193&amp;'Detail inputs'!$G$3:$G$193&amp;'Detail inputs'!$H$3:$H$193,0),MATCH(H$4,'Detail inputs'!$B$3:$K$3,0)),"")</f>
        <v/>
      </c>
      <c r="I141" s="224" t="str">
        <f t="array" ref="I141">IFERROR(INDEX('Detail inputs'!$B$3:$K$193,MATCH($B141&amp;$C141&amp;$E141&amp;$G141&amp;I$5,'Detail inputs'!$B$3:$B$193&amp;'Detail inputs'!$D$3:$D$193&amp;'Detail inputs'!$F$3:$F$193&amp;'Detail inputs'!$G$3:$G$193&amp;'Detail inputs'!$H$3:$H$193,0),MATCH(I$4,'Detail inputs'!$B$3:$K$3,0)),"")</f>
        <v/>
      </c>
      <c r="J141" s="224" t="str">
        <f>IFERROR(IF(H141="",I141*$F141/1000,IF(I141="",H141,H141+I141*$F141/1000)),"")</f>
        <v/>
      </c>
      <c r="K141" s="246" t="str">
        <f>IFERROR(J141/J142,"")</f>
        <v/>
      </c>
      <c r="L141" s="246"/>
      <c r="M141" s="246" t="str">
        <f t="shared" si="30"/>
        <v/>
      </c>
      <c r="N141" s="243"/>
      <c r="O141" s="224" t="str">
        <f t="array" ref="O141">IFERROR(INDEX('Detail inputs'!$B$3:$K$193,MATCH($B141&amp;$C141&amp;$E141&amp;$G141&amp;O$5,'Detail inputs'!$B$3:$B$193&amp;'Detail inputs'!$D$3:$D$193&amp;'Detail inputs'!$F$3:$F$193&amp;'Detail inputs'!$G$3:$G$193&amp;'Detail inputs'!$H$3:$H$193,0),MATCH(O$4,'Detail inputs'!$B$3:$K$3,0)),"")</f>
        <v/>
      </c>
      <c r="P141" s="224" t="str">
        <f t="array" ref="P141">IFERROR(INDEX('Detail inputs'!$B$3:$K$193,MATCH($B141&amp;$C141&amp;$E141&amp;$G141&amp;P$5,'Detail inputs'!$B$3:$B$193&amp;'Detail inputs'!$D$3:$D$193&amp;'Detail inputs'!$F$3:$F$193&amp;'Detail inputs'!$G$3:$G$193&amp;'Detail inputs'!$H$3:$H$193,0),MATCH(P$4,'Detail inputs'!$B$3:$K$3,0)),"")</f>
        <v/>
      </c>
      <c r="Q141" s="224" t="str">
        <f>IFERROR(IF(O141="",P141*$F141/1000,IF(P141="",O141,O141+P141*$F141/1000)),"")</f>
        <v/>
      </c>
      <c r="R141" s="246" t="str">
        <f>IFERROR(Q141/Q142,"")</f>
        <v/>
      </c>
    </row>
    <row r="142" spans="2:18" collapsed="1" x14ac:dyDescent="0.35">
      <c r="B142" s="3" t="str">
        <f>B$141</f>
        <v>SAPN</v>
      </c>
      <c r="C142" s="3" t="str">
        <f t="shared" ref="C142:D142" si="32">C$141</f>
        <v>Small business</v>
      </c>
      <c r="D142" s="3" t="str">
        <f t="shared" si="32"/>
        <v>without CL</v>
      </c>
      <c r="E142" s="3" t="s">
        <v>21</v>
      </c>
      <c r="F142" s="228">
        <f t="array" ref="F142">IFERROR(INDEX(Usage!$B$5:$P$18,MATCH($B142,Usage!$B$5:$B$18,0),MATCH($C142&amp;$D142&amp;$E142,Usage!$B$5:$S$5&amp;Usage!$B$6:$S$6&amp;Usage!$B$7:$S$7,0)),0)</f>
        <v>10000</v>
      </c>
      <c r="G142" s="3" t="s">
        <v>55</v>
      </c>
      <c r="H142" s="226"/>
      <c r="I142" s="226"/>
      <c r="J142" s="224"/>
      <c r="K142" s="246"/>
      <c r="L142" s="246"/>
      <c r="M142" s="246"/>
      <c r="N142" s="243"/>
      <c r="O142" s="226">
        <f t="array" ref="O142">INDEX('Key inputs'!$B$16:$N$40,MATCH($B142&amp;$C142&amp;$E142,'Key inputs'!$B$16:$B$40&amp;'Key inputs'!$C$16:$C$40&amp;'Key inputs'!$D$16:$D$40,0),MATCH($G142&amp;O$4&amp;O$5,'Key inputs'!$B$17:$N$17&amp;'Key inputs'!$B$18:$N$18&amp;'Key inputs'!$B$19:$N$19,0))</f>
        <v>224.98599999999999</v>
      </c>
      <c r="P142" s="226">
        <f t="array" ref="P142">INDEX('Key inputs'!$B$16:$N$40,MATCH($B142&amp;$C142&amp;$E142,'Key inputs'!$B$16:$B$40&amp;'Key inputs'!$C$16:$C$40&amp;'Key inputs'!$D$16:$D$40,0),MATCH($G142&amp;P$4&amp;P$5,'Key inputs'!$B$17:$N$17&amp;'Key inputs'!$B$18:$N$18&amp;'Key inputs'!$B$19:$N$19,0))</f>
        <v>150.60000000000002</v>
      </c>
      <c r="Q142" s="224">
        <f>O142+P142*$F142/1000</f>
        <v>1730.9860000000003</v>
      </c>
      <c r="R142" s="246">
        <f>IFERROR(Q142/Q144,"")</f>
        <v>0.98633591761891681</v>
      </c>
    </row>
    <row r="143" spans="2:18" x14ac:dyDescent="0.35">
      <c r="B143" s="3" t="str">
        <f t="shared" ref="B143:D146" si="33">B$141</f>
        <v>SAPN</v>
      </c>
      <c r="C143" s="3" t="str">
        <f t="shared" si="33"/>
        <v>Small business</v>
      </c>
      <c r="D143" s="3" t="str">
        <f t="shared" si="33"/>
        <v>without CL</v>
      </c>
      <c r="E143" s="3" t="s">
        <v>21</v>
      </c>
      <c r="F143" s="228">
        <f t="array" ref="F143">IFERROR(INDEX(Usage!$B$5:$P$18,MATCH($B143,Usage!$B$5:$B$18,0),MATCH($C143&amp;$D143&amp;$E143,Usage!$B$5:$S$5&amp;Usage!$B$6:$S$6&amp;Usage!$B$7:$S$7,0)),0)</f>
        <v>10000</v>
      </c>
      <c r="G143" s="3" t="s">
        <v>57</v>
      </c>
      <c r="H143" s="226"/>
      <c r="I143" s="224"/>
      <c r="J143" s="224"/>
      <c r="K143" s="246"/>
      <c r="L143" s="246"/>
      <c r="M143" s="246"/>
      <c r="N143" s="243"/>
      <c r="O143" s="226">
        <f t="array" ref="O143">INDEX('Key inputs'!$B$16:$N$40,MATCH($B143&amp;$C143&amp;$E143,'Key inputs'!$B$16:$B$40&amp;'Key inputs'!$C$16:$C$40&amp;'Key inputs'!$D$16:$D$40,0),MATCH($G143&amp;O$4&amp;O$5,'Key inputs'!$B$17:$N$17&amp;'Key inputs'!$B$18:$N$18&amp;'Key inputs'!$B$19:$N$19,0))</f>
        <v>23.98</v>
      </c>
      <c r="P143" s="224">
        <f>IFERROR(INDEX('Detail inputs'!$B$3:$K$193,MATCH($B143&amp;$C143&amp;$E143&amp;$G143&amp;P$5,'Detail inputs'!$B$3:$B$193&amp;'Detail inputs'!$D$3:$D$193&amp;'Detail inputs'!$F$3:$F$193&amp;'Detail inputs'!$G$3:$G$193&amp;'Detail inputs'!$H$3:$H$193,0),MATCH(P$4,'Detail inputs'!$B$3:$K$3,0)),0)</f>
        <v>0</v>
      </c>
      <c r="Q143" s="224">
        <f>O143+P143*$F143/1000</f>
        <v>23.98</v>
      </c>
      <c r="R143" s="246">
        <f>IFERROR(Q143/Q144,"")</f>
        <v>1.3664082381083164E-2</v>
      </c>
    </row>
    <row r="144" spans="2:18" s="60" customFormat="1" x14ac:dyDescent="0.35">
      <c r="B144" s="3" t="str">
        <f t="shared" si="33"/>
        <v>SAPN</v>
      </c>
      <c r="C144" s="3" t="str">
        <f t="shared" si="33"/>
        <v>Small business</v>
      </c>
      <c r="D144" s="3" t="str">
        <f t="shared" si="33"/>
        <v>without CL</v>
      </c>
      <c r="E144" s="3" t="s">
        <v>21</v>
      </c>
      <c r="F144" s="228">
        <f t="array" ref="F144">IFERROR(INDEX(Usage!$B$5:$P$18,MATCH($B144,Usage!$B$5:$B$18,0),MATCH($C144&amp;$D144&amp;$E144,Usage!$B$5:$S$5&amp;Usage!$B$6:$S$6&amp;Usage!$B$7:$S$7,0)),0)</f>
        <v>10000</v>
      </c>
      <c r="G144" s="60" t="s">
        <v>53</v>
      </c>
      <c r="H144" s="226"/>
      <c r="I144" s="226"/>
      <c r="J144" s="226"/>
      <c r="K144" s="247"/>
      <c r="L144" s="259"/>
      <c r="M144" s="246"/>
      <c r="N144" s="253"/>
      <c r="O144" s="226"/>
      <c r="P144" s="226"/>
      <c r="Q144" s="226">
        <f>SUM(Q142:Q143)</f>
        <v>1754.9660000000003</v>
      </c>
      <c r="R144" s="247"/>
    </row>
    <row r="145" spans="2:18" outlineLevel="1" x14ac:dyDescent="0.35">
      <c r="B145" s="3" t="str">
        <f t="shared" si="33"/>
        <v>SAPN</v>
      </c>
      <c r="C145" s="3" t="str">
        <f t="shared" si="33"/>
        <v>Small business</v>
      </c>
      <c r="D145" s="3" t="str">
        <f t="shared" si="33"/>
        <v>without CL</v>
      </c>
      <c r="F145" s="252"/>
      <c r="G145" s="60" t="s">
        <v>35</v>
      </c>
      <c r="H145" s="226"/>
      <c r="I145" s="226"/>
      <c r="J145" s="226"/>
      <c r="K145" s="247"/>
      <c r="L145" s="259"/>
      <c r="M145" s="246"/>
      <c r="N145" s="253"/>
      <c r="O145" s="226"/>
      <c r="P145" s="226"/>
      <c r="Q145" s="226">
        <f>Q144*GST</f>
        <v>175.49660000000006</v>
      </c>
      <c r="R145" s="261"/>
    </row>
    <row r="146" spans="2:18" x14ac:dyDescent="0.35">
      <c r="B146" s="3" t="str">
        <f t="shared" si="33"/>
        <v>SAPN</v>
      </c>
      <c r="C146" s="3" t="str">
        <f t="shared" si="33"/>
        <v>Small business</v>
      </c>
      <c r="D146" s="3" t="str">
        <f t="shared" si="33"/>
        <v>without CL</v>
      </c>
      <c r="F146" s="252"/>
      <c r="G146" s="5" t="s">
        <v>77</v>
      </c>
      <c r="H146" s="227"/>
      <c r="I146" s="227"/>
      <c r="J146" s="227"/>
      <c r="K146" s="248"/>
      <c r="L146" s="260"/>
      <c r="M146" s="248"/>
      <c r="N146" s="254"/>
      <c r="O146" s="227"/>
      <c r="P146" s="227"/>
      <c r="Q146" s="227">
        <f>SUM(Q144:Q145)</f>
        <v>1930.4626000000003</v>
      </c>
      <c r="R146" s="261"/>
    </row>
    <row r="147" spans="2:18" x14ac:dyDescent="0.35">
      <c r="F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2:18" x14ac:dyDescent="0.35">
      <c r="F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2:18" x14ac:dyDescent="0.35">
      <c r="F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2:18" x14ac:dyDescent="0.35">
      <c r="F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2:18" x14ac:dyDescent="0.35">
      <c r="F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2:18" x14ac:dyDescent="0.35">
      <c r="F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2:18" x14ac:dyDescent="0.35">
      <c r="F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2:18" x14ac:dyDescent="0.35">
      <c r="F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2:18" x14ac:dyDescent="0.35">
      <c r="F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2:18" x14ac:dyDescent="0.35">
      <c r="F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2:18" x14ac:dyDescent="0.35">
      <c r="F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2:18" x14ac:dyDescent="0.35">
      <c r="F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2:18" x14ac:dyDescent="0.35">
      <c r="F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2:18" x14ac:dyDescent="0.35">
      <c r="F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</sheetData>
  <mergeCells count="3">
    <mergeCell ref="O3:R3"/>
    <mergeCell ref="H3:K3"/>
    <mergeCell ref="A1:B1"/>
  </mergeCells>
  <conditionalFormatting sqref="B7:R8 B15:R15 B29:R29 I10 P10 I17 I20 R16:R17 E12:L13 N19:N20 N16:N17 E26:L27 B63:R64 B70:R71 N67:R69 B84:R85 N74:R74 B91:R92 N88:R90 G11:L11 E67:L69 E74:L74 R9:R10 K16:L17 N11:R13 G21:L21 N21:R21 G24:L25 G18:L18 N18:R18 N24:R27 B36:R36 N9:N10 K9:L10 R19:R20 K19:L20 B119:R120 E77:L77 N77:R77 N80:R83 P17 P20 G9:G10 G16:G17 G19:G20 G22:G23 R22:R23 M19:M27 E9:F11 E16:F25 E30:G34 E35:R35 E14:R14 E28:R28 R121:R146 B125:G127 M103:M111 R93:R118 B98:G99 E86:G87 B90:L90 R86:R87 E78:G79 R78:R79 R75:R76 E75:G76 R72:R73 E72:G73 B83:L83 R65:R66 E65:G66 M47:M55 B42:G43 R50:R51 E37:G41 B56:G57 E44:G55 B62:G62 E58:G61 E80:L82 E88:L89 E93:G97 B110:G113 E100:G109 E114:G118 E121:G124 B137:G146 E128:G136">
    <cfRule type="expression" dxfId="1331" priority="1209">
      <formula>MOD(ROW(),2)=0</formula>
    </cfRule>
  </conditionalFormatting>
  <conditionalFormatting sqref="B7:D8 B15:D15 B29:D29 B36:D36 B42:D43 B137:D146 B125:D127 B119:D120 B110:D113 B98:D99 B90:D92 B83:D85 B70:D71 B62:D64 B56:D57">
    <cfRule type="expression" dxfId="1330" priority="1207">
      <formula>AND(B7=B6,MOD(ROW(),2)=1)</formula>
    </cfRule>
    <cfRule type="expression" dxfId="1329" priority="1208">
      <formula>AND(B7=B6,MOD(ROW(),2)=0)</formula>
    </cfRule>
  </conditionalFormatting>
  <conditionalFormatting sqref="H9">
    <cfRule type="expression" dxfId="1328" priority="1196">
      <formula>MOD(ROW(),2)=0</formula>
    </cfRule>
  </conditionalFormatting>
  <conditionalFormatting sqref="I9">
    <cfRule type="expression" dxfId="1327" priority="1195">
      <formula>MOD(ROW(),2)=0</formula>
    </cfRule>
  </conditionalFormatting>
  <conditionalFormatting sqref="O9">
    <cfRule type="expression" dxfId="1326" priority="1194">
      <formula>MOD(ROW(),2)=0</formula>
    </cfRule>
  </conditionalFormatting>
  <conditionalFormatting sqref="P9">
    <cfRule type="expression" dxfId="1325" priority="1193">
      <formula>MOD(ROW(),2)=0</formula>
    </cfRule>
  </conditionalFormatting>
  <conditionalFormatting sqref="H16">
    <cfRule type="expression" dxfId="1324" priority="1192">
      <formula>MOD(ROW(),2)=0</formula>
    </cfRule>
  </conditionalFormatting>
  <conditionalFormatting sqref="I16">
    <cfRule type="expression" dxfId="1323" priority="1191">
      <formula>MOD(ROW(),2)=0</formula>
    </cfRule>
  </conditionalFormatting>
  <conditionalFormatting sqref="H19">
    <cfRule type="expression" dxfId="1322" priority="1190">
      <formula>MOD(ROW(),2)=0</formula>
    </cfRule>
  </conditionalFormatting>
  <conditionalFormatting sqref="I19">
    <cfRule type="expression" dxfId="1321" priority="1189">
      <formula>MOD(ROW(),2)=0</formula>
    </cfRule>
  </conditionalFormatting>
  <conditionalFormatting sqref="O16">
    <cfRule type="expression" dxfId="1320" priority="1186">
      <formula>MOD(ROW(),2)=0</formula>
    </cfRule>
  </conditionalFormatting>
  <conditionalFormatting sqref="P16">
    <cfRule type="expression" dxfId="1319" priority="1185">
      <formula>MOD(ROW(),2)=0</formula>
    </cfRule>
  </conditionalFormatting>
  <conditionalFormatting sqref="O19">
    <cfRule type="expression" dxfId="1318" priority="1184">
      <formula>MOD(ROW(),2)=0</formula>
    </cfRule>
  </conditionalFormatting>
  <conditionalFormatting sqref="P19">
    <cfRule type="expression" dxfId="1317" priority="1183">
      <formula>MOD(ROW(),2)=0</formula>
    </cfRule>
  </conditionalFormatting>
  <conditionalFormatting sqref="H10">
    <cfRule type="expression" dxfId="1316" priority="1180">
      <formula>MOD(ROW(),2)=0</formula>
    </cfRule>
  </conditionalFormatting>
  <conditionalFormatting sqref="O10">
    <cfRule type="expression" dxfId="1315" priority="1179">
      <formula>MOD(ROW(),2)=0</formula>
    </cfRule>
  </conditionalFormatting>
  <conditionalFormatting sqref="O17">
    <cfRule type="expression" dxfId="1314" priority="1178">
      <formula>MOD(ROW(),2)=0</formula>
    </cfRule>
  </conditionalFormatting>
  <conditionalFormatting sqref="H17">
    <cfRule type="expression" dxfId="1313" priority="1177">
      <formula>MOD(ROW(),2)=0</formula>
    </cfRule>
  </conditionalFormatting>
  <conditionalFormatting sqref="H20">
    <cfRule type="expression" dxfId="1312" priority="1176">
      <formula>MOD(ROW(),2)=0</formula>
    </cfRule>
  </conditionalFormatting>
  <conditionalFormatting sqref="O20">
    <cfRule type="expression" dxfId="1311" priority="1175">
      <formula>MOD(ROW(),2)=0</formula>
    </cfRule>
  </conditionalFormatting>
  <conditionalFormatting sqref="J10">
    <cfRule type="expression" dxfId="1310" priority="1170">
      <formula>MOD(ROW(),2)=0</formula>
    </cfRule>
  </conditionalFormatting>
  <conditionalFormatting sqref="M12">
    <cfRule type="expression" dxfId="1309" priority="1023">
      <formula>MOD(ROW(),2)=0</formula>
    </cfRule>
  </conditionalFormatting>
  <conditionalFormatting sqref="M13">
    <cfRule type="expression" dxfId="1308" priority="1022">
      <formula>MOD(ROW(),2)=0</formula>
    </cfRule>
  </conditionalFormatting>
  <conditionalFormatting sqref="Q16">
    <cfRule type="expression" dxfId="1307" priority="1162">
      <formula>MOD(ROW(),2)=0</formula>
    </cfRule>
  </conditionalFormatting>
  <conditionalFormatting sqref="Q17">
    <cfRule type="expression" dxfId="1306" priority="1161">
      <formula>MOD(ROW(),2)=0</formula>
    </cfRule>
  </conditionalFormatting>
  <conditionalFormatting sqref="M11">
    <cfRule type="expression" dxfId="1305" priority="1024">
      <formula>MOD(ROW(),2)=0</formula>
    </cfRule>
  </conditionalFormatting>
  <conditionalFormatting sqref="M67:M69">
    <cfRule type="expression" dxfId="1304" priority="1136">
      <formula>MOD(ROW(),2)=0</formula>
    </cfRule>
  </conditionalFormatting>
  <conditionalFormatting sqref="M74 M77 M80:M83">
    <cfRule type="expression" dxfId="1303" priority="1135">
      <formula>MOD(ROW(),2)=0</formula>
    </cfRule>
  </conditionalFormatting>
  <conditionalFormatting sqref="M88:M90">
    <cfRule type="expression" dxfId="1302" priority="1134">
      <formula>MOD(ROW(),2)=0</formula>
    </cfRule>
  </conditionalFormatting>
  <conditionalFormatting sqref="J9">
    <cfRule type="expression" dxfId="1301" priority="1132">
      <formula>MOD(ROW(),2)=0</formula>
    </cfRule>
  </conditionalFormatting>
  <conditionalFormatting sqref="Q9:Q10">
    <cfRule type="expression" dxfId="1300" priority="1130">
      <formula>MOD(ROW(),2)=0</formula>
    </cfRule>
  </conditionalFormatting>
  <conditionalFormatting sqref="J16:J17">
    <cfRule type="expression" dxfId="1299" priority="1119">
      <formula>MOD(ROW(),2)=0</formula>
    </cfRule>
  </conditionalFormatting>
  <conditionalFormatting sqref="I50">
    <cfRule type="expression" dxfId="1298" priority="867">
      <formula>MOD(ROW(),2)=0</formula>
    </cfRule>
  </conditionalFormatting>
  <conditionalFormatting sqref="O50">
    <cfRule type="expression" dxfId="1297" priority="866">
      <formula>MOD(ROW(),2)=0</formula>
    </cfRule>
  </conditionalFormatting>
  <conditionalFormatting sqref="J19">
    <cfRule type="expression" dxfId="1296" priority="1111">
      <formula>MOD(ROW(),2)=0</formula>
    </cfRule>
  </conditionalFormatting>
  <conditionalFormatting sqref="Q50">
    <cfRule type="expression" dxfId="1295" priority="847">
      <formula>MOD(ROW(),2)=0</formula>
    </cfRule>
  </conditionalFormatting>
  <conditionalFormatting sqref="J51">
    <cfRule type="expression" dxfId="1294" priority="846">
      <formula>MOD(ROW(),2)=0</formula>
    </cfRule>
  </conditionalFormatting>
  <conditionalFormatting sqref="Q51">
    <cfRule type="expression" dxfId="1293" priority="845">
      <formula>MOD(ROW(),2)=0</formula>
    </cfRule>
  </conditionalFormatting>
  <conditionalFormatting sqref="I59 H60:L62 R58:R59 N60:R62 N58:N59 K58:L59">
    <cfRule type="expression" dxfId="1292" priority="843">
      <formula>MOD(ROW(),2)=0</formula>
    </cfRule>
  </conditionalFormatting>
  <conditionalFormatting sqref="H58">
    <cfRule type="expression" dxfId="1291" priority="842">
      <formula>MOD(ROW(),2)=0</formula>
    </cfRule>
  </conditionalFormatting>
  <conditionalFormatting sqref="I58">
    <cfRule type="expression" dxfId="1290" priority="841">
      <formula>MOD(ROW(),2)=0</formula>
    </cfRule>
  </conditionalFormatting>
  <conditionalFormatting sqref="O58">
    <cfRule type="expression" dxfId="1289" priority="840">
      <formula>MOD(ROW(),2)=0</formula>
    </cfRule>
  </conditionalFormatting>
  <conditionalFormatting sqref="P58">
    <cfRule type="expression" dxfId="1288" priority="839">
      <formula>MOD(ROW(),2)=0</formula>
    </cfRule>
  </conditionalFormatting>
  <conditionalFormatting sqref="H59">
    <cfRule type="expression" dxfId="1287" priority="838">
      <formula>MOD(ROW(),2)=0</formula>
    </cfRule>
  </conditionalFormatting>
  <conditionalFormatting sqref="O59">
    <cfRule type="expression" dxfId="1286" priority="837">
      <formula>MOD(ROW(),2)=0</formula>
    </cfRule>
  </conditionalFormatting>
  <conditionalFormatting sqref="J59">
    <cfRule type="expression" dxfId="1285" priority="836">
      <formula>MOD(ROW(),2)=0</formula>
    </cfRule>
  </conditionalFormatting>
  <conditionalFormatting sqref="J58">
    <cfRule type="expression" dxfId="1284" priority="834">
      <formula>MOD(ROW(),2)=0</formula>
    </cfRule>
  </conditionalFormatting>
  <conditionalFormatting sqref="Q58:Q59">
    <cfRule type="expression" dxfId="1283" priority="833">
      <formula>MOD(ROW(),2)=0</formula>
    </cfRule>
  </conditionalFormatting>
  <conditionalFormatting sqref="J50">
    <cfRule type="expression" dxfId="1282" priority="862">
      <formula>MOD(ROW(),2)=0</formula>
    </cfRule>
  </conditionalFormatting>
  <conditionalFormatting sqref="Q47">
    <cfRule type="expression" dxfId="1281" priority="872">
      <formula>MOD(ROW(),2)=0</formula>
    </cfRule>
  </conditionalFormatting>
  <conditionalFormatting sqref="J48">
    <cfRule type="expression" dxfId="1280" priority="871">
      <formula>MOD(ROW(),2)=0</formula>
    </cfRule>
  </conditionalFormatting>
  <conditionalFormatting sqref="Q48">
    <cfRule type="expression" dxfId="1279" priority="870">
      <formula>MOD(ROW(),2)=0</formula>
    </cfRule>
  </conditionalFormatting>
  <conditionalFormatting sqref="M9">
    <cfRule type="expression" dxfId="1278" priority="1026">
      <formula>MOD(ROW(),2)=0</formula>
    </cfRule>
  </conditionalFormatting>
  <conditionalFormatting sqref="M10">
    <cfRule type="expression" dxfId="1277" priority="1025">
      <formula>MOD(ROW(),2)=0</formula>
    </cfRule>
  </conditionalFormatting>
  <conditionalFormatting sqref="M16:M18">
    <cfRule type="expression" dxfId="1276" priority="1016">
      <formula>MOD(ROW(),2)=0</formula>
    </cfRule>
  </conditionalFormatting>
  <conditionalFormatting sqref="Q19">
    <cfRule type="expression" dxfId="1275" priority="999">
      <formula>MOD(ROW(),2)=0</formula>
    </cfRule>
  </conditionalFormatting>
  <conditionalFormatting sqref="J20">
    <cfRule type="expression" dxfId="1274" priority="998">
      <formula>MOD(ROW(),2)=0</formula>
    </cfRule>
  </conditionalFormatting>
  <conditionalFormatting sqref="Q20">
    <cfRule type="expression" dxfId="1273" priority="997">
      <formula>MOD(ROW(),2)=0</formula>
    </cfRule>
  </conditionalFormatting>
  <conditionalFormatting sqref="I23 N22:N23 K22:L23">
    <cfRule type="expression" dxfId="1272" priority="996">
      <formula>MOD(ROW(),2)=0</formula>
    </cfRule>
  </conditionalFormatting>
  <conditionalFormatting sqref="H22">
    <cfRule type="expression" dxfId="1271" priority="995">
      <formula>MOD(ROW(),2)=0</formula>
    </cfRule>
  </conditionalFormatting>
  <conditionalFormatting sqref="I22">
    <cfRule type="expression" dxfId="1270" priority="994">
      <formula>MOD(ROW(),2)=0</formula>
    </cfRule>
  </conditionalFormatting>
  <conditionalFormatting sqref="O22">
    <cfRule type="expression" dxfId="1269" priority="993">
      <formula>MOD(ROW(),2)=0</formula>
    </cfRule>
  </conditionalFormatting>
  <conditionalFormatting sqref="P22">
    <cfRule type="expression" dxfId="1268" priority="992">
      <formula>MOD(ROW(),2)=0</formula>
    </cfRule>
  </conditionalFormatting>
  <conditionalFormatting sqref="H23">
    <cfRule type="expression" dxfId="1267" priority="991">
      <formula>MOD(ROW(),2)=0</formula>
    </cfRule>
  </conditionalFormatting>
  <conditionalFormatting sqref="O23">
    <cfRule type="expression" dxfId="1266" priority="990">
      <formula>MOD(ROW(),2)=0</formula>
    </cfRule>
  </conditionalFormatting>
  <conditionalFormatting sqref="J22">
    <cfRule type="expression" dxfId="1265" priority="988">
      <formula>MOD(ROW(),2)=0</formula>
    </cfRule>
  </conditionalFormatting>
  <conditionalFormatting sqref="Q22">
    <cfRule type="expression" dxfId="1264" priority="970">
      <formula>MOD(ROW(),2)=0</formula>
    </cfRule>
  </conditionalFormatting>
  <conditionalFormatting sqref="J23">
    <cfRule type="expression" dxfId="1263" priority="969">
      <formula>MOD(ROW(),2)=0</formula>
    </cfRule>
  </conditionalFormatting>
  <conditionalFormatting sqref="Q23">
    <cfRule type="expression" dxfId="1262" priority="968">
      <formula>MOD(ROW(),2)=0</formula>
    </cfRule>
  </conditionalFormatting>
  <conditionalFormatting sqref="I31 H32:L34 R30:R31 N32:R34 N30:N31 K30:L31">
    <cfRule type="expression" dxfId="1261" priority="966">
      <formula>MOD(ROW(),2)=0</formula>
    </cfRule>
  </conditionalFormatting>
  <conditionalFormatting sqref="H30">
    <cfRule type="expression" dxfId="1260" priority="965">
      <formula>MOD(ROW(),2)=0</formula>
    </cfRule>
  </conditionalFormatting>
  <conditionalFormatting sqref="I30">
    <cfRule type="expression" dxfId="1259" priority="964">
      <formula>MOD(ROW(),2)=0</formula>
    </cfRule>
  </conditionalFormatting>
  <conditionalFormatting sqref="O30">
    <cfRule type="expression" dxfId="1258" priority="963">
      <formula>MOD(ROW(),2)=0</formula>
    </cfRule>
  </conditionalFormatting>
  <conditionalFormatting sqref="P30">
    <cfRule type="expression" dxfId="1257" priority="962">
      <formula>MOD(ROW(),2)=0</formula>
    </cfRule>
  </conditionalFormatting>
  <conditionalFormatting sqref="H31">
    <cfRule type="expression" dxfId="1256" priority="961">
      <formula>MOD(ROW(),2)=0</formula>
    </cfRule>
  </conditionalFormatting>
  <conditionalFormatting sqref="O31">
    <cfRule type="expression" dxfId="1255" priority="960">
      <formula>MOD(ROW(),2)=0</formula>
    </cfRule>
  </conditionalFormatting>
  <conditionalFormatting sqref="J31">
    <cfRule type="expression" dxfId="1254" priority="959">
      <formula>MOD(ROW(),2)=0</formula>
    </cfRule>
  </conditionalFormatting>
  <conditionalFormatting sqref="J30">
    <cfRule type="expression" dxfId="1253" priority="957">
      <formula>MOD(ROW(),2)=0</formula>
    </cfRule>
  </conditionalFormatting>
  <conditionalFormatting sqref="Q30:Q31">
    <cfRule type="expression" dxfId="1252" priority="956">
      <formula>MOD(ROW(),2)=0</formula>
    </cfRule>
  </conditionalFormatting>
  <conditionalFormatting sqref="M30">
    <cfRule type="expression" dxfId="1251" priority="942">
      <formula>MOD(ROW(),2)=0</formula>
    </cfRule>
  </conditionalFormatting>
  <conditionalFormatting sqref="M31">
    <cfRule type="expression" dxfId="1250" priority="941">
      <formula>MOD(ROW(),2)=0</formula>
    </cfRule>
  </conditionalFormatting>
  <conditionalFormatting sqref="M32">
    <cfRule type="expression" dxfId="1249" priority="940">
      <formula>MOD(ROW(),2)=0</formula>
    </cfRule>
  </conditionalFormatting>
  <conditionalFormatting sqref="M33">
    <cfRule type="expression" dxfId="1248" priority="939">
      <formula>MOD(ROW(),2)=0</formula>
    </cfRule>
  </conditionalFormatting>
  <conditionalFormatting sqref="M34">
    <cfRule type="expression" dxfId="1247" priority="938">
      <formula>MOD(ROW(),2)=0</formula>
    </cfRule>
  </conditionalFormatting>
  <conditionalFormatting sqref="H42:R43 H56:R57 I38 I45 I48 R44:R45 N47:N48 N44:N45 H39:L41 R37:R38 K44:L45 N39:R41 H49:L49 N49:R49 H52:L55 H46:L46 N46:R46 N52:R55 N37:N38 K37:L38 R47:R48 K47:L48">
    <cfRule type="expression" dxfId="1246" priority="937">
      <formula>MOD(ROW(),2)=0</formula>
    </cfRule>
  </conditionalFormatting>
  <conditionalFormatting sqref="H37">
    <cfRule type="expression" dxfId="1245" priority="936">
      <formula>MOD(ROW(),2)=0</formula>
    </cfRule>
  </conditionalFormatting>
  <conditionalFormatting sqref="I37">
    <cfRule type="expression" dxfId="1244" priority="935">
      <formula>MOD(ROW(),2)=0</formula>
    </cfRule>
  </conditionalFormatting>
  <conditionalFormatting sqref="O37">
    <cfRule type="expression" dxfId="1243" priority="934">
      <formula>MOD(ROW(),2)=0</formula>
    </cfRule>
  </conditionalFormatting>
  <conditionalFormatting sqref="P37">
    <cfRule type="expression" dxfId="1242" priority="933">
      <formula>MOD(ROW(),2)=0</formula>
    </cfRule>
  </conditionalFormatting>
  <conditionalFormatting sqref="H44">
    <cfRule type="expression" dxfId="1241" priority="932">
      <formula>MOD(ROW(),2)=0</formula>
    </cfRule>
  </conditionalFormatting>
  <conditionalFormatting sqref="I44">
    <cfRule type="expression" dxfId="1240" priority="931">
      <formula>MOD(ROW(),2)=0</formula>
    </cfRule>
  </conditionalFormatting>
  <conditionalFormatting sqref="H47">
    <cfRule type="expression" dxfId="1239" priority="930">
      <formula>MOD(ROW(),2)=0</formula>
    </cfRule>
  </conditionalFormatting>
  <conditionalFormatting sqref="I47">
    <cfRule type="expression" dxfId="1238" priority="929">
      <formula>MOD(ROW(),2)=0</formula>
    </cfRule>
  </conditionalFormatting>
  <conditionalFormatting sqref="O44">
    <cfRule type="expression" dxfId="1237" priority="928">
      <formula>MOD(ROW(),2)=0</formula>
    </cfRule>
  </conditionalFormatting>
  <conditionalFormatting sqref="P44">
    <cfRule type="expression" dxfId="1236" priority="927">
      <formula>MOD(ROW(),2)=0</formula>
    </cfRule>
  </conditionalFormatting>
  <conditionalFormatting sqref="O47">
    <cfRule type="expression" dxfId="1235" priority="926">
      <formula>MOD(ROW(),2)=0</formula>
    </cfRule>
  </conditionalFormatting>
  <conditionalFormatting sqref="P47">
    <cfRule type="expression" dxfId="1234" priority="925">
      <formula>MOD(ROW(),2)=0</formula>
    </cfRule>
  </conditionalFormatting>
  <conditionalFormatting sqref="H38">
    <cfRule type="expression" dxfId="1233" priority="924">
      <formula>MOD(ROW(),2)=0</formula>
    </cfRule>
  </conditionalFormatting>
  <conditionalFormatting sqref="O38">
    <cfRule type="expression" dxfId="1232" priority="923">
      <formula>MOD(ROW(),2)=0</formula>
    </cfRule>
  </conditionalFormatting>
  <conditionalFormatting sqref="O45">
    <cfRule type="expression" dxfId="1231" priority="922">
      <formula>MOD(ROW(),2)=0</formula>
    </cfRule>
  </conditionalFormatting>
  <conditionalFormatting sqref="H45">
    <cfRule type="expression" dxfId="1230" priority="921">
      <formula>MOD(ROW(),2)=0</formula>
    </cfRule>
  </conditionalFormatting>
  <conditionalFormatting sqref="H48">
    <cfRule type="expression" dxfId="1229" priority="920">
      <formula>MOD(ROW(),2)=0</formula>
    </cfRule>
  </conditionalFormatting>
  <conditionalFormatting sqref="O48">
    <cfRule type="expression" dxfId="1228" priority="919">
      <formula>MOD(ROW(),2)=0</formula>
    </cfRule>
  </conditionalFormatting>
  <conditionalFormatting sqref="J38">
    <cfRule type="expression" dxfId="1227" priority="918">
      <formula>MOD(ROW(),2)=0</formula>
    </cfRule>
  </conditionalFormatting>
  <conditionalFormatting sqref="Q44">
    <cfRule type="expression" dxfId="1226" priority="917">
      <formula>MOD(ROW(),2)=0</formula>
    </cfRule>
  </conditionalFormatting>
  <conditionalFormatting sqref="Q45">
    <cfRule type="expression" dxfId="1225" priority="916">
      <formula>MOD(ROW(),2)=0</formula>
    </cfRule>
  </conditionalFormatting>
  <conditionalFormatting sqref="J37">
    <cfRule type="expression" dxfId="1224" priority="914">
      <formula>MOD(ROW(),2)=0</formula>
    </cfRule>
  </conditionalFormatting>
  <conditionalFormatting sqref="Q37:Q38">
    <cfRule type="expression" dxfId="1223" priority="913">
      <formula>MOD(ROW(),2)=0</formula>
    </cfRule>
  </conditionalFormatting>
  <conditionalFormatting sqref="J44:J45">
    <cfRule type="expression" dxfId="1222" priority="912">
      <formula>MOD(ROW(),2)=0</formula>
    </cfRule>
  </conditionalFormatting>
  <conditionalFormatting sqref="J47">
    <cfRule type="expression" dxfId="1221" priority="911">
      <formula>MOD(ROW(),2)=0</formula>
    </cfRule>
  </conditionalFormatting>
  <conditionalFormatting sqref="M37">
    <cfRule type="expression" dxfId="1220" priority="896">
      <formula>MOD(ROW(),2)=0</formula>
    </cfRule>
  </conditionalFormatting>
  <conditionalFormatting sqref="M38">
    <cfRule type="expression" dxfId="1219" priority="895">
      <formula>MOD(ROW(),2)=0</formula>
    </cfRule>
  </conditionalFormatting>
  <conditionalFormatting sqref="M39">
    <cfRule type="expression" dxfId="1218" priority="894">
      <formula>MOD(ROW(),2)=0</formula>
    </cfRule>
  </conditionalFormatting>
  <conditionalFormatting sqref="M40">
    <cfRule type="expression" dxfId="1217" priority="893">
      <formula>MOD(ROW(),2)=0</formula>
    </cfRule>
  </conditionalFormatting>
  <conditionalFormatting sqref="M41">
    <cfRule type="expression" dxfId="1216" priority="892">
      <formula>MOD(ROW(),2)=0</formula>
    </cfRule>
  </conditionalFormatting>
  <conditionalFormatting sqref="M44:M46">
    <cfRule type="expression" dxfId="1215" priority="886">
      <formula>MOD(ROW(),2)=0</formula>
    </cfRule>
  </conditionalFormatting>
  <conditionalFormatting sqref="I51 N50:N51 K50:L51">
    <cfRule type="expression" dxfId="1214" priority="869">
      <formula>MOD(ROW(),2)=0</formula>
    </cfRule>
  </conditionalFormatting>
  <conditionalFormatting sqref="H50">
    <cfRule type="expression" dxfId="1213" priority="868">
      <formula>MOD(ROW(),2)=0</formula>
    </cfRule>
  </conditionalFormatting>
  <conditionalFormatting sqref="P50">
    <cfRule type="expression" dxfId="1212" priority="865">
      <formula>MOD(ROW(),2)=0</formula>
    </cfRule>
  </conditionalFormatting>
  <conditionalFormatting sqref="H51">
    <cfRule type="expression" dxfId="1211" priority="864">
      <formula>MOD(ROW(),2)=0</formula>
    </cfRule>
  </conditionalFormatting>
  <conditionalFormatting sqref="O51">
    <cfRule type="expression" dxfId="1210" priority="863">
      <formula>MOD(ROW(),2)=0</formula>
    </cfRule>
  </conditionalFormatting>
  <conditionalFormatting sqref="M58">
    <cfRule type="expression" dxfId="1209" priority="819">
      <formula>MOD(ROW(),2)=0</formula>
    </cfRule>
  </conditionalFormatting>
  <conditionalFormatting sqref="M59">
    <cfRule type="expression" dxfId="1208" priority="818">
      <formula>MOD(ROW(),2)=0</formula>
    </cfRule>
  </conditionalFormatting>
  <conditionalFormatting sqref="M60">
    <cfRule type="expression" dxfId="1207" priority="817">
      <formula>MOD(ROW(),2)=0</formula>
    </cfRule>
  </conditionalFormatting>
  <conditionalFormatting sqref="M61">
    <cfRule type="expression" dxfId="1206" priority="816">
      <formula>MOD(ROW(),2)=0</formula>
    </cfRule>
  </conditionalFormatting>
  <conditionalFormatting sqref="M62">
    <cfRule type="expression" dxfId="1205" priority="815">
      <formula>MOD(ROW(),2)=0</formula>
    </cfRule>
  </conditionalFormatting>
  <conditionalFormatting sqref="H98:Q99 H112:Q113 I94 I101 I104 N103:N104 N100:N101 H95:L97 K100:L101 N95:Q97 H105:L105 N105:Q105 H108:L111 H102:L102 N102:Q102 N108:Q111 N93:N94 K93:L94 K103:L104">
    <cfRule type="expression" dxfId="1204" priority="814">
      <formula>MOD(ROW(),2)=0</formula>
    </cfRule>
  </conditionalFormatting>
  <conditionalFormatting sqref="H93">
    <cfRule type="expression" dxfId="1203" priority="813">
      <formula>MOD(ROW(),2)=0</formula>
    </cfRule>
  </conditionalFormatting>
  <conditionalFormatting sqref="I93">
    <cfRule type="expression" dxfId="1202" priority="812">
      <formula>MOD(ROW(),2)=0</formula>
    </cfRule>
  </conditionalFormatting>
  <conditionalFormatting sqref="O93">
    <cfRule type="expression" dxfId="1201" priority="811">
      <formula>MOD(ROW(),2)=0</formula>
    </cfRule>
  </conditionalFormatting>
  <conditionalFormatting sqref="P93">
    <cfRule type="expression" dxfId="1200" priority="810">
      <formula>MOD(ROW(),2)=0</formula>
    </cfRule>
  </conditionalFormatting>
  <conditionalFormatting sqref="H100">
    <cfRule type="expression" dxfId="1199" priority="809">
      <formula>MOD(ROW(),2)=0</formula>
    </cfRule>
  </conditionalFormatting>
  <conditionalFormatting sqref="I100">
    <cfRule type="expression" dxfId="1198" priority="808">
      <formula>MOD(ROW(),2)=0</formula>
    </cfRule>
  </conditionalFormatting>
  <conditionalFormatting sqref="H103">
    <cfRule type="expression" dxfId="1197" priority="807">
      <formula>MOD(ROW(),2)=0</formula>
    </cfRule>
  </conditionalFormatting>
  <conditionalFormatting sqref="I103">
    <cfRule type="expression" dxfId="1196" priority="806">
      <formula>MOD(ROW(),2)=0</formula>
    </cfRule>
  </conditionalFormatting>
  <conditionalFormatting sqref="O100">
    <cfRule type="expression" dxfId="1195" priority="805">
      <formula>MOD(ROW(),2)=0</formula>
    </cfRule>
  </conditionalFormatting>
  <conditionalFormatting sqref="P100">
    <cfRule type="expression" dxfId="1194" priority="804">
      <formula>MOD(ROW(),2)=0</formula>
    </cfRule>
  </conditionalFormatting>
  <conditionalFormatting sqref="O103">
    <cfRule type="expression" dxfId="1193" priority="803">
      <formula>MOD(ROW(),2)=0</formula>
    </cfRule>
  </conditionalFormatting>
  <conditionalFormatting sqref="P103">
    <cfRule type="expression" dxfId="1192" priority="802">
      <formula>MOD(ROW(),2)=0</formula>
    </cfRule>
  </conditionalFormatting>
  <conditionalFormatting sqref="H94">
    <cfRule type="expression" dxfId="1191" priority="801">
      <formula>MOD(ROW(),2)=0</formula>
    </cfRule>
  </conditionalFormatting>
  <conditionalFormatting sqref="O94">
    <cfRule type="expression" dxfId="1190" priority="800">
      <formula>MOD(ROW(),2)=0</formula>
    </cfRule>
  </conditionalFormatting>
  <conditionalFormatting sqref="O101">
    <cfRule type="expression" dxfId="1189" priority="799">
      <formula>MOD(ROW(),2)=0</formula>
    </cfRule>
  </conditionalFormatting>
  <conditionalFormatting sqref="H101">
    <cfRule type="expression" dxfId="1188" priority="798">
      <formula>MOD(ROW(),2)=0</formula>
    </cfRule>
  </conditionalFormatting>
  <conditionalFormatting sqref="H104">
    <cfRule type="expression" dxfId="1187" priority="797">
      <formula>MOD(ROW(),2)=0</formula>
    </cfRule>
  </conditionalFormatting>
  <conditionalFormatting sqref="O104">
    <cfRule type="expression" dxfId="1186" priority="796">
      <formula>MOD(ROW(),2)=0</formula>
    </cfRule>
  </conditionalFormatting>
  <conditionalFormatting sqref="J94">
    <cfRule type="expression" dxfId="1185" priority="795">
      <formula>MOD(ROW(),2)=0</formula>
    </cfRule>
  </conditionalFormatting>
  <conditionalFormatting sqref="Q100">
    <cfRule type="expression" dxfId="1184" priority="794">
      <formula>MOD(ROW(),2)=0</formula>
    </cfRule>
  </conditionalFormatting>
  <conditionalFormatting sqref="Q101">
    <cfRule type="expression" dxfId="1183" priority="793">
      <formula>MOD(ROW(),2)=0</formula>
    </cfRule>
  </conditionalFormatting>
  <conditionalFormatting sqref="J93">
    <cfRule type="expression" dxfId="1182" priority="791">
      <formula>MOD(ROW(),2)=0</formula>
    </cfRule>
  </conditionalFormatting>
  <conditionalFormatting sqref="Q93:Q94">
    <cfRule type="expression" dxfId="1181" priority="790">
      <formula>MOD(ROW(),2)=0</formula>
    </cfRule>
  </conditionalFormatting>
  <conditionalFormatting sqref="J100:J101">
    <cfRule type="expression" dxfId="1180" priority="789">
      <formula>MOD(ROW(),2)=0</formula>
    </cfRule>
  </conditionalFormatting>
  <conditionalFormatting sqref="J103">
    <cfRule type="expression" dxfId="1179" priority="788">
      <formula>MOD(ROW(),2)=0</formula>
    </cfRule>
  </conditionalFormatting>
  <conditionalFormatting sqref="M93">
    <cfRule type="expression" dxfId="1178" priority="773">
      <formula>MOD(ROW(),2)=0</formula>
    </cfRule>
  </conditionalFormatting>
  <conditionalFormatting sqref="M94">
    <cfRule type="expression" dxfId="1177" priority="772">
      <formula>MOD(ROW(),2)=0</formula>
    </cfRule>
  </conditionalFormatting>
  <conditionalFormatting sqref="M95">
    <cfRule type="expression" dxfId="1176" priority="771">
      <formula>MOD(ROW(),2)=0</formula>
    </cfRule>
  </conditionalFormatting>
  <conditionalFormatting sqref="M96">
    <cfRule type="expression" dxfId="1175" priority="770">
      <formula>MOD(ROW(),2)=0</formula>
    </cfRule>
  </conditionalFormatting>
  <conditionalFormatting sqref="M97">
    <cfRule type="expression" dxfId="1174" priority="769">
      <formula>MOD(ROW(),2)=0</formula>
    </cfRule>
  </conditionalFormatting>
  <conditionalFormatting sqref="M100:M102">
    <cfRule type="expression" dxfId="1173" priority="763">
      <formula>MOD(ROW(),2)=0</formula>
    </cfRule>
  </conditionalFormatting>
  <conditionalFormatting sqref="Q103">
    <cfRule type="expression" dxfId="1172" priority="749">
      <formula>MOD(ROW(),2)=0</formula>
    </cfRule>
  </conditionalFormatting>
  <conditionalFormatting sqref="J104">
    <cfRule type="expression" dxfId="1171" priority="748">
      <formula>MOD(ROW(),2)=0</formula>
    </cfRule>
  </conditionalFormatting>
  <conditionalFormatting sqref="Q104">
    <cfRule type="expression" dxfId="1170" priority="747">
      <formula>MOD(ROW(),2)=0</formula>
    </cfRule>
  </conditionalFormatting>
  <conditionalFormatting sqref="I107 N106:N107 K106:L107">
    <cfRule type="expression" dxfId="1169" priority="746">
      <formula>MOD(ROW(),2)=0</formula>
    </cfRule>
  </conditionalFormatting>
  <conditionalFormatting sqref="H106">
    <cfRule type="expression" dxfId="1168" priority="745">
      <formula>MOD(ROW(),2)=0</formula>
    </cfRule>
  </conditionalFormatting>
  <conditionalFormatting sqref="I106">
    <cfRule type="expression" dxfId="1167" priority="744">
      <formula>MOD(ROW(),2)=0</formula>
    </cfRule>
  </conditionalFormatting>
  <conditionalFormatting sqref="O106">
    <cfRule type="expression" dxfId="1166" priority="743">
      <formula>MOD(ROW(),2)=0</formula>
    </cfRule>
  </conditionalFormatting>
  <conditionalFormatting sqref="P106">
    <cfRule type="expression" dxfId="1165" priority="742">
      <formula>MOD(ROW(),2)=0</formula>
    </cfRule>
  </conditionalFormatting>
  <conditionalFormatting sqref="H107">
    <cfRule type="expression" dxfId="1164" priority="741">
      <formula>MOD(ROW(),2)=0</formula>
    </cfRule>
  </conditionalFormatting>
  <conditionalFormatting sqref="O107">
    <cfRule type="expression" dxfId="1163" priority="740">
      <formula>MOD(ROW(),2)=0</formula>
    </cfRule>
  </conditionalFormatting>
  <conditionalFormatting sqref="J106">
    <cfRule type="expression" dxfId="1162" priority="739">
      <formula>MOD(ROW(),2)=0</formula>
    </cfRule>
  </conditionalFormatting>
  <conditionalFormatting sqref="Q106">
    <cfRule type="expression" dxfId="1161" priority="724">
      <formula>MOD(ROW(),2)=0</formula>
    </cfRule>
  </conditionalFormatting>
  <conditionalFormatting sqref="J107">
    <cfRule type="expression" dxfId="1160" priority="723">
      <formula>MOD(ROW(),2)=0</formula>
    </cfRule>
  </conditionalFormatting>
  <conditionalFormatting sqref="Q107">
    <cfRule type="expression" dxfId="1159" priority="722">
      <formula>MOD(ROW(),2)=0</formula>
    </cfRule>
  </conditionalFormatting>
  <conditionalFormatting sqref="I115 H116:L118 N116:Q118 N114:N115 K114:L115">
    <cfRule type="expression" dxfId="1158" priority="720">
      <formula>MOD(ROW(),2)=0</formula>
    </cfRule>
  </conditionalFormatting>
  <conditionalFormatting sqref="H114">
    <cfRule type="expression" dxfId="1157" priority="719">
      <formula>MOD(ROW(),2)=0</formula>
    </cfRule>
  </conditionalFormatting>
  <conditionalFormatting sqref="I114">
    <cfRule type="expression" dxfId="1156" priority="718">
      <formula>MOD(ROW(),2)=0</formula>
    </cfRule>
  </conditionalFormatting>
  <conditionalFormatting sqref="O114">
    <cfRule type="expression" dxfId="1155" priority="717">
      <formula>MOD(ROW(),2)=0</formula>
    </cfRule>
  </conditionalFormatting>
  <conditionalFormatting sqref="P114">
    <cfRule type="expression" dxfId="1154" priority="716">
      <formula>MOD(ROW(),2)=0</formula>
    </cfRule>
  </conditionalFormatting>
  <conditionalFormatting sqref="H115">
    <cfRule type="expression" dxfId="1153" priority="715">
      <formula>MOD(ROW(),2)=0</formula>
    </cfRule>
  </conditionalFormatting>
  <conditionalFormatting sqref="O115">
    <cfRule type="expression" dxfId="1152" priority="714">
      <formula>MOD(ROW(),2)=0</formula>
    </cfRule>
  </conditionalFormatting>
  <conditionalFormatting sqref="J115">
    <cfRule type="expression" dxfId="1151" priority="713">
      <formula>MOD(ROW(),2)=0</formula>
    </cfRule>
  </conditionalFormatting>
  <conditionalFormatting sqref="J114">
    <cfRule type="expression" dxfId="1150" priority="711">
      <formula>MOD(ROW(),2)=0</formula>
    </cfRule>
  </conditionalFormatting>
  <conditionalFormatting sqref="Q114:Q115">
    <cfRule type="expression" dxfId="1149" priority="710">
      <formula>MOD(ROW(),2)=0</formula>
    </cfRule>
  </conditionalFormatting>
  <conditionalFormatting sqref="M114">
    <cfRule type="expression" dxfId="1148" priority="696">
      <formula>MOD(ROW(),2)=0</formula>
    </cfRule>
  </conditionalFormatting>
  <conditionalFormatting sqref="M115">
    <cfRule type="expression" dxfId="1147" priority="695">
      <formula>MOD(ROW(),2)=0</formula>
    </cfRule>
  </conditionalFormatting>
  <conditionalFormatting sqref="M116">
    <cfRule type="expression" dxfId="1146" priority="694">
      <formula>MOD(ROW(),2)=0</formula>
    </cfRule>
  </conditionalFormatting>
  <conditionalFormatting sqref="M117">
    <cfRule type="expression" dxfId="1145" priority="693">
      <formula>MOD(ROW(),2)=0</formula>
    </cfRule>
  </conditionalFormatting>
  <conditionalFormatting sqref="M118">
    <cfRule type="expression" dxfId="1144" priority="692">
      <formula>MOD(ROW(),2)=0</formula>
    </cfRule>
  </conditionalFormatting>
  <conditionalFormatting sqref="H126:Q127 I122 H123:L125 N123:Q125 H133:I133 H130:I130 N121:N122 K121:L122">
    <cfRule type="expression" dxfId="1143" priority="691">
      <formula>MOD(ROW(),2)=0</formula>
    </cfRule>
  </conditionalFormatting>
  <conditionalFormatting sqref="H121">
    <cfRule type="expression" dxfId="1142" priority="690">
      <formula>MOD(ROW(),2)=0</formula>
    </cfRule>
  </conditionalFormatting>
  <conditionalFormatting sqref="I121">
    <cfRule type="expression" dxfId="1141" priority="689">
      <formula>MOD(ROW(),2)=0</formula>
    </cfRule>
  </conditionalFormatting>
  <conditionalFormatting sqref="O121">
    <cfRule type="expression" dxfId="1140" priority="688">
      <formula>MOD(ROW(),2)=0</formula>
    </cfRule>
  </conditionalFormatting>
  <conditionalFormatting sqref="P121">
    <cfRule type="expression" dxfId="1139" priority="687">
      <formula>MOD(ROW(),2)=0</formula>
    </cfRule>
  </conditionalFormatting>
  <conditionalFormatting sqref="M121">
    <cfRule type="expression" dxfId="1138" priority="650">
      <formula>MOD(ROW(),2)=0</formula>
    </cfRule>
  </conditionalFormatting>
  <conditionalFormatting sqref="H122">
    <cfRule type="expression" dxfId="1137" priority="678">
      <formula>MOD(ROW(),2)=0</formula>
    </cfRule>
  </conditionalFormatting>
  <conditionalFormatting sqref="O122">
    <cfRule type="expression" dxfId="1136" priority="677">
      <formula>MOD(ROW(),2)=0</formula>
    </cfRule>
  </conditionalFormatting>
  <conditionalFormatting sqref="J122">
    <cfRule type="expression" dxfId="1135" priority="672">
      <formula>MOD(ROW(),2)=0</formula>
    </cfRule>
  </conditionalFormatting>
  <conditionalFormatting sqref="J121">
    <cfRule type="expression" dxfId="1134" priority="668">
      <formula>MOD(ROW(),2)=0</formula>
    </cfRule>
  </conditionalFormatting>
  <conditionalFormatting sqref="Q121:Q122">
    <cfRule type="expression" dxfId="1133" priority="667">
      <formula>MOD(ROW(),2)=0</formula>
    </cfRule>
  </conditionalFormatting>
  <conditionalFormatting sqref="H137">
    <cfRule type="expression" dxfId="1132" priority="622">
      <formula>MOD(ROW(),2)=0</formula>
    </cfRule>
  </conditionalFormatting>
  <conditionalFormatting sqref="M122">
    <cfRule type="expression" dxfId="1131" priority="649">
      <formula>MOD(ROW(),2)=0</formula>
    </cfRule>
  </conditionalFormatting>
  <conditionalFormatting sqref="M123">
    <cfRule type="expression" dxfId="1130" priority="648">
      <formula>MOD(ROW(),2)=0</formula>
    </cfRule>
  </conditionalFormatting>
  <conditionalFormatting sqref="M124">
    <cfRule type="expression" dxfId="1129" priority="647">
      <formula>MOD(ROW(),2)=0</formula>
    </cfRule>
  </conditionalFormatting>
  <conditionalFormatting sqref="M125">
    <cfRule type="expression" dxfId="1128" priority="646">
      <formula>MOD(ROW(),2)=0</formula>
    </cfRule>
  </conditionalFormatting>
  <conditionalFormatting sqref="I138 P138 N137:N138 K134:L134 N134 K137:L138">
    <cfRule type="expression" dxfId="1127" priority="623">
      <formula>MOD(ROW(),2)=0</formula>
    </cfRule>
  </conditionalFormatting>
  <conditionalFormatting sqref="I137">
    <cfRule type="expression" dxfId="1126" priority="621">
      <formula>MOD(ROW(),2)=0</formula>
    </cfRule>
  </conditionalFormatting>
  <conditionalFormatting sqref="O137">
    <cfRule type="expression" dxfId="1125" priority="620">
      <formula>MOD(ROW(),2)=0</formula>
    </cfRule>
  </conditionalFormatting>
  <conditionalFormatting sqref="P137">
    <cfRule type="expression" dxfId="1124" priority="619">
      <formula>MOD(ROW(),2)=0</formula>
    </cfRule>
  </conditionalFormatting>
  <conditionalFormatting sqref="H138">
    <cfRule type="expression" dxfId="1123" priority="618">
      <formula>MOD(ROW(),2)=0</formula>
    </cfRule>
  </conditionalFormatting>
  <conditionalFormatting sqref="O138">
    <cfRule type="expression" dxfId="1122" priority="617">
      <formula>MOD(ROW(),2)=0</formula>
    </cfRule>
  </conditionalFormatting>
  <conditionalFormatting sqref="J137">
    <cfRule type="expression" dxfId="1121" priority="616">
      <formula>MOD(ROW(),2)=0</formula>
    </cfRule>
  </conditionalFormatting>
  <conditionalFormatting sqref="J134">
    <cfRule type="expression" dxfId="1120" priority="615">
      <formula>MOD(ROW(),2)=0</formula>
    </cfRule>
  </conditionalFormatting>
  <conditionalFormatting sqref="H134:I134">
    <cfRule type="expression" dxfId="1119" priority="614">
      <formula>MOD(ROW(),2)=0</formula>
    </cfRule>
  </conditionalFormatting>
  <conditionalFormatting sqref="O134:P134">
    <cfRule type="expression" dxfId="1118" priority="612">
      <formula>MOD(ROW(),2)=0</formula>
    </cfRule>
  </conditionalFormatting>
  <conditionalFormatting sqref="H135:I135">
    <cfRule type="expression" dxfId="1117" priority="609">
      <formula>MOD(ROW(),2)=0</formula>
    </cfRule>
  </conditionalFormatting>
  <conditionalFormatting sqref="H136:I136">
    <cfRule type="expression" dxfId="1116" priority="604">
      <formula>MOD(ROW(),2)=0</formula>
    </cfRule>
  </conditionalFormatting>
  <conditionalFormatting sqref="J138">
    <cfRule type="expression" dxfId="1115" priority="600">
      <formula>MOD(ROW(),2)=0</formula>
    </cfRule>
  </conditionalFormatting>
  <conditionalFormatting sqref="Q138">
    <cfRule type="expression" dxfId="1114" priority="599">
      <formula>MOD(ROW(),2)=0</formula>
    </cfRule>
  </conditionalFormatting>
  <conditionalFormatting sqref="Q137">
    <cfRule type="expression" dxfId="1113" priority="601">
      <formula>MOD(ROW(),2)=0</formula>
    </cfRule>
  </conditionalFormatting>
  <conditionalFormatting sqref="M137:M138">
    <cfRule type="expression" dxfId="1112" priority="598">
      <formula>MOD(ROW(),2)=0</formula>
    </cfRule>
  </conditionalFormatting>
  <conditionalFormatting sqref="P72">
    <cfRule type="expression" dxfId="1111" priority="517">
      <formula>MOD(ROW(),2)=0</formula>
    </cfRule>
  </conditionalFormatting>
  <conditionalFormatting sqref="J73">
    <cfRule type="expression" dxfId="1110" priority="514">
      <formula>MOD(ROW(),2)=0</formula>
    </cfRule>
  </conditionalFormatting>
  <conditionalFormatting sqref="J72">
    <cfRule type="expression" dxfId="1109" priority="513">
      <formula>MOD(ROW(),2)=0</formula>
    </cfRule>
  </conditionalFormatting>
  <conditionalFormatting sqref="Q72:Q73">
    <cfRule type="expression" dxfId="1108" priority="512">
      <formula>MOD(ROW(),2)=0</formula>
    </cfRule>
  </conditionalFormatting>
  <conditionalFormatting sqref="M72">
    <cfRule type="expression" dxfId="1107" priority="511">
      <formula>MOD(ROW(),2)=0</formula>
    </cfRule>
  </conditionalFormatting>
  <conditionalFormatting sqref="M73">
    <cfRule type="expression" dxfId="1106" priority="510">
      <formula>MOD(ROW(),2)=0</formula>
    </cfRule>
  </conditionalFormatting>
  <conditionalFormatting sqref="I66 N65:N66 K65:L66">
    <cfRule type="expression" dxfId="1105" priority="553">
      <formula>MOD(ROW(),2)=0</formula>
    </cfRule>
  </conditionalFormatting>
  <conditionalFormatting sqref="H65">
    <cfRule type="expression" dxfId="1104" priority="552">
      <formula>MOD(ROW(),2)=0</formula>
    </cfRule>
  </conditionalFormatting>
  <conditionalFormatting sqref="I65">
    <cfRule type="expression" dxfId="1103" priority="551">
      <formula>MOD(ROW(),2)=0</formula>
    </cfRule>
  </conditionalFormatting>
  <conditionalFormatting sqref="O65">
    <cfRule type="expression" dxfId="1102" priority="550">
      <formula>MOD(ROW(),2)=0</formula>
    </cfRule>
  </conditionalFormatting>
  <conditionalFormatting sqref="P65">
    <cfRule type="expression" dxfId="1101" priority="549">
      <formula>MOD(ROW(),2)=0</formula>
    </cfRule>
  </conditionalFormatting>
  <conditionalFormatting sqref="H66">
    <cfRule type="expression" dxfId="1100" priority="548">
      <formula>MOD(ROW(),2)=0</formula>
    </cfRule>
  </conditionalFormatting>
  <conditionalFormatting sqref="O66">
    <cfRule type="expression" dxfId="1099" priority="547">
      <formula>MOD(ROW(),2)=0</formula>
    </cfRule>
  </conditionalFormatting>
  <conditionalFormatting sqref="J66">
    <cfRule type="expression" dxfId="1098" priority="546">
      <formula>MOD(ROW(),2)=0</formula>
    </cfRule>
  </conditionalFormatting>
  <conditionalFormatting sqref="J65">
    <cfRule type="expression" dxfId="1097" priority="545">
      <formula>MOD(ROW(),2)=0</formula>
    </cfRule>
  </conditionalFormatting>
  <conditionalFormatting sqref="Q65:Q66">
    <cfRule type="expression" dxfId="1096" priority="544">
      <formula>MOD(ROW(),2)=0</formula>
    </cfRule>
  </conditionalFormatting>
  <conditionalFormatting sqref="M65">
    <cfRule type="expression" dxfId="1095" priority="543">
      <formula>MOD(ROW(),2)=0</formula>
    </cfRule>
  </conditionalFormatting>
  <conditionalFormatting sqref="M66">
    <cfRule type="expression" dxfId="1094" priority="542">
      <formula>MOD(ROW(),2)=0</formula>
    </cfRule>
  </conditionalFormatting>
  <conditionalFormatting sqref="I73 N72:N73 K72:L73">
    <cfRule type="expression" dxfId="1093" priority="521">
      <formula>MOD(ROW(),2)=0</formula>
    </cfRule>
  </conditionalFormatting>
  <conditionalFormatting sqref="H72">
    <cfRule type="expression" dxfId="1092" priority="520">
      <formula>MOD(ROW(),2)=0</formula>
    </cfRule>
  </conditionalFormatting>
  <conditionalFormatting sqref="I72">
    <cfRule type="expression" dxfId="1091" priority="519">
      <formula>MOD(ROW(),2)=0</formula>
    </cfRule>
  </conditionalFormatting>
  <conditionalFormatting sqref="O72">
    <cfRule type="expression" dxfId="1090" priority="518">
      <formula>MOD(ROW(),2)=0</formula>
    </cfRule>
  </conditionalFormatting>
  <conditionalFormatting sqref="H73">
    <cfRule type="expression" dxfId="1089" priority="516">
      <formula>MOD(ROW(),2)=0</formula>
    </cfRule>
  </conditionalFormatting>
  <conditionalFormatting sqref="O73">
    <cfRule type="expression" dxfId="1088" priority="515">
      <formula>MOD(ROW(),2)=0</formula>
    </cfRule>
  </conditionalFormatting>
  <conditionalFormatting sqref="I75">
    <cfRule type="expression" dxfId="1087" priority="490">
      <formula>MOD(ROW(),2)=0</formula>
    </cfRule>
  </conditionalFormatting>
  <conditionalFormatting sqref="O75">
    <cfRule type="expression" dxfId="1086" priority="489">
      <formula>MOD(ROW(),2)=0</formula>
    </cfRule>
  </conditionalFormatting>
  <conditionalFormatting sqref="Q75">
    <cfRule type="expression" dxfId="1085" priority="486">
      <formula>MOD(ROW(),2)=0</formula>
    </cfRule>
  </conditionalFormatting>
  <conditionalFormatting sqref="M75">
    <cfRule type="expression" dxfId="1084" priority="485">
      <formula>MOD(ROW(),2)=0</formula>
    </cfRule>
  </conditionalFormatting>
  <conditionalFormatting sqref="N75 K75:L75">
    <cfRule type="expression" dxfId="1083" priority="492">
      <formula>MOD(ROW(),2)=0</formula>
    </cfRule>
  </conditionalFormatting>
  <conditionalFormatting sqref="H75">
    <cfRule type="expression" dxfId="1082" priority="491">
      <formula>MOD(ROW(),2)=0</formula>
    </cfRule>
  </conditionalFormatting>
  <conditionalFormatting sqref="P75">
    <cfRule type="expression" dxfId="1081" priority="488">
      <formula>MOD(ROW(),2)=0</formula>
    </cfRule>
  </conditionalFormatting>
  <conditionalFormatting sqref="J75">
    <cfRule type="expression" dxfId="1080" priority="487">
      <formula>MOD(ROW(),2)=0</formula>
    </cfRule>
  </conditionalFormatting>
  <conditionalFormatting sqref="I78">
    <cfRule type="expression" dxfId="1079" priority="482">
      <formula>MOD(ROW(),2)=0</formula>
    </cfRule>
  </conditionalFormatting>
  <conditionalFormatting sqref="O78">
    <cfRule type="expression" dxfId="1078" priority="481">
      <formula>MOD(ROW(),2)=0</formula>
    </cfRule>
  </conditionalFormatting>
  <conditionalFormatting sqref="Q78">
    <cfRule type="expression" dxfId="1077" priority="478">
      <formula>MOD(ROW(),2)=0</formula>
    </cfRule>
  </conditionalFormatting>
  <conditionalFormatting sqref="M78">
    <cfRule type="expression" dxfId="1076" priority="477">
      <formula>MOD(ROW(),2)=0</formula>
    </cfRule>
  </conditionalFormatting>
  <conditionalFormatting sqref="N78 K78:L78">
    <cfRule type="expression" dxfId="1075" priority="484">
      <formula>MOD(ROW(),2)=0</formula>
    </cfRule>
  </conditionalFormatting>
  <conditionalFormatting sqref="H78">
    <cfRule type="expression" dxfId="1074" priority="483">
      <formula>MOD(ROW(),2)=0</formula>
    </cfRule>
  </conditionalFormatting>
  <conditionalFormatting sqref="P78">
    <cfRule type="expression" dxfId="1073" priority="480">
      <formula>MOD(ROW(),2)=0</formula>
    </cfRule>
  </conditionalFormatting>
  <conditionalFormatting sqref="J78">
    <cfRule type="expression" dxfId="1072" priority="479">
      <formula>MOD(ROW(),2)=0</formula>
    </cfRule>
  </conditionalFormatting>
  <conditionalFormatting sqref="J76">
    <cfRule type="expression" dxfId="1071" priority="473">
      <formula>MOD(ROW(),2)=0</formula>
    </cfRule>
  </conditionalFormatting>
  <conditionalFormatting sqref="Q76">
    <cfRule type="expression" dxfId="1070" priority="472">
      <formula>MOD(ROW(),2)=0</formula>
    </cfRule>
  </conditionalFormatting>
  <conditionalFormatting sqref="M76">
    <cfRule type="expression" dxfId="1069" priority="471">
      <formula>MOD(ROW(),2)=0</formula>
    </cfRule>
  </conditionalFormatting>
  <conditionalFormatting sqref="I76 N76 K76:L76">
    <cfRule type="expression" dxfId="1068" priority="476">
      <formula>MOD(ROW(),2)=0</formula>
    </cfRule>
  </conditionalFormatting>
  <conditionalFormatting sqref="H76">
    <cfRule type="expression" dxfId="1067" priority="475">
      <formula>MOD(ROW(),2)=0</formula>
    </cfRule>
  </conditionalFormatting>
  <conditionalFormatting sqref="O76">
    <cfRule type="expression" dxfId="1066" priority="474">
      <formula>MOD(ROW(),2)=0</formula>
    </cfRule>
  </conditionalFormatting>
  <conditionalFormatting sqref="J79">
    <cfRule type="expression" dxfId="1065" priority="467">
      <formula>MOD(ROW(),2)=0</formula>
    </cfRule>
  </conditionalFormatting>
  <conditionalFormatting sqref="Q79">
    <cfRule type="expression" dxfId="1064" priority="466">
      <formula>MOD(ROW(),2)=0</formula>
    </cfRule>
  </conditionalFormatting>
  <conditionalFormatting sqref="M79">
    <cfRule type="expression" dxfId="1063" priority="465">
      <formula>MOD(ROW(),2)=0</formula>
    </cfRule>
  </conditionalFormatting>
  <conditionalFormatting sqref="I79 N79 K79:L79">
    <cfRule type="expression" dxfId="1062" priority="470">
      <formula>MOD(ROW(),2)=0</formula>
    </cfRule>
  </conditionalFormatting>
  <conditionalFormatting sqref="H79">
    <cfRule type="expression" dxfId="1061" priority="469">
      <formula>MOD(ROW(),2)=0</formula>
    </cfRule>
  </conditionalFormatting>
  <conditionalFormatting sqref="O79">
    <cfRule type="expression" dxfId="1060" priority="468">
      <formula>MOD(ROW(),2)=0</formula>
    </cfRule>
  </conditionalFormatting>
  <conditionalFormatting sqref="I87 N86:N87 K86:L87">
    <cfRule type="expression" dxfId="1059" priority="448">
      <formula>MOD(ROW(),2)=0</formula>
    </cfRule>
  </conditionalFormatting>
  <conditionalFormatting sqref="H86">
    <cfRule type="expression" dxfId="1058" priority="447">
      <formula>MOD(ROW(),2)=0</formula>
    </cfRule>
  </conditionalFormatting>
  <conditionalFormatting sqref="I86">
    <cfRule type="expression" dxfId="1057" priority="446">
      <formula>MOD(ROW(),2)=0</formula>
    </cfRule>
  </conditionalFormatting>
  <conditionalFormatting sqref="O86">
    <cfRule type="expression" dxfId="1056" priority="445">
      <formula>MOD(ROW(),2)=0</formula>
    </cfRule>
  </conditionalFormatting>
  <conditionalFormatting sqref="P86">
    <cfRule type="expression" dxfId="1055" priority="444">
      <formula>MOD(ROW(),2)=0</formula>
    </cfRule>
  </conditionalFormatting>
  <conditionalFormatting sqref="H87">
    <cfRule type="expression" dxfId="1054" priority="443">
      <formula>MOD(ROW(),2)=0</formula>
    </cfRule>
  </conditionalFormatting>
  <conditionalFormatting sqref="O87">
    <cfRule type="expression" dxfId="1053" priority="442">
      <formula>MOD(ROW(),2)=0</formula>
    </cfRule>
  </conditionalFormatting>
  <conditionalFormatting sqref="J87">
    <cfRule type="expression" dxfId="1052" priority="441">
      <formula>MOD(ROW(),2)=0</formula>
    </cfRule>
  </conditionalFormatting>
  <conditionalFormatting sqref="J86">
    <cfRule type="expression" dxfId="1051" priority="440">
      <formula>MOD(ROW(),2)=0</formula>
    </cfRule>
  </conditionalFormatting>
  <conditionalFormatting sqref="Q86:Q87">
    <cfRule type="expression" dxfId="1050" priority="439">
      <formula>MOD(ROW(),2)=0</formula>
    </cfRule>
  </conditionalFormatting>
  <conditionalFormatting sqref="M86">
    <cfRule type="expression" dxfId="1049" priority="438">
      <formula>MOD(ROW(),2)=0</formula>
    </cfRule>
  </conditionalFormatting>
  <conditionalFormatting sqref="M87">
    <cfRule type="expression" dxfId="1048" priority="437">
      <formula>MOD(ROW(),2)=0</formula>
    </cfRule>
  </conditionalFormatting>
  <conditionalFormatting sqref="I143 H144:L146 L139 N139 N144:Q146 H139:I139 N142:N143 K142:L143">
    <cfRule type="expression" dxfId="1047" priority="431">
      <formula>MOD(ROW(),2)=0</formula>
    </cfRule>
  </conditionalFormatting>
  <conditionalFormatting sqref="H142">
    <cfRule type="expression" dxfId="1046" priority="430">
      <formula>MOD(ROW(),2)=0</formula>
    </cfRule>
  </conditionalFormatting>
  <conditionalFormatting sqref="I142">
    <cfRule type="expression" dxfId="1045" priority="429">
      <formula>MOD(ROW(),2)=0</formula>
    </cfRule>
  </conditionalFormatting>
  <conditionalFormatting sqref="O142">
    <cfRule type="expression" dxfId="1044" priority="428">
      <formula>MOD(ROW(),2)=0</formula>
    </cfRule>
  </conditionalFormatting>
  <conditionalFormatting sqref="P142">
    <cfRule type="expression" dxfId="1043" priority="427">
      <formula>MOD(ROW(),2)=0</formula>
    </cfRule>
  </conditionalFormatting>
  <conditionalFormatting sqref="H143">
    <cfRule type="expression" dxfId="1042" priority="426">
      <formula>MOD(ROW(),2)=0</formula>
    </cfRule>
  </conditionalFormatting>
  <conditionalFormatting sqref="O143">
    <cfRule type="expression" dxfId="1041" priority="425">
      <formula>MOD(ROW(),2)=0</formula>
    </cfRule>
  </conditionalFormatting>
  <conditionalFormatting sqref="J143">
    <cfRule type="expression" dxfId="1040" priority="424">
      <formula>MOD(ROW(),2)=0</formula>
    </cfRule>
  </conditionalFormatting>
  <conditionalFormatting sqref="M139">
    <cfRule type="expression" dxfId="1039" priority="423">
      <formula>MOD(ROW(),2)=0</formula>
    </cfRule>
  </conditionalFormatting>
  <conditionalFormatting sqref="J142">
    <cfRule type="expression" dxfId="1038" priority="422">
      <formula>MOD(ROW(),2)=0</formula>
    </cfRule>
  </conditionalFormatting>
  <conditionalFormatting sqref="Q142:Q143">
    <cfRule type="expression" dxfId="1037" priority="421">
      <formula>MOD(ROW(),2)=0</formula>
    </cfRule>
  </conditionalFormatting>
  <conditionalFormatting sqref="J139">
    <cfRule type="expression" dxfId="1036" priority="420">
      <formula>MOD(ROW(),2)=0</formula>
    </cfRule>
  </conditionalFormatting>
  <conditionalFormatting sqref="O139:P139">
    <cfRule type="expression" dxfId="1035" priority="419">
      <formula>MOD(ROW(),2)=0</formula>
    </cfRule>
  </conditionalFormatting>
  <conditionalFormatting sqref="Q139">
    <cfRule type="expression" dxfId="1034" priority="418">
      <formula>MOD(ROW(),2)=0</formula>
    </cfRule>
  </conditionalFormatting>
  <conditionalFormatting sqref="L140 N140 H140:I140">
    <cfRule type="expression" dxfId="1033" priority="417">
      <formula>MOD(ROW(),2)=0</formula>
    </cfRule>
  </conditionalFormatting>
  <conditionalFormatting sqref="M140">
    <cfRule type="expression" dxfId="1032" priority="416">
      <formula>MOD(ROW(),2)=0</formula>
    </cfRule>
  </conditionalFormatting>
  <conditionalFormatting sqref="J140">
    <cfRule type="expression" dxfId="1031" priority="415">
      <formula>MOD(ROW(),2)=0</formula>
    </cfRule>
  </conditionalFormatting>
  <conditionalFormatting sqref="O140:P140">
    <cfRule type="expression" dxfId="1030" priority="414">
      <formula>MOD(ROW(),2)=0</formula>
    </cfRule>
  </conditionalFormatting>
  <conditionalFormatting sqref="Q140">
    <cfRule type="expression" dxfId="1029" priority="413">
      <formula>MOD(ROW(),2)=0</formula>
    </cfRule>
  </conditionalFormatting>
  <conditionalFormatting sqref="L141 N141 H141:I141">
    <cfRule type="expression" dxfId="1028" priority="412">
      <formula>MOD(ROW(),2)=0</formula>
    </cfRule>
  </conditionalFormatting>
  <conditionalFormatting sqref="M141">
    <cfRule type="expression" dxfId="1027" priority="411">
      <formula>MOD(ROW(),2)=0</formula>
    </cfRule>
  </conditionalFormatting>
  <conditionalFormatting sqref="J141">
    <cfRule type="expression" dxfId="1026" priority="410">
      <formula>MOD(ROW(),2)=0</formula>
    </cfRule>
  </conditionalFormatting>
  <conditionalFormatting sqref="O141:P141">
    <cfRule type="expression" dxfId="1025" priority="409">
      <formula>MOD(ROW(),2)=0</formula>
    </cfRule>
  </conditionalFormatting>
  <conditionalFormatting sqref="Q141">
    <cfRule type="expression" dxfId="1024" priority="408">
      <formula>MOD(ROW(),2)=0</formula>
    </cfRule>
  </conditionalFormatting>
  <conditionalFormatting sqref="M142">
    <cfRule type="expression" dxfId="1023" priority="407">
      <formula>MOD(ROW(),2)=0</formula>
    </cfRule>
  </conditionalFormatting>
  <conditionalFormatting sqref="M143">
    <cfRule type="expression" dxfId="1022" priority="406">
      <formula>MOD(ROW(),2)=0</formula>
    </cfRule>
  </conditionalFormatting>
  <conditionalFormatting sqref="M144">
    <cfRule type="expression" dxfId="1021" priority="405">
      <formula>MOD(ROW(),2)=0</formula>
    </cfRule>
  </conditionalFormatting>
  <conditionalFormatting sqref="M145">
    <cfRule type="expression" dxfId="1020" priority="404">
      <formula>MOD(ROW(),2)=0</formula>
    </cfRule>
  </conditionalFormatting>
  <conditionalFormatting sqref="M146">
    <cfRule type="expression" dxfId="1019" priority="403">
      <formula>MOD(ROW(),2)=0</formula>
    </cfRule>
  </conditionalFormatting>
  <conditionalFormatting sqref="I132 N131:N132 K131:L132">
    <cfRule type="expression" dxfId="1018" priority="402">
      <formula>MOD(ROW(),2)=0</formula>
    </cfRule>
  </conditionalFormatting>
  <conditionalFormatting sqref="H131">
    <cfRule type="expression" dxfId="1017" priority="401">
      <formula>MOD(ROW(),2)=0</formula>
    </cfRule>
  </conditionalFormatting>
  <conditionalFormatting sqref="I131">
    <cfRule type="expression" dxfId="1016" priority="400">
      <formula>MOD(ROW(),2)=0</formula>
    </cfRule>
  </conditionalFormatting>
  <conditionalFormatting sqref="O131">
    <cfRule type="expression" dxfId="1015" priority="399">
      <formula>MOD(ROW(),2)=0</formula>
    </cfRule>
  </conditionalFormatting>
  <conditionalFormatting sqref="P131">
    <cfRule type="expression" dxfId="1014" priority="398">
      <formula>MOD(ROW(),2)=0</formula>
    </cfRule>
  </conditionalFormatting>
  <conditionalFormatting sqref="H132">
    <cfRule type="expression" dxfId="1013" priority="397">
      <formula>MOD(ROW(),2)=0</formula>
    </cfRule>
  </conditionalFormatting>
  <conditionalFormatting sqref="O132">
    <cfRule type="expression" dxfId="1012" priority="396">
      <formula>MOD(ROW(),2)=0</formula>
    </cfRule>
  </conditionalFormatting>
  <conditionalFormatting sqref="J131">
    <cfRule type="expression" dxfId="1011" priority="395">
      <formula>MOD(ROW(),2)=0</formula>
    </cfRule>
  </conditionalFormatting>
  <conditionalFormatting sqref="Q131">
    <cfRule type="expression" dxfId="1010" priority="394">
      <formula>MOD(ROW(),2)=0</formula>
    </cfRule>
  </conditionalFormatting>
  <conditionalFormatting sqref="J132">
    <cfRule type="expression" dxfId="1009" priority="393">
      <formula>MOD(ROW(),2)=0</formula>
    </cfRule>
  </conditionalFormatting>
  <conditionalFormatting sqref="Q132">
    <cfRule type="expression" dxfId="1008" priority="392">
      <formula>MOD(ROW(),2)=0</formula>
    </cfRule>
  </conditionalFormatting>
  <conditionalFormatting sqref="M131:M132">
    <cfRule type="expression" dxfId="1007" priority="391">
      <formula>MOD(ROW(),2)=0</formula>
    </cfRule>
  </conditionalFormatting>
  <conditionalFormatting sqref="I129 N128:N129 K128:L129">
    <cfRule type="expression" dxfId="1006" priority="390">
      <formula>MOD(ROW(),2)=0</formula>
    </cfRule>
  </conditionalFormatting>
  <conditionalFormatting sqref="H128">
    <cfRule type="expression" dxfId="1005" priority="389">
      <formula>MOD(ROW(),2)=0</formula>
    </cfRule>
  </conditionalFormatting>
  <conditionalFormatting sqref="I128">
    <cfRule type="expression" dxfId="1004" priority="388">
      <formula>MOD(ROW(),2)=0</formula>
    </cfRule>
  </conditionalFormatting>
  <conditionalFormatting sqref="O128">
    <cfRule type="expression" dxfId="1003" priority="387">
      <formula>MOD(ROW(),2)=0</formula>
    </cfRule>
  </conditionalFormatting>
  <conditionalFormatting sqref="P128">
    <cfRule type="expression" dxfId="1002" priority="386">
      <formula>MOD(ROW(),2)=0</formula>
    </cfRule>
  </conditionalFormatting>
  <conditionalFormatting sqref="O129">
    <cfRule type="expression" dxfId="1001" priority="385">
      <formula>MOD(ROW(),2)=0</formula>
    </cfRule>
  </conditionalFormatting>
  <conditionalFormatting sqref="H129">
    <cfRule type="expression" dxfId="1000" priority="384">
      <formula>MOD(ROW(),2)=0</formula>
    </cfRule>
  </conditionalFormatting>
  <conditionalFormatting sqref="Q128">
    <cfRule type="expression" dxfId="999" priority="383">
      <formula>MOD(ROW(),2)=0</formula>
    </cfRule>
  </conditionalFormatting>
  <conditionalFormatting sqref="Q129">
    <cfRule type="expression" dxfId="998" priority="382">
      <formula>MOD(ROW(),2)=0</formula>
    </cfRule>
  </conditionalFormatting>
  <conditionalFormatting sqref="J128:J129">
    <cfRule type="expression" dxfId="997" priority="381">
      <formula>MOD(ROW(),2)=0</formula>
    </cfRule>
  </conditionalFormatting>
  <conditionalFormatting sqref="M128:M129">
    <cfRule type="expression" dxfId="996" priority="380">
      <formula>MOD(ROW(),2)=0</formula>
    </cfRule>
  </conditionalFormatting>
  <conditionalFormatting sqref="J130:L130 N130:Q130">
    <cfRule type="expression" dxfId="995" priority="374">
      <formula>MOD(ROW(),2)=0</formula>
    </cfRule>
  </conditionalFormatting>
  <conditionalFormatting sqref="M130">
    <cfRule type="expression" dxfId="994" priority="373">
      <formula>MOD(ROW(),2)=0</formula>
    </cfRule>
  </conditionalFormatting>
  <conditionalFormatting sqref="J133:L133 N133:Q133">
    <cfRule type="expression" dxfId="993" priority="366">
      <formula>MOD(ROW(),2)=0</formula>
    </cfRule>
  </conditionalFormatting>
  <conditionalFormatting sqref="M133">
    <cfRule type="expression" dxfId="992" priority="365">
      <formula>MOD(ROW(),2)=0</formula>
    </cfRule>
  </conditionalFormatting>
  <conditionalFormatting sqref="Q134">
    <cfRule type="expression" dxfId="991" priority="364">
      <formula>MOD(ROW(),2)=0</formula>
    </cfRule>
  </conditionalFormatting>
  <conditionalFormatting sqref="M134">
    <cfRule type="expression" dxfId="990" priority="363">
      <formula>MOD(ROW(),2)=0</formula>
    </cfRule>
  </conditionalFormatting>
  <conditionalFormatting sqref="J135:L136 N135:Q136">
    <cfRule type="expression" dxfId="989" priority="362">
      <formula>MOD(ROW(),2)=0</formula>
    </cfRule>
  </conditionalFormatting>
  <conditionalFormatting sqref="M135">
    <cfRule type="expression" dxfId="988" priority="361">
      <formula>MOD(ROW(),2)=0</formula>
    </cfRule>
  </conditionalFormatting>
  <conditionalFormatting sqref="M136">
    <cfRule type="expression" dxfId="987" priority="360">
      <formula>MOD(ROW(),2)=0</formula>
    </cfRule>
  </conditionalFormatting>
  <conditionalFormatting sqref="K139">
    <cfRule type="expression" dxfId="986" priority="310">
      <formula>MOD(ROW(),2)=0</formula>
    </cfRule>
  </conditionalFormatting>
  <conditionalFormatting sqref="K140">
    <cfRule type="expression" dxfId="985" priority="309">
      <formula>MOD(ROW(),2)=0</formula>
    </cfRule>
  </conditionalFormatting>
  <conditionalFormatting sqref="K141">
    <cfRule type="expression" dxfId="984" priority="308">
      <formula>MOD(ROW(),2)=0</formula>
    </cfRule>
  </conditionalFormatting>
  <conditionalFormatting sqref="P23">
    <cfRule type="expression" dxfId="983" priority="85">
      <formula>MOD(ROW(),2)=0</formula>
    </cfRule>
  </conditionalFormatting>
  <conditionalFormatting sqref="P31">
    <cfRule type="expression" dxfId="982" priority="84">
      <formula>MOD(ROW(),2)=0</formula>
    </cfRule>
  </conditionalFormatting>
  <conditionalFormatting sqref="P38">
    <cfRule type="expression" dxfId="981" priority="83">
      <formula>MOD(ROW(),2)=0</formula>
    </cfRule>
  </conditionalFormatting>
  <conditionalFormatting sqref="P45">
    <cfRule type="expression" dxfId="980" priority="82">
      <formula>MOD(ROW(),2)=0</formula>
    </cfRule>
  </conditionalFormatting>
  <conditionalFormatting sqref="P48">
    <cfRule type="expression" dxfId="979" priority="81">
      <formula>MOD(ROW(),2)=0</formula>
    </cfRule>
  </conditionalFormatting>
  <conditionalFormatting sqref="P51">
    <cfRule type="expression" dxfId="978" priority="80">
      <formula>MOD(ROW(),2)=0</formula>
    </cfRule>
  </conditionalFormatting>
  <conditionalFormatting sqref="P59">
    <cfRule type="expression" dxfId="977" priority="79">
      <formula>MOD(ROW(),2)=0</formula>
    </cfRule>
  </conditionalFormatting>
  <conditionalFormatting sqref="P66">
    <cfRule type="expression" dxfId="976" priority="78">
      <formula>MOD(ROW(),2)=0</formula>
    </cfRule>
  </conditionalFormatting>
  <conditionalFormatting sqref="P73">
    <cfRule type="expression" dxfId="975" priority="77">
      <formula>MOD(ROW(),2)=0</formula>
    </cfRule>
  </conditionalFormatting>
  <conditionalFormatting sqref="P76">
    <cfRule type="expression" dxfId="974" priority="76">
      <formula>MOD(ROW(),2)=0</formula>
    </cfRule>
  </conditionalFormatting>
  <conditionalFormatting sqref="P79">
    <cfRule type="expression" dxfId="973" priority="75">
      <formula>MOD(ROW(),2)=0</formula>
    </cfRule>
  </conditionalFormatting>
  <conditionalFormatting sqref="P87">
    <cfRule type="expression" dxfId="972" priority="74">
      <formula>MOD(ROW(),2)=0</formula>
    </cfRule>
  </conditionalFormatting>
  <conditionalFormatting sqref="P94">
    <cfRule type="expression" dxfId="971" priority="73">
      <formula>MOD(ROW(),2)=0</formula>
    </cfRule>
  </conditionalFormatting>
  <conditionalFormatting sqref="P101">
    <cfRule type="expression" dxfId="970" priority="72">
      <formula>MOD(ROW(),2)=0</formula>
    </cfRule>
  </conditionalFormatting>
  <conditionalFormatting sqref="P104">
    <cfRule type="expression" dxfId="969" priority="71">
      <formula>MOD(ROW(),2)=0</formula>
    </cfRule>
  </conditionalFormatting>
  <conditionalFormatting sqref="P107">
    <cfRule type="expression" dxfId="968" priority="70">
      <formula>MOD(ROW(),2)=0</formula>
    </cfRule>
  </conditionalFormatting>
  <conditionalFormatting sqref="P115">
    <cfRule type="expression" dxfId="967" priority="69">
      <formula>MOD(ROW(),2)=0</formula>
    </cfRule>
  </conditionalFormatting>
  <conditionalFormatting sqref="P122">
    <cfRule type="expression" dxfId="966" priority="68">
      <formula>MOD(ROW(),2)=0</formula>
    </cfRule>
  </conditionalFormatting>
  <conditionalFormatting sqref="P129">
    <cfRule type="expression" dxfId="965" priority="67">
      <formula>MOD(ROW(),2)=0</formula>
    </cfRule>
  </conditionalFormatting>
  <conditionalFormatting sqref="P132">
    <cfRule type="expression" dxfId="964" priority="66">
      <formula>MOD(ROW(),2)=0</formula>
    </cfRule>
  </conditionalFormatting>
  <conditionalFormatting sqref="P143">
    <cfRule type="expression" dxfId="963" priority="65">
      <formula>MOD(ROW(),2)=0</formula>
    </cfRule>
  </conditionalFormatting>
  <conditionalFormatting sqref="B30:D35">
    <cfRule type="expression" dxfId="962" priority="46">
      <formula>MOD(ROW(),2)=0</formula>
    </cfRule>
  </conditionalFormatting>
  <conditionalFormatting sqref="C23">
    <cfRule type="expression" dxfId="961" priority="43">
      <formula>MOD(ROW(),2)=0</formula>
    </cfRule>
  </conditionalFormatting>
  <conditionalFormatting sqref="B9:D14">
    <cfRule type="expression" dxfId="960" priority="52">
      <formula>MOD(ROW(),2)=0</formula>
    </cfRule>
  </conditionalFormatting>
  <conditionalFormatting sqref="B9:D14">
    <cfRule type="expression" dxfId="959" priority="50">
      <formula>AND(B9=B8,MOD(ROW(),2)=1)</formula>
    </cfRule>
    <cfRule type="expression" dxfId="958" priority="51">
      <formula>AND(B9=B8,MOD(ROW(),2)=0)</formula>
    </cfRule>
  </conditionalFormatting>
  <conditionalFormatting sqref="B16:D22 B24:D28 B23 D23">
    <cfRule type="expression" dxfId="957" priority="49">
      <formula>MOD(ROW(),2)=0</formula>
    </cfRule>
  </conditionalFormatting>
  <conditionalFormatting sqref="B16:D22 B24:D28 B23 D23">
    <cfRule type="expression" dxfId="956" priority="47">
      <formula>AND(B16=B15,MOD(ROW(),2)=1)</formula>
    </cfRule>
    <cfRule type="expression" dxfId="955" priority="48">
      <formula>AND(B16=B15,MOD(ROW(),2)=0)</formula>
    </cfRule>
  </conditionalFormatting>
  <conditionalFormatting sqref="B30:D35">
    <cfRule type="expression" dxfId="954" priority="44">
      <formula>AND(B30=B29,MOD(ROW(),2)=1)</formula>
    </cfRule>
    <cfRule type="expression" dxfId="953" priority="45">
      <formula>AND(B30=B29,MOD(ROW(),2)=0)</formula>
    </cfRule>
  </conditionalFormatting>
  <conditionalFormatting sqref="C23">
    <cfRule type="expression" dxfId="952" priority="41">
      <formula>AND(C23=C22,MOD(ROW(),2)=1)</formula>
    </cfRule>
    <cfRule type="expression" dxfId="951" priority="42">
      <formula>AND(C23=C22,MOD(ROW(),2)=0)</formula>
    </cfRule>
  </conditionalFormatting>
  <conditionalFormatting sqref="B37:D41">
    <cfRule type="expression" dxfId="950" priority="36">
      <formula>MOD(ROW(),2)=0</formula>
    </cfRule>
  </conditionalFormatting>
  <conditionalFormatting sqref="B37:D41">
    <cfRule type="expression" dxfId="949" priority="34">
      <formula>AND(B37=B36,MOD(ROW(),2)=1)</formula>
    </cfRule>
    <cfRule type="expression" dxfId="948" priority="35">
      <formula>AND(B37=B36,MOD(ROW(),2)=0)</formula>
    </cfRule>
  </conditionalFormatting>
  <conditionalFormatting sqref="B44:D55">
    <cfRule type="expression" dxfId="947" priority="33">
      <formula>MOD(ROW(),2)=0</formula>
    </cfRule>
  </conditionalFormatting>
  <conditionalFormatting sqref="B44:D55">
    <cfRule type="expression" dxfId="946" priority="31">
      <formula>AND(B44=B43,MOD(ROW(),2)=1)</formula>
    </cfRule>
    <cfRule type="expression" dxfId="945" priority="32">
      <formula>AND(B44=B43,MOD(ROW(),2)=0)</formula>
    </cfRule>
  </conditionalFormatting>
  <conditionalFormatting sqref="B58:D61">
    <cfRule type="expression" dxfId="944" priority="30">
      <formula>MOD(ROW(),2)=0</formula>
    </cfRule>
  </conditionalFormatting>
  <conditionalFormatting sqref="B58:D61">
    <cfRule type="expression" dxfId="943" priority="28">
      <formula>AND(B58=B57,MOD(ROW(),2)=1)</formula>
    </cfRule>
    <cfRule type="expression" dxfId="942" priority="29">
      <formula>AND(B58=B57,MOD(ROW(),2)=0)</formula>
    </cfRule>
  </conditionalFormatting>
  <conditionalFormatting sqref="B65:D69">
    <cfRule type="expression" dxfId="941" priority="27">
      <formula>MOD(ROW(),2)=0</formula>
    </cfRule>
  </conditionalFormatting>
  <conditionalFormatting sqref="B65:D69">
    <cfRule type="expression" dxfId="940" priority="25">
      <formula>AND(B65=B64,MOD(ROW(),2)=1)</formula>
    </cfRule>
    <cfRule type="expression" dxfId="939" priority="26">
      <formula>AND(B65=B64,MOD(ROW(),2)=0)</formula>
    </cfRule>
  </conditionalFormatting>
  <conditionalFormatting sqref="B72:D82">
    <cfRule type="expression" dxfId="938" priority="24">
      <formula>MOD(ROW(),2)=0</formula>
    </cfRule>
  </conditionalFormatting>
  <conditionalFormatting sqref="B72:D82">
    <cfRule type="expression" dxfId="937" priority="22">
      <formula>AND(B72=B71,MOD(ROW(),2)=1)</formula>
    </cfRule>
    <cfRule type="expression" dxfId="936" priority="23">
      <formula>AND(B72=B71,MOD(ROW(),2)=0)</formula>
    </cfRule>
  </conditionalFormatting>
  <conditionalFormatting sqref="B86:D89">
    <cfRule type="expression" dxfId="935" priority="21">
      <formula>MOD(ROW(),2)=0</formula>
    </cfRule>
  </conditionalFormatting>
  <conditionalFormatting sqref="B86:D89">
    <cfRule type="expression" dxfId="934" priority="19">
      <formula>AND(B86=B85,MOD(ROW(),2)=1)</formula>
    </cfRule>
    <cfRule type="expression" dxfId="933" priority="20">
      <formula>AND(B86=B85,MOD(ROW(),2)=0)</formula>
    </cfRule>
  </conditionalFormatting>
  <conditionalFormatting sqref="B93:D97">
    <cfRule type="expression" dxfId="932" priority="18">
      <formula>MOD(ROW(),2)=0</formula>
    </cfRule>
  </conditionalFormatting>
  <conditionalFormatting sqref="B93:D97">
    <cfRule type="expression" dxfId="931" priority="16">
      <formula>AND(B93=B92,MOD(ROW(),2)=1)</formula>
    </cfRule>
    <cfRule type="expression" dxfId="930" priority="17">
      <formula>AND(B93=B92,MOD(ROW(),2)=0)</formula>
    </cfRule>
  </conditionalFormatting>
  <conditionalFormatting sqref="B100:D109">
    <cfRule type="expression" dxfId="929" priority="15">
      <formula>MOD(ROW(),2)=0</formula>
    </cfRule>
  </conditionalFormatting>
  <conditionalFormatting sqref="B100:D109">
    <cfRule type="expression" dxfId="928" priority="13">
      <formula>AND(B100=B99,MOD(ROW(),2)=1)</formula>
    </cfRule>
    <cfRule type="expression" dxfId="927" priority="14">
      <formula>AND(B100=B99,MOD(ROW(),2)=0)</formula>
    </cfRule>
  </conditionalFormatting>
  <conditionalFormatting sqref="B114:D118">
    <cfRule type="expression" dxfId="926" priority="12">
      <formula>MOD(ROW(),2)=0</formula>
    </cfRule>
  </conditionalFormatting>
  <conditionalFormatting sqref="B114:D118">
    <cfRule type="expression" dxfId="925" priority="10">
      <formula>AND(B114=B113,MOD(ROW(),2)=1)</formula>
    </cfRule>
    <cfRule type="expression" dxfId="924" priority="11">
      <formula>AND(B114=B113,MOD(ROW(),2)=0)</formula>
    </cfRule>
  </conditionalFormatting>
  <conditionalFormatting sqref="B121:D124">
    <cfRule type="expression" dxfId="923" priority="9">
      <formula>MOD(ROW(),2)=0</formula>
    </cfRule>
  </conditionalFormatting>
  <conditionalFormatting sqref="B121:D124">
    <cfRule type="expression" dxfId="922" priority="7">
      <formula>AND(B121=B120,MOD(ROW(),2)=1)</formula>
    </cfRule>
    <cfRule type="expression" dxfId="921" priority="8">
      <formula>AND(B121=B120,MOD(ROW(),2)=0)</formula>
    </cfRule>
  </conditionalFormatting>
  <conditionalFormatting sqref="B128:D136">
    <cfRule type="expression" dxfId="920" priority="6">
      <formula>MOD(ROW(),2)=0</formula>
    </cfRule>
  </conditionalFormatting>
  <conditionalFormatting sqref="B128:D136">
    <cfRule type="expression" dxfId="919" priority="4">
      <formula>AND(B128=B127,MOD(ROW(),2)=1)</formula>
    </cfRule>
    <cfRule type="expression" dxfId="918" priority="5">
      <formula>AND(B128=B127,MOD(ROW(),2)=0)</formula>
    </cfRule>
  </conditionalFormatting>
  <conditionalFormatting sqref="U129:W129">
    <cfRule type="expression" dxfId="917" priority="3">
      <formula>MOD(ROW(),2)=0</formula>
    </cfRule>
  </conditionalFormatting>
  <conditionalFormatting sqref="U129:W129">
    <cfRule type="expression" dxfId="916" priority="1">
      <formula>AND(U129=U128,MOD(ROW(),2)=1)</formula>
    </cfRule>
    <cfRule type="expression" dxfId="915" priority="2">
      <formula>AND(U129=U128,MOD(ROW(),2)=0)</formula>
    </cfRule>
  </conditionalFormatting>
  <hyperlinks>
    <hyperlink ref="A1" location="Index!A1" display="&lt;&lt;Back to Index" xr:uid="{00000000-0004-0000-1100-000000000000}"/>
  </hyperlinks>
  <pageMargins left="0.7" right="0.7" top="0.75" bottom="0.75" header="0.3" footer="0.3"/>
  <pageSetup paperSize="9" orientation="portrait" r:id="rId1"/>
  <ignoredErrors>
    <ignoredError sqref="R137:R138 R12:R13 R11 R28:R29 R35:R36 R63:R64 R90 R84:R85 R91:R92 R112:R113 R119:R120 R126:R127 R14:R15 R26:R27 R25 R70:R71 R82:R83 R81 R110:R111 R109 R134 R108 R133 R80 R78 R77 R75 R24 R22 R21 R16:R18 R67 R74 R118 R116 R123 R145:R146 R144 R140 R141 R142 R10 R65 R72 R68:R69 R88 R89 R117 R114 R121 R128 R130 G106 G105 F135:G136 G134 G132 G131 F82:H83 G81:H81 G79 G78 G77:H77 G76 G75 F54:G55 G52:G53 G51 G50 G49 G48 G47 F26:H27 G25:H25 G23 G22 G21:H21 G20 G19 F126:G127 G121 F120:H120 F112:G113 F98:G99 G93 F92:H92 F90:G90 F84:H85 F70:H71 G66 F63:H64 F59:G59 F56:G57 F42:G43 F36:H36 F28:H29 F12:H13 G11:H11 F14:H15 F143:G143 F137:G138 G16 F34:G34 F30:G30 G44 F62:G62 F60:G60 F68:H69 G67:H67 G72 F96:G97 G95 G100 F110:G111 G109 F118:G118 F114:G114 F124:G125 G123 G128 F145:G145 F144:G144 F139:G139 F140:G140 F141:G141 F142:G142 G10 G9 G24:H24 F33:G33 F41:G41 G37 G39 F40:G40 F61:G61 G65 G80:H80 F86:G86 F89:G89 G104 G103 F117:G117 G133 F58:G58 R131 R20 R23 R66 R73 R76 R79 R107 R115 R122 R129 R132 R139 R143 R135:R136 N17 N16 I80 I24 I67 I68:I69 I14:I15 I11 I12:J13 I28:I29 I36 I63:I64 I70:I71 I84:I85 I92 I120 I21 I25 I26:J27 I77 I81 I82:I83 J28:J29 J14:J15 N20 N24:P24 K26:L27 K12:L13 N11:P11 N28:Q29 N14:Q15 N25:P25 K25:L25 K20:L20 K21:L21 K19:L19 K28:M29 K11:L11 K14:M15 K16:L18 L9 N9 N10 L10 N18:P18 N19 K24:L24 N21:P21 G18:H18 G17 I18 F32:G32 F31:G31 G38 G46 G45 G74:H74 G73 I74 F88:G88 F87:G87 G94 G102 G101 G108 G107 F116:G116 F115:G115 G122 G130 G129 R106 R103 R104 R105 R96 R94 R100:R102 R95 R97 R98:R99 R93 H9:I9 N12:Q13 N26:Q27 R124:R125 N89:Q89 N90:Q90 N82:Q83 N68:P69 L80 Q68:Q69 Q70:Q71 L74 L67 K36:M36 L63:M64 L70:M71 L84:M85 L92:M92 L120:M120 L77 L81 N81:Q81 N70:P71 N119:Q120 N91:Q92 N84:Q85 N63:Q64 N35:Q36 L82:L83 N80:Q80 N77:Q77 L68:L69 N67:Q67 N74:Q74 N88:Q88 J80 J74 J67 J36 J63:J64 J70:J71 J84:J85 J92 J120 J77 J81 J82:J83 J68:J69 N33:Q34 J72:J73 M68:M69 M82:M83 M81 J78:J79 M77 J121:J127 M67 J75:J76 M74 M80 J37:J43 J44:J46 J47:J49 J50:J57 J65:J66 J93:J99 J100:J102 J103:J105 J106:J113 J128:J130 J131:J138 J139:J141 L139:Q141 L72:Q72 N86:Q86 L78:Q78 L121:Q121 L75:Q75 L37:Q37 L44:Q44 L47:Q47 L50:Q50 N58:Q58 L65:Q65 L93:Q93 L100:Q100 L103:Q103 L106:Q106 N114:Q114 L128:Q128 L131:Q131 N142:Q142 K131:K138 K128:K130 K106:K113 K103:K105 K100:K102 K93:K99 K65:K66 K50:K57 K47:K49 K44:K46 K37:K43 K75:K76 K121:K127 K78:K79 K72:K73 K68:K69 K82:K83 K81 K77 K120 K92 K84:K85 K70:K71 K63:K64 K67 K74 K80 K139:K141 L39:Q43 L38:O38 Q38 L46:Q46 L45:O45 Q45 L49:Q49 L48:O48 Q48 L52:Q57 L51:O51 Q51 N60:Q62 N59:O59 Q59 L66:O66 Q66 L73:O73 Q73 L76:O76 Q76 L79:O79 Q79 N87:O87 Q87 L95:Q99 L94:O94 Q94 L102:Q102 L101:O101 Q101 L105:Q105 L104:O104 Q104 L108:Q113 L107:O107 Q107 N116:Q118 N115:O115 Q115 L123:Q127 L122:O122 Q122 L130:Q130 L129:O129 Q129 L133:Q138 L132:O132 Q132 N144:Q145 N143:O143 Q143 F35:G35 F91:G91 F119:G1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0070C0"/>
  </sheetPr>
  <dimension ref="A1:V252"/>
  <sheetViews>
    <sheetView workbookViewId="0">
      <pane ySplit="6" topLeftCell="A7" activePane="bottomLeft" state="frozen"/>
      <selection activeCell="S10" sqref="S10"/>
      <selection pane="bottomLeft" activeCell="I203" sqref="I203:M212"/>
    </sheetView>
  </sheetViews>
  <sheetFormatPr defaultColWidth="8.81640625" defaultRowHeight="14.5" outlineLevelRow="1" x14ac:dyDescent="0.35"/>
  <cols>
    <col min="1" max="1" width="1.81640625" style="3" customWidth="1"/>
    <col min="2" max="3" width="15.81640625" style="3" customWidth="1"/>
    <col min="4" max="4" width="18.1796875" style="3" customWidth="1"/>
    <col min="5" max="5" width="10.81640625" style="3" customWidth="1"/>
    <col min="6" max="6" width="10.81640625" style="19" customWidth="1"/>
    <col min="7" max="7" width="10.81640625" style="3" customWidth="1"/>
    <col min="8" max="10" width="10.81640625" style="66" customWidth="1"/>
    <col min="11" max="11" width="11.81640625" style="19" bestFit="1" customWidth="1"/>
    <col min="12" max="12" width="0.81640625" style="19" customWidth="1"/>
    <col min="13" max="13" width="10.81640625" style="19" customWidth="1"/>
    <col min="14" max="14" width="0.81640625" style="19" customWidth="1"/>
    <col min="15" max="17" width="10.81640625" style="66" customWidth="1"/>
    <col min="18" max="18" width="11.81640625" style="19" bestFit="1" customWidth="1"/>
    <col min="19" max="19" width="8.81640625" style="97"/>
    <col min="20" max="20" width="8.81640625" style="98"/>
    <col min="21" max="22" width="13.1796875" style="3" bestFit="1" customWidth="1"/>
    <col min="23" max="16384" width="8.81640625" style="3"/>
  </cols>
  <sheetData>
    <row r="1" spans="1:22" ht="10.4" customHeight="1" x14ac:dyDescent="0.35">
      <c r="A1" s="302" t="s">
        <v>20</v>
      </c>
      <c r="B1" s="307"/>
    </row>
    <row r="2" spans="1:22" s="13" customFormat="1" ht="22.5" customHeight="1" x14ac:dyDescent="0.35">
      <c r="A2" s="14" t="s">
        <v>78</v>
      </c>
      <c r="F2" s="20"/>
      <c r="H2" s="67"/>
      <c r="I2" s="67"/>
      <c r="J2" s="67"/>
      <c r="K2" s="20"/>
      <c r="L2" s="20"/>
      <c r="M2" s="20"/>
      <c r="N2" s="20"/>
      <c r="O2" s="67"/>
      <c r="P2" s="67"/>
      <c r="Q2" s="67"/>
      <c r="R2" s="20"/>
      <c r="S2" s="99"/>
      <c r="T2" s="100"/>
    </row>
    <row r="3" spans="1:22" s="27" customFormat="1" ht="17.899999999999999" customHeight="1" x14ac:dyDescent="0.35">
      <c r="B3" s="28"/>
      <c r="C3" s="28"/>
      <c r="D3" s="28"/>
      <c r="E3" s="28"/>
      <c r="F3" s="45"/>
      <c r="G3" s="28"/>
      <c r="H3" s="336" t="str">
        <f>PY</f>
        <v>2021-22</v>
      </c>
      <c r="I3" s="336"/>
      <c r="J3" s="336"/>
      <c r="K3" s="336"/>
      <c r="L3" s="37"/>
      <c r="M3" s="42" t="str">
        <f>FY</f>
        <v>2022-23</v>
      </c>
      <c r="N3" s="37"/>
      <c r="O3" s="336" t="str">
        <f>FY</f>
        <v>2022-23</v>
      </c>
      <c r="P3" s="336"/>
      <c r="Q3" s="336"/>
      <c r="R3" s="336"/>
      <c r="S3" s="101"/>
      <c r="T3" s="102"/>
    </row>
    <row r="4" spans="1:22" s="27" customFormat="1" ht="3" customHeight="1" x14ac:dyDescent="0.35">
      <c r="B4" s="28"/>
      <c r="C4" s="28"/>
      <c r="D4" s="28"/>
      <c r="E4" s="28"/>
      <c r="F4" s="41" t="str">
        <f t="shared" ref="F4:K4" si="0">$H$3</f>
        <v>2021-22</v>
      </c>
      <c r="G4" s="28"/>
      <c r="H4" s="68" t="str">
        <f>$H$3</f>
        <v>2021-22</v>
      </c>
      <c r="I4" s="68" t="str">
        <f t="shared" si="0"/>
        <v>2021-22</v>
      </c>
      <c r="J4" s="68" t="str">
        <f t="shared" si="0"/>
        <v>2021-22</v>
      </c>
      <c r="K4" s="41" t="str">
        <f t="shared" si="0"/>
        <v>2021-22</v>
      </c>
      <c r="L4" s="41"/>
      <c r="M4" s="41" t="str">
        <f>FY</f>
        <v>2022-23</v>
      </c>
      <c r="N4" s="41"/>
      <c r="O4" s="68" t="str">
        <f>$O$3</f>
        <v>2022-23</v>
      </c>
      <c r="P4" s="68" t="str">
        <f>$O$3</f>
        <v>2022-23</v>
      </c>
      <c r="Q4" s="68" t="str">
        <f>$O$3</f>
        <v>2022-23</v>
      </c>
      <c r="R4" s="41" t="str">
        <f>$O$3</f>
        <v>2022-23</v>
      </c>
      <c r="S4" s="101"/>
      <c r="T4" s="102"/>
    </row>
    <row r="5" spans="1:22" s="5" customFormat="1" ht="17.899999999999999" customHeight="1" x14ac:dyDescent="0.35">
      <c r="B5" s="23" t="s">
        <v>1</v>
      </c>
      <c r="C5" s="23" t="s">
        <v>12</v>
      </c>
      <c r="D5" s="23" t="s">
        <v>24</v>
      </c>
      <c r="E5" s="23" t="s">
        <v>13</v>
      </c>
      <c r="F5" s="12" t="s">
        <v>26</v>
      </c>
      <c r="G5" s="23" t="s">
        <v>33</v>
      </c>
      <c r="H5" s="249" t="s">
        <v>42</v>
      </c>
      <c r="I5" s="249" t="s">
        <v>43</v>
      </c>
      <c r="J5" s="249" t="s">
        <v>23</v>
      </c>
      <c r="K5" s="231" t="s">
        <v>25</v>
      </c>
      <c r="L5" s="231"/>
      <c r="M5" s="231" t="s">
        <v>22</v>
      </c>
      <c r="N5" s="231"/>
      <c r="O5" s="249" t="s">
        <v>42</v>
      </c>
      <c r="P5" s="249" t="s">
        <v>43</v>
      </c>
      <c r="Q5" s="249" t="s">
        <v>23</v>
      </c>
      <c r="R5" s="231" t="s">
        <v>25</v>
      </c>
      <c r="S5" s="189"/>
      <c r="T5" s="190"/>
    </row>
    <row r="6" spans="1:22" s="29" customFormat="1" ht="17.899999999999999" customHeight="1" x14ac:dyDescent="0.3">
      <c r="B6" s="30"/>
      <c r="C6" s="30"/>
      <c r="D6" s="30"/>
      <c r="E6" s="30"/>
      <c r="F6" s="31" t="s">
        <v>51</v>
      </c>
      <c r="G6" s="30"/>
      <c r="H6" s="250" t="s">
        <v>64</v>
      </c>
      <c r="I6" s="250" t="s">
        <v>40</v>
      </c>
      <c r="J6" s="250" t="s">
        <v>41</v>
      </c>
      <c r="K6" s="251" t="s">
        <v>29</v>
      </c>
      <c r="L6" s="251"/>
      <c r="M6" s="251" t="s">
        <v>29</v>
      </c>
      <c r="N6" s="251"/>
      <c r="O6" s="250" t="s">
        <v>64</v>
      </c>
      <c r="P6" s="250" t="s">
        <v>40</v>
      </c>
      <c r="Q6" s="250" t="s">
        <v>41</v>
      </c>
      <c r="R6" s="251" t="s">
        <v>29</v>
      </c>
      <c r="S6" s="103"/>
      <c r="T6" s="103"/>
      <c r="U6" s="216"/>
      <c r="V6" s="216"/>
    </row>
    <row r="7" spans="1:22" x14ac:dyDescent="0.35">
      <c r="F7" s="228"/>
      <c r="H7" s="224"/>
      <c r="I7" s="224"/>
      <c r="J7" s="224"/>
      <c r="K7" s="246"/>
      <c r="L7" s="246"/>
      <c r="M7" s="246"/>
      <c r="N7" s="243"/>
      <c r="O7" s="224"/>
      <c r="P7" s="224"/>
      <c r="Q7" s="224"/>
      <c r="R7" s="246"/>
      <c r="T7" s="97"/>
      <c r="U7" s="97"/>
      <c r="V7" s="97"/>
    </row>
    <row r="8" spans="1:22" x14ac:dyDescent="0.35">
      <c r="B8" s="5" t="s">
        <v>2</v>
      </c>
      <c r="C8" s="5" t="s">
        <v>6</v>
      </c>
      <c r="D8" s="5" t="s">
        <v>136</v>
      </c>
      <c r="F8" s="228"/>
      <c r="H8" s="224"/>
      <c r="I8" s="224"/>
      <c r="J8" s="224"/>
      <c r="K8" s="246"/>
      <c r="L8" s="246"/>
      <c r="M8" s="246"/>
      <c r="N8" s="243"/>
      <c r="O8" s="224"/>
      <c r="P8" s="224"/>
      <c r="Q8" s="224"/>
      <c r="R8" s="246"/>
    </row>
    <row r="9" spans="1:22" outlineLevel="1" x14ac:dyDescent="0.35">
      <c r="B9" s="3" t="str">
        <f>B8</f>
        <v>Ausgrid</v>
      </c>
      <c r="C9" s="3" t="str">
        <f t="shared" ref="C9:C17" si="1">C8</f>
        <v>Residential</v>
      </c>
      <c r="D9" s="3" t="str">
        <f t="shared" ref="D9:D17" si="2">D8</f>
        <v>without CL</v>
      </c>
      <c r="E9" s="3" t="s">
        <v>21</v>
      </c>
      <c r="F9" s="228">
        <f t="array" ref="F9">IFERROR(INDEX(Usage!$B$5:$P$18,MATCH($B9,Usage!$B$5:$B$18,0),MATCH($C9&amp;$D9&amp;$E9&amp;"Total",Usage!$B$5:$S$5&amp;Usage!$B$6:$S$6&amp;Usage!$B$7:$S$7&amp;Usage!$B$13:$S$13,0)),0)</f>
        <v>3900</v>
      </c>
      <c r="G9" s="3" t="s">
        <v>66</v>
      </c>
      <c r="H9" s="224"/>
      <c r="I9" s="224">
        <f t="array" ref="I9">IFERROR(INDEX('Detail inputs'!$B$3:$K$193,MATCH($B9&amp;$C9&amp;$E9&amp;$G9&amp;I$5,'Detail inputs'!$B$3:$B$193&amp;'Detail inputs'!$D$3:$D$193&amp;'Detail inputs'!$F$3:$F$193&amp;'Detail inputs'!$G$3:$G$193&amp;'Detail inputs'!$H$3:$H$193,0),MATCH(I$4,'Detail inputs'!$B$3:$K$3,0)),0)</f>
        <v>80.88</v>
      </c>
      <c r="J9" s="224">
        <f>H9+I9*$F9/1000</f>
        <v>315.43200000000002</v>
      </c>
      <c r="K9" s="246">
        <f>IFERROR(J9/J15,"")</f>
        <v>0.91971798953832162</v>
      </c>
      <c r="L9" s="246"/>
      <c r="M9" s="246">
        <f t="shared" ref="M9:M15" si="3">IF(OR(J9=0,Q9=""),"",Q9/J9-1)</f>
        <v>0.38464391691394662</v>
      </c>
      <c r="N9" s="243"/>
      <c r="O9" s="224"/>
      <c r="P9" s="224">
        <f t="array" ref="P9">IFERROR(INDEX('Detail inputs'!$B$3:$K$193,MATCH($B9&amp;$C9&amp;$E9&amp;$G9&amp;P$5,'Detail inputs'!$B$3:$B$193&amp;'Detail inputs'!$D$3:$D$193&amp;'Detail inputs'!$F$3:$F$193&amp;'Detail inputs'!$G$3:$G$193&amp;'Detail inputs'!$H$3:$H$193,0),MATCH(P$4,'Detail inputs'!$B$3:$K$3,0)),0)</f>
        <v>111.99</v>
      </c>
      <c r="Q9" s="224">
        <f>O9+P9*$F9/1000</f>
        <v>436.76100000000002</v>
      </c>
      <c r="R9" s="246">
        <f>IFERROR(Q9/Q15,"")</f>
        <v>0.9162235130491696</v>
      </c>
    </row>
    <row r="10" spans="1:22" outlineLevel="1" x14ac:dyDescent="0.35">
      <c r="B10" s="3" t="str">
        <f t="shared" ref="B10:B17" si="4">B9</f>
        <v>Ausgrid</v>
      </c>
      <c r="C10" s="3" t="str">
        <f t="shared" si="1"/>
        <v>Residential</v>
      </c>
      <c r="D10" s="3" t="str">
        <f t="shared" si="2"/>
        <v>without CL</v>
      </c>
      <c r="E10" s="3" t="s">
        <v>21</v>
      </c>
      <c r="F10" s="228">
        <f t="array" ref="F10">IFERROR(INDEX(Usage!$B$5:$P$18,MATCH($B10,Usage!$B$5:$B$18,0),MATCH($C10&amp;$D10&amp;$E10&amp;"Total",Usage!$B$5:$S$5&amp;Usage!$B$6:$S$6&amp;Usage!$B$7:$S$7&amp;Usage!$B$13:$S$13,0)),0)</f>
        <v>3900</v>
      </c>
      <c r="G10" s="3" t="s">
        <v>67</v>
      </c>
      <c r="H10" s="224"/>
      <c r="I10" s="224">
        <f t="array" ref="I10">IFERROR(INDEX('Detail inputs'!$B$3:$K$193,MATCH($B10&amp;$G10&amp;I$5,'Detail inputs'!$B$3:$B$193&amp;'Detail inputs'!$G$3:$G$193&amp;'Detail inputs'!$H$3:$H$193,0),MATCH(I$4,'Detail inputs'!$B$3:$K$3,0)),0)</f>
        <v>0.28000000000000003</v>
      </c>
      <c r="J10" s="224">
        <f t="shared" ref="J10:J15" si="5">H10+I10*$F10/1000</f>
        <v>1.0920000000000001</v>
      </c>
      <c r="K10" s="246">
        <f>IFERROR(J10/J15,"")</f>
        <v>3.1839890834659997E-3</v>
      </c>
      <c r="L10" s="246"/>
      <c r="M10" s="246">
        <f t="shared" si="3"/>
        <v>0.21428571428571419</v>
      </c>
      <c r="N10" s="243"/>
      <c r="O10" s="224"/>
      <c r="P10" s="224">
        <f t="array" ref="P10">IFERROR(INDEX('Detail inputs'!$B$3:$K$193,MATCH($B10&amp;$G10&amp;P$5,'Detail inputs'!$B$3:$B$193&amp;'Detail inputs'!$G$3:$G$193&amp;'Detail inputs'!$H$3:$H$193,0),MATCH(P$4,'Detail inputs'!$B$3:$K$3,0)),0)</f>
        <v>0.34</v>
      </c>
      <c r="Q10" s="224">
        <f t="shared" ref="Q10:Q15" si="6">O10+P10*$F10/1000</f>
        <v>1.3260000000000001</v>
      </c>
      <c r="R10" s="246">
        <f>IFERROR(Q10/Q15,"")</f>
        <v>2.781641168289291E-3</v>
      </c>
    </row>
    <row r="11" spans="1:22" outlineLevel="1" x14ac:dyDescent="0.35">
      <c r="B11" s="3" t="str">
        <f t="shared" si="4"/>
        <v>Ausgrid</v>
      </c>
      <c r="C11" s="3" t="str">
        <f t="shared" si="1"/>
        <v>Residential</v>
      </c>
      <c r="D11" s="3" t="str">
        <f t="shared" si="2"/>
        <v>without CL</v>
      </c>
      <c r="E11" s="3" t="s">
        <v>21</v>
      </c>
      <c r="F11" s="228">
        <f t="array" ref="F11">IFERROR(INDEX(Usage!$B$5:$P$18,MATCH($B11,Usage!$B$5:$B$18,0),MATCH($C11&amp;$D11&amp;$E11&amp;"Total",Usage!$B$5:$S$5&amp;Usage!$B$6:$S$6&amp;Usage!$B$7:$S$7&amp;Usage!$B$13:$S$13,0)),0)</f>
        <v>3900</v>
      </c>
      <c r="G11" s="3" t="s">
        <v>75</v>
      </c>
      <c r="H11" s="224"/>
      <c r="I11" s="224">
        <f t="array" ref="I11">IFERROR(INDEX('Detail inputs'!$B$3:$K$193,MATCH($B11&amp;$G11&amp;I$5,'Detail inputs'!$B$3:$B$193&amp;'Detail inputs'!$G$3:$G$193&amp;'Detail inputs'!$H$3:$H$193,0),MATCH(I$4,'Detail inputs'!$B$3:$K$3,0)),0)</f>
        <v>0.49</v>
      </c>
      <c r="J11" s="224">
        <f t="shared" si="5"/>
        <v>1.911</v>
      </c>
      <c r="K11" s="246">
        <f>IFERROR(J11/J15,"")</f>
        <v>5.5719808960654994E-3</v>
      </c>
      <c r="L11" s="246"/>
      <c r="M11" s="246">
        <f t="shared" si="3"/>
        <v>1.2448979591836733</v>
      </c>
      <c r="N11" s="243"/>
      <c r="O11" s="224"/>
      <c r="P11" s="224">
        <f t="array" ref="P11">IFERROR(INDEX('Detail inputs'!$B$3:$K$193,MATCH($B11&amp;$G11&amp;P$5,'Detail inputs'!$B$3:$B$193&amp;'Detail inputs'!$G$3:$G$193&amp;'Detail inputs'!$H$3:$H$193,0),MATCH(P$4,'Detail inputs'!$B$3:$K$3,0)),0)</f>
        <v>1.1000000000000001</v>
      </c>
      <c r="Q11" s="224">
        <f t="shared" si="6"/>
        <v>4.29</v>
      </c>
      <c r="R11" s="246">
        <f>IFERROR(Q11/Q15,"")</f>
        <v>8.9994273091712346E-3</v>
      </c>
    </row>
    <row r="12" spans="1:22" outlineLevel="1" x14ac:dyDescent="0.35">
      <c r="B12" s="3" t="str">
        <f t="shared" si="4"/>
        <v>Ausgrid</v>
      </c>
      <c r="C12" s="3" t="str">
        <f t="shared" si="1"/>
        <v>Residential</v>
      </c>
      <c r="D12" s="3" t="str">
        <f t="shared" si="2"/>
        <v>without CL</v>
      </c>
      <c r="E12" s="3" t="s">
        <v>21</v>
      </c>
      <c r="F12" s="228">
        <f t="array" ref="F12">IFERROR(INDEX(Usage!$B$5:$P$18,MATCH($B12,Usage!$B$5:$B$18,0),MATCH($C12&amp;$D12&amp;$E12&amp;"Total",Usage!$B$5:$S$5&amp;Usage!$B$6:$S$6&amp;Usage!$B$7:$S$7&amp;Usage!$B$13:$S$13,0)),0)</f>
        <v>3900</v>
      </c>
      <c r="G12" s="3" t="s">
        <v>68</v>
      </c>
      <c r="H12" s="224"/>
      <c r="I12" s="224">
        <f t="array" ref="I12">IFERROR(INDEX('Detail inputs'!$B$3:$K$193,MATCH($B12&amp;$G12&amp;I$5,'Detail inputs'!$B$3:$B$193&amp;'Detail inputs'!$G$3:$G$193&amp;'Detail inputs'!$H$3:$H$193,0),MATCH(I$4,'Detail inputs'!$B$3:$K$3,0)),0)</f>
        <v>0</v>
      </c>
      <c r="J12" s="224">
        <f t="shared" si="5"/>
        <v>0</v>
      </c>
      <c r="K12" s="246">
        <f>IFERROR(J12/J15,"")</f>
        <v>0</v>
      </c>
      <c r="L12" s="246"/>
      <c r="M12" s="246" t="str">
        <f t="shared" si="3"/>
        <v/>
      </c>
      <c r="N12" s="243"/>
      <c r="O12" s="224"/>
      <c r="P12" s="224">
        <f t="array" ref="P12">IFERROR(INDEX('Detail inputs'!$B$3:$K$193,MATCH($B12&amp;$G12&amp;P$5,'Detail inputs'!$B$3:$B$193&amp;'Detail inputs'!$G$3:$G$193&amp;'Detail inputs'!$H$3:$H$193,0),MATCH(P$4,'Detail inputs'!$B$3:$K$3,0)),0)</f>
        <v>0</v>
      </c>
      <c r="Q12" s="224">
        <f t="shared" si="6"/>
        <v>0</v>
      </c>
      <c r="R12" s="246">
        <f>IFERROR(Q12/Q15,"")</f>
        <v>0</v>
      </c>
    </row>
    <row r="13" spans="1:22" outlineLevel="1" x14ac:dyDescent="0.35">
      <c r="B13" s="3" t="str">
        <f t="shared" si="4"/>
        <v>Ausgrid</v>
      </c>
      <c r="C13" s="3" t="str">
        <f t="shared" si="1"/>
        <v>Residential</v>
      </c>
      <c r="D13" s="3" t="str">
        <f t="shared" si="2"/>
        <v>without CL</v>
      </c>
      <c r="E13" s="3" t="s">
        <v>21</v>
      </c>
      <c r="F13" s="228">
        <f t="array" ref="F13">IFERROR(INDEX(Usage!$B$5:$P$18,MATCH($B13,Usage!$B$5:$B$18,0),MATCH($C13&amp;$D13&amp;$E13&amp;"Total",Usage!$B$5:$S$5&amp;Usage!$B$6:$S$6&amp;Usage!$B$7:$S$7&amp;Usage!$B$13:$S$13,0)),0)</f>
        <v>3900</v>
      </c>
      <c r="G13" s="3" t="s">
        <v>145</v>
      </c>
      <c r="H13" s="224"/>
      <c r="I13" s="224">
        <f t="array" ref="I13">IFERROR(INDEX('Detail inputs'!$B$3:$K$193,MATCH($B13&amp;$G13&amp;I$5,'Detail inputs'!$B$3:$B$193&amp;'Detail inputs'!$G$3:$G$193&amp;'Detail inputs'!$H$3:$H$193,0),MATCH(I$4,'Detail inputs'!$B$3:$K$3,0)),0)</f>
        <v>1.94</v>
      </c>
      <c r="J13" s="224">
        <f t="shared" si="5"/>
        <v>7.5659999999999998</v>
      </c>
      <c r="K13" s="246">
        <f>IFERROR(J13/J15,"")</f>
        <v>2.2060495792585854E-2</v>
      </c>
      <c r="L13" s="246"/>
      <c r="M13" s="246">
        <f t="shared" si="3"/>
        <v>0.365979381443299</v>
      </c>
      <c r="N13" s="243"/>
      <c r="O13" s="224"/>
      <c r="P13" s="224">
        <f t="array" ref="P13">IFERROR(INDEX('Detail inputs'!$B$3:$K$193,MATCH($B13&amp;$G13&amp;P$5,'Detail inputs'!$B$3:$B$193&amp;'Detail inputs'!$G$3:$G$193&amp;'Detail inputs'!$H$3:$H$193,0),MATCH(P$4,'Detail inputs'!$B$3:$K$3,0)),0)</f>
        <v>2.65</v>
      </c>
      <c r="Q13" s="224">
        <f t="shared" si="6"/>
        <v>10.335000000000001</v>
      </c>
      <c r="R13" s="246">
        <f>IFERROR(Q13/Q15,"")</f>
        <v>2.1680438517548885E-2</v>
      </c>
    </row>
    <row r="14" spans="1:22" outlineLevel="1" x14ac:dyDescent="0.35">
      <c r="B14" s="3" t="str">
        <f t="shared" si="4"/>
        <v>Ausgrid</v>
      </c>
      <c r="C14" s="3" t="str">
        <f t="shared" si="1"/>
        <v>Residential</v>
      </c>
      <c r="D14" s="3" t="str">
        <f t="shared" si="2"/>
        <v>without CL</v>
      </c>
      <c r="E14" s="3" t="s">
        <v>21</v>
      </c>
      <c r="F14" s="228">
        <f t="array" ref="F14">IFERROR(INDEX(Usage!$B$5:$P$18,MATCH($B14,Usage!$B$5:$B$18,0),MATCH($C14&amp;$D14&amp;$E14&amp;"Total",Usage!$B$5:$S$5&amp;Usage!$B$6:$S$6&amp;Usage!$B$7:$S$7&amp;Usage!$B$13:$S$13,0)),0)</f>
        <v>3900</v>
      </c>
      <c r="G14" s="3" t="s">
        <v>69</v>
      </c>
      <c r="H14" s="224"/>
      <c r="I14" s="224">
        <f t="array" ref="I14">ROUND(IFERROR(INDEX('Detail inputs'!$B$3:$K$193,MATCH($B14&amp;$C14&amp;$E14&amp;$G14&amp;I$5,'Detail inputs'!$B$3:$B$193&amp;'Detail inputs'!$D$3:$D$193&amp;'Detail inputs'!$F$3:$F$193&amp;'Detail inputs'!$G$3:$G$193&amp;'Detail inputs'!$H$3:$H$193,0),MATCH(I$4,'Detail inputs'!$B$3:$K$3,0)),0)*SUM(I9:I13),2)</f>
        <v>4.3499999999999996</v>
      </c>
      <c r="J14" s="224">
        <f t="shared" si="5"/>
        <v>16.965</v>
      </c>
      <c r="K14" s="246">
        <f>IFERROR(J14/J15,"")</f>
        <v>4.9465544689561061E-2</v>
      </c>
      <c r="L14" s="246"/>
      <c r="M14" s="246">
        <f t="shared" si="3"/>
        <v>0.4137931034482758</v>
      </c>
      <c r="N14" s="243"/>
      <c r="O14" s="224"/>
      <c r="P14" s="224">
        <f t="array" ref="P14">ROUND(IFERROR(INDEX('Detail inputs'!$B$3:$K$193,MATCH($B14&amp;$C14&amp;$E14&amp;$G14&amp;P$5,'Detail inputs'!$B$3:$B$193&amp;'Detail inputs'!$D$3:$D$193&amp;'Detail inputs'!$F$3:$F$193&amp;'Detail inputs'!$G$3:$G$193&amp;'Detail inputs'!$H$3:$H$193,0),MATCH(P$4,'Detail inputs'!$B$3:$K$3,0)),0)*SUM(P9:P13),2)</f>
        <v>6.15</v>
      </c>
      <c r="Q14" s="224">
        <f t="shared" si="6"/>
        <v>23.984999999999999</v>
      </c>
      <c r="R14" s="246">
        <f>IFERROR(Q14/Q15,"")</f>
        <v>5.0314979955820995E-2</v>
      </c>
    </row>
    <row r="15" spans="1:22" s="60" customFormat="1" x14ac:dyDescent="0.35">
      <c r="B15" s="3" t="str">
        <f t="shared" si="4"/>
        <v>Ausgrid</v>
      </c>
      <c r="C15" s="3" t="str">
        <f t="shared" si="1"/>
        <v>Residential</v>
      </c>
      <c r="D15" s="3" t="str">
        <f t="shared" si="2"/>
        <v>without CL</v>
      </c>
      <c r="E15" s="3" t="s">
        <v>21</v>
      </c>
      <c r="F15" s="228">
        <f t="array" ref="F15">IFERROR(INDEX(Usage!$B$5:$P$18,MATCH($B15,Usage!$B$5:$B$18,0),MATCH($C15&amp;$D15&amp;$E15&amp;"Total",Usage!$B$5:$S$5&amp;Usage!$B$6:$S$6&amp;Usage!$B$7:$S$7&amp;Usage!$B$13:$S$13,0)),0)</f>
        <v>3900</v>
      </c>
      <c r="G15" s="60" t="s">
        <v>53</v>
      </c>
      <c r="H15" s="226"/>
      <c r="I15" s="226">
        <f t="array" ref="I15">INDEX('Key inputs'!$B$16:$N$40,MATCH($B15&amp;$C15&amp;$E15,'Key inputs'!$B$16:$B$40&amp;'Key inputs'!$C$16:$C$40&amp;'Key inputs'!$D$16:$D$40,0),MATCH($A$2&amp;I$4,'Key inputs'!$B$17:$N$17&amp;'Key inputs'!$B$18:$N$18,0))</f>
        <v>87.94</v>
      </c>
      <c r="J15" s="224">
        <f t="shared" si="5"/>
        <v>342.96600000000001</v>
      </c>
      <c r="K15" s="247"/>
      <c r="L15" s="259"/>
      <c r="M15" s="247">
        <f t="shared" si="3"/>
        <v>0.38992494882874684</v>
      </c>
      <c r="N15" s="253"/>
      <c r="O15" s="226"/>
      <c r="P15" s="226">
        <f t="array" ref="P15">INDEX('Key inputs'!$B$16:$N$40,MATCH($B15&amp;$C15&amp;$E15,'Key inputs'!$B$16:$B$40&amp;'Key inputs'!$C$16:$C$40&amp;'Key inputs'!$D$16:$D$40,0),MATCH($A$2&amp;P$4,'Key inputs'!$B$17:$N$17&amp;'Key inputs'!$B$18:$N$18,0))</f>
        <v>122.23</v>
      </c>
      <c r="Q15" s="224">
        <f t="shared" si="6"/>
        <v>476.697</v>
      </c>
      <c r="R15" s="247"/>
      <c r="S15" s="97"/>
      <c r="T15" s="97"/>
      <c r="U15" s="97"/>
      <c r="V15" s="97"/>
    </row>
    <row r="16" spans="1:22" outlineLevel="1" x14ac:dyDescent="0.35">
      <c r="B16" s="3" t="str">
        <f t="shared" si="4"/>
        <v>Ausgrid</v>
      </c>
      <c r="C16" s="3" t="str">
        <f t="shared" si="1"/>
        <v>Residential</v>
      </c>
      <c r="D16" s="3" t="str">
        <f t="shared" si="2"/>
        <v>without CL</v>
      </c>
      <c r="F16" s="228"/>
      <c r="G16" s="60" t="s">
        <v>35</v>
      </c>
      <c r="H16" s="226"/>
      <c r="I16" s="226"/>
      <c r="J16" s="226">
        <f>J15*GST</f>
        <v>34.296600000000005</v>
      </c>
      <c r="K16" s="247"/>
      <c r="L16" s="259"/>
      <c r="M16" s="247"/>
      <c r="N16" s="253"/>
      <c r="O16" s="226"/>
      <c r="P16" s="226"/>
      <c r="Q16" s="226">
        <f>Q15*GST</f>
        <v>47.669700000000006</v>
      </c>
      <c r="R16" s="248"/>
    </row>
    <row r="17" spans="2:22" x14ac:dyDescent="0.35">
      <c r="B17" s="3" t="str">
        <f t="shared" si="4"/>
        <v>Ausgrid</v>
      </c>
      <c r="C17" s="3" t="str">
        <f t="shared" si="1"/>
        <v>Residential</v>
      </c>
      <c r="D17" s="3" t="str">
        <f t="shared" si="2"/>
        <v>without CL</v>
      </c>
      <c r="F17" s="228"/>
      <c r="G17" s="5" t="s">
        <v>77</v>
      </c>
      <c r="H17" s="227"/>
      <c r="I17" s="227"/>
      <c r="J17" s="227">
        <f>SUM(J15:J16)</f>
        <v>377.26260000000002</v>
      </c>
      <c r="K17" s="248"/>
      <c r="L17" s="260"/>
      <c r="M17" s="248">
        <f>IF(OR(J17=0,Q17=""),"",Q17/J17-1)</f>
        <v>0.38992494882874684</v>
      </c>
      <c r="N17" s="254"/>
      <c r="O17" s="227"/>
      <c r="P17" s="227"/>
      <c r="Q17" s="227">
        <f>SUM(Q15:Q16)</f>
        <v>524.36670000000004</v>
      </c>
      <c r="R17" s="248"/>
    </row>
    <row r="18" spans="2:22" x14ac:dyDescent="0.35">
      <c r="F18" s="228"/>
      <c r="H18" s="224"/>
      <c r="I18" s="224"/>
      <c r="J18" s="224"/>
      <c r="K18" s="246"/>
      <c r="L18" s="261"/>
      <c r="M18" s="246"/>
      <c r="N18" s="252"/>
      <c r="O18" s="224"/>
      <c r="P18" s="224"/>
      <c r="Q18" s="224"/>
      <c r="R18" s="246"/>
    </row>
    <row r="19" spans="2:22" x14ac:dyDescent="0.35">
      <c r="B19" s="5" t="s">
        <v>2</v>
      </c>
      <c r="C19" s="5" t="s">
        <v>6</v>
      </c>
      <c r="D19" s="5" t="s">
        <v>137</v>
      </c>
      <c r="F19" s="228"/>
      <c r="H19" s="224"/>
      <c r="I19" s="224"/>
      <c r="J19" s="224"/>
      <c r="K19" s="246"/>
      <c r="L19" s="261"/>
      <c r="M19" s="246"/>
      <c r="N19" s="252"/>
      <c r="O19" s="224"/>
      <c r="P19" s="224"/>
      <c r="Q19" s="224"/>
      <c r="R19" s="246"/>
    </row>
    <row r="20" spans="2:22" outlineLevel="1" x14ac:dyDescent="0.35">
      <c r="B20" s="3" t="str">
        <f>B19</f>
        <v>Ausgrid</v>
      </c>
      <c r="C20" s="3" t="str">
        <f t="shared" ref="C20:C37" si="7">C19</f>
        <v>Residential</v>
      </c>
      <c r="D20" s="3" t="str">
        <f t="shared" ref="D20:D37" si="8">D19</f>
        <v>with CL</v>
      </c>
      <c r="E20" s="3" t="s">
        <v>21</v>
      </c>
      <c r="F20" s="228">
        <f t="array" ref="F20">IFERROR(INDEX(Usage!$B$5:$P$18,MATCH($B20,Usage!$B$5:$B$18,0),MATCH($C20&amp;$D20&amp;$E20&amp;"Total",Usage!$B$5:$S$5&amp;Usage!$B$6:$S$6&amp;Usage!$B$7:$S$7&amp;Usage!$B$13:$S$13,0)),0)</f>
        <v>4800</v>
      </c>
      <c r="G20" s="3" t="s">
        <v>53</v>
      </c>
      <c r="H20" s="224"/>
      <c r="I20" s="226">
        <f t="array" ref="I20">INDEX('Key inputs'!$B$16:$N$40,MATCH($B20&amp;$C20&amp;$E20,'Key inputs'!$B$16:$B$40&amp;'Key inputs'!$C$16:$C$40&amp;'Key inputs'!$D$16:$D$40,0),MATCH($A$2&amp;I$4,'Key inputs'!$B$17:$N$17&amp;'Key inputs'!$B$18:$N$18,0))</f>
        <v>87.94</v>
      </c>
      <c r="J20" s="224">
        <f>IF(AND(H20="",I20=""),"",H20+I20*$F20/1000)</f>
        <v>422.11200000000002</v>
      </c>
      <c r="K20" s="246"/>
      <c r="L20" s="261"/>
      <c r="M20" s="246">
        <f>IF(OR(J20=0,Q20=""),"",Q20/J20-1)</f>
        <v>0.38992494882874662</v>
      </c>
      <c r="N20" s="252"/>
      <c r="O20" s="224"/>
      <c r="P20" s="226">
        <f t="array" ref="P20">INDEX('Key inputs'!$B$16:$N$40,MATCH($B20&amp;$C20&amp;$E20,'Key inputs'!$B$16:$B$40&amp;'Key inputs'!$C$16:$C$40&amp;'Key inputs'!$D$16:$D$40,0),MATCH($A$2&amp;P$4,'Key inputs'!$B$17:$N$17&amp;'Key inputs'!$B$18:$N$18,0))</f>
        <v>122.23</v>
      </c>
      <c r="Q20" s="224">
        <f>IF(AND(O20="",P20=""),"",O20+P20*$F20/1000)</f>
        <v>586.70399999999995</v>
      </c>
      <c r="R20" s="246"/>
    </row>
    <row r="21" spans="2:22" outlineLevel="1" x14ac:dyDescent="0.35">
      <c r="B21" s="3" t="str">
        <f t="shared" ref="B21:B37" si="9">B20</f>
        <v>Ausgrid</v>
      </c>
      <c r="C21" s="3" t="str">
        <f t="shared" si="7"/>
        <v>Residential</v>
      </c>
      <c r="D21" s="3" t="str">
        <f t="shared" si="8"/>
        <v>with CL</v>
      </c>
      <c r="E21" s="3" t="s">
        <v>15</v>
      </c>
      <c r="F21" s="228">
        <f t="array" ref="F21">IFERROR(INDEX(Usage!$B$5:$P$18,MATCH($B21,Usage!$B$5:$B$18,0),MATCH($C21&amp;$D21&amp;$E21,Usage!$B$5:$S$5&amp;Usage!$B$6:$S$6&amp;Usage!$B$7:$S$7,0)),0)</f>
        <v>1340</v>
      </c>
      <c r="G21" s="3" t="s">
        <v>66</v>
      </c>
      <c r="H21" s="224"/>
      <c r="I21" s="224">
        <f t="array" ref="I21">IFERROR(INDEX('Detail inputs'!$B$3:$K$193,MATCH($B21&amp;$C21&amp;$E21&amp;$G21&amp;I$5,'Detail inputs'!$B$3:$B$193&amp;'Detail inputs'!$D$3:$D$193&amp;'Detail inputs'!$F$3:$F$193&amp;'Detail inputs'!$G$3:$G$193&amp;'Detail inputs'!$H$3:$H$193,0),MATCH(I$4,'Detail inputs'!$B$3:$K$3,0)),0)</f>
        <v>54.58</v>
      </c>
      <c r="J21" s="224">
        <f>IF(AND(H21="",I21=""),"",H21+I21*$F21/1000)</f>
        <v>73.137199999999993</v>
      </c>
      <c r="K21" s="246">
        <f>IFERROR(J21/J27,"")</f>
        <v>0.90304434149569812</v>
      </c>
      <c r="L21" s="246"/>
      <c r="M21" s="246">
        <f t="shared" ref="M21:M35" si="10">IF(OR(J21=0,Q21=""),"",Q21/J21-1)</f>
        <v>0.46262367167460616</v>
      </c>
      <c r="N21" s="243"/>
      <c r="O21" s="224"/>
      <c r="P21" s="224">
        <f t="array" ref="P21">IFERROR(INDEX('Detail inputs'!$B$3:$K$193,MATCH($B21&amp;$C21&amp;$E21&amp;$G21&amp;P$5,'Detail inputs'!$B$3:$B$193&amp;'Detail inputs'!$D$3:$D$193&amp;'Detail inputs'!$F$3:$F$193&amp;'Detail inputs'!$G$3:$G$193&amp;'Detail inputs'!$H$3:$H$193,0),MATCH(P$4,'Detail inputs'!$B$3:$K$3,0)),0)</f>
        <v>79.83</v>
      </c>
      <c r="Q21" s="224">
        <f>IF(AND(O21="",P21=""),"",O21+P21*$F21/1000)</f>
        <v>106.9722</v>
      </c>
      <c r="R21" s="246">
        <f>IFERROR(Q21/Q27,"")</f>
        <v>0.90081245768449558</v>
      </c>
    </row>
    <row r="22" spans="2:22" outlineLevel="1" x14ac:dyDescent="0.35">
      <c r="B22" s="3" t="str">
        <f t="shared" si="9"/>
        <v>Ausgrid</v>
      </c>
      <c r="C22" s="3" t="str">
        <f t="shared" si="7"/>
        <v>Residential</v>
      </c>
      <c r="D22" s="3" t="str">
        <f t="shared" si="8"/>
        <v>with CL</v>
      </c>
      <c r="E22" s="3" t="s">
        <v>15</v>
      </c>
      <c r="F22" s="228">
        <f t="array" ref="F22">IFERROR(INDEX(Usage!$B$5:$P$18,MATCH($B22,Usage!$B$5:$B$18,0),MATCH($C22&amp;$D22&amp;$E22,Usage!$B$5:$S$5&amp;Usage!$B$6:$S$6&amp;Usage!$B$7:$S$7,0)),0)</f>
        <v>1340</v>
      </c>
      <c r="G22" s="3" t="s">
        <v>67</v>
      </c>
      <c r="H22" s="224"/>
      <c r="I22" s="224">
        <f t="array" ref="I22">IFERROR(INDEX('Detail inputs'!$B$3:$K$193,MATCH($B22&amp;$G22&amp;I$5,'Detail inputs'!$B$3:$B$193&amp;'Detail inputs'!$G$3:$G$193&amp;'Detail inputs'!$H$3:$H$193,0),MATCH(I$4,'Detail inputs'!$B$3:$K$3,0)),0)</f>
        <v>0.28000000000000003</v>
      </c>
      <c r="J22" s="224">
        <f t="shared" ref="J22:J27" si="11">IF(AND(H22="",I22=""),"",H22+I22*$F22/1000)</f>
        <v>0.37520000000000003</v>
      </c>
      <c r="K22" s="246">
        <f>IFERROR(J22/J27,"")</f>
        <v>4.6326935804103251E-3</v>
      </c>
      <c r="L22" s="246"/>
      <c r="M22" s="246">
        <f t="shared" si="10"/>
        <v>0.21428571428571419</v>
      </c>
      <c r="N22" s="243"/>
      <c r="O22" s="224"/>
      <c r="P22" s="224">
        <f t="array" ref="P22">IFERROR(INDEX('Detail inputs'!$B$3:$K$193,MATCH($B22&amp;$G22&amp;P$5,'Detail inputs'!$B$3:$B$193&amp;'Detail inputs'!$G$3:$G$193&amp;'Detail inputs'!$H$3:$H$193,0),MATCH(P$4,'Detail inputs'!$B$3:$K$3,0)),0)</f>
        <v>0.34</v>
      </c>
      <c r="Q22" s="224">
        <f t="shared" ref="Q22:Q27" si="12">IF(AND(O22="",P22=""),"",O22+P22*$F22/1000)</f>
        <v>0.4556</v>
      </c>
      <c r="R22" s="246">
        <f>IFERROR(Q22/Q27,"")</f>
        <v>3.8366057323403297E-3</v>
      </c>
    </row>
    <row r="23" spans="2:22" outlineLevel="1" x14ac:dyDescent="0.35">
      <c r="B23" s="3" t="str">
        <f t="shared" si="9"/>
        <v>Ausgrid</v>
      </c>
      <c r="C23" s="3" t="str">
        <f t="shared" si="7"/>
        <v>Residential</v>
      </c>
      <c r="D23" s="3" t="str">
        <f t="shared" si="8"/>
        <v>with CL</v>
      </c>
      <c r="E23" s="3" t="s">
        <v>15</v>
      </c>
      <c r="F23" s="228">
        <f t="array" ref="F23">IFERROR(INDEX(Usage!$B$5:$P$18,MATCH($B23,Usage!$B$5:$B$18,0),MATCH($C23&amp;$D23&amp;$E23,Usage!$B$5:$S$5&amp;Usage!$B$6:$S$6&amp;Usage!$B$7:$S$7,0)),0)</f>
        <v>1340</v>
      </c>
      <c r="G23" s="3" t="s">
        <v>75</v>
      </c>
      <c r="H23" s="224"/>
      <c r="I23" s="224">
        <f t="array" ref="I23">IFERROR(INDEX('Detail inputs'!$B$3:$K$193,MATCH($B23&amp;$G23&amp;I$5,'Detail inputs'!$B$3:$B$193&amp;'Detail inputs'!$G$3:$G$193&amp;'Detail inputs'!$H$3:$H$193,0),MATCH(I$4,'Detail inputs'!$B$3:$K$3,0)),0)</f>
        <v>0.49</v>
      </c>
      <c r="J23" s="224">
        <f t="shared" si="11"/>
        <v>0.65660000000000007</v>
      </c>
      <c r="K23" s="246">
        <f>IFERROR(J23/J27,"")</f>
        <v>8.1072137657180691E-3</v>
      </c>
      <c r="L23" s="246"/>
      <c r="M23" s="246">
        <f t="shared" si="10"/>
        <v>1.2448979591836737</v>
      </c>
      <c r="N23" s="243"/>
      <c r="O23" s="224"/>
      <c r="P23" s="224">
        <f t="array" ref="P23">IFERROR(INDEX('Detail inputs'!$B$3:$K$193,MATCH($B23&amp;$G23&amp;P$5,'Detail inputs'!$B$3:$B$193&amp;'Detail inputs'!$G$3:$G$193&amp;'Detail inputs'!$H$3:$H$193,0),MATCH(P$4,'Detail inputs'!$B$3:$K$3,0)),0)</f>
        <v>1.1000000000000001</v>
      </c>
      <c r="Q23" s="224">
        <f t="shared" si="12"/>
        <v>1.4740000000000002</v>
      </c>
      <c r="R23" s="246">
        <f>IFERROR(Q23/Q27,"")</f>
        <v>1.2412547957571657E-2</v>
      </c>
    </row>
    <row r="24" spans="2:22" outlineLevel="1" x14ac:dyDescent="0.35">
      <c r="B24" s="3" t="str">
        <f t="shared" si="9"/>
        <v>Ausgrid</v>
      </c>
      <c r="C24" s="3" t="str">
        <f t="shared" si="7"/>
        <v>Residential</v>
      </c>
      <c r="D24" s="3" t="str">
        <f t="shared" si="8"/>
        <v>with CL</v>
      </c>
      <c r="E24" s="3" t="s">
        <v>15</v>
      </c>
      <c r="F24" s="228">
        <f t="array" ref="F24">IFERROR(INDEX(Usage!$B$5:$P$18,MATCH($B24,Usage!$B$5:$B$18,0),MATCH($C24&amp;$D24&amp;$E24,Usage!$B$5:$S$5&amp;Usage!$B$6:$S$6&amp;Usage!$B$7:$S$7,0)),0)</f>
        <v>1340</v>
      </c>
      <c r="G24" s="3" t="s">
        <v>68</v>
      </c>
      <c r="H24" s="224"/>
      <c r="I24" s="224">
        <f t="array" ref="I24">IFERROR(INDEX('Detail inputs'!$B$3:$K$193,MATCH($B24&amp;$G24&amp;I$5,'Detail inputs'!$B$3:$B$193&amp;'Detail inputs'!$G$3:$G$193&amp;'Detail inputs'!$H$3:$H$193,0),MATCH(I$4,'Detail inputs'!$B$3:$K$3,0)),0)</f>
        <v>0</v>
      </c>
      <c r="J24" s="224">
        <f t="shared" si="11"/>
        <v>0</v>
      </c>
      <c r="K24" s="246">
        <f>IFERROR(J24/J27,"")</f>
        <v>0</v>
      </c>
      <c r="L24" s="246"/>
      <c r="M24" s="246" t="str">
        <f t="shared" si="10"/>
        <v/>
      </c>
      <c r="N24" s="243"/>
      <c r="O24" s="224"/>
      <c r="P24" s="224">
        <f t="array" ref="P24">IFERROR(INDEX('Detail inputs'!$B$3:$K$193,MATCH($B24&amp;$G24&amp;P$5,'Detail inputs'!$B$3:$B$193&amp;'Detail inputs'!$G$3:$G$193&amp;'Detail inputs'!$H$3:$H$193,0),MATCH(P$4,'Detail inputs'!$B$3:$K$3,0)),0)</f>
        <v>0</v>
      </c>
      <c r="Q24" s="224">
        <f t="shared" si="12"/>
        <v>0</v>
      </c>
      <c r="R24" s="246">
        <f>IFERROR(Q24/Q27,"")</f>
        <v>0</v>
      </c>
    </row>
    <row r="25" spans="2:22" outlineLevel="1" x14ac:dyDescent="0.35">
      <c r="B25" s="3" t="str">
        <f t="shared" si="9"/>
        <v>Ausgrid</v>
      </c>
      <c r="C25" s="3" t="str">
        <f t="shared" si="7"/>
        <v>Residential</v>
      </c>
      <c r="D25" s="3" t="str">
        <f t="shared" si="8"/>
        <v>with CL</v>
      </c>
      <c r="E25" s="3" t="s">
        <v>15</v>
      </c>
      <c r="F25" s="228">
        <f t="array" ref="F25">IFERROR(INDEX(Usage!$B$5:$P$18,MATCH($B25,Usage!$B$5:$B$18,0),MATCH($C25&amp;$D25&amp;$E25,Usage!$B$5:$S$5&amp;Usage!$B$6:$S$6&amp;Usage!$B$7:$S$7,0)),0)</f>
        <v>1340</v>
      </c>
      <c r="G25" s="3" t="s">
        <v>145</v>
      </c>
      <c r="H25" s="224"/>
      <c r="I25" s="224">
        <f t="array" ref="I25">IFERROR(INDEX('Detail inputs'!$B$3:$K$193,MATCH($B25&amp;$G25&amp;I$5,'Detail inputs'!$B$3:$B$193&amp;'Detail inputs'!$G$3:$G$193&amp;'Detail inputs'!$H$3:$H$193,0),MATCH(I$4,'Detail inputs'!$B$3:$K$3,0)),0)</f>
        <v>1.94</v>
      </c>
      <c r="J25" s="224">
        <f t="shared" si="11"/>
        <v>2.5995999999999997</v>
      </c>
      <c r="K25" s="246">
        <f>IFERROR(J25/J27,"")</f>
        <v>3.2097948378557242E-2</v>
      </c>
      <c r="L25" s="246"/>
      <c r="M25" s="246">
        <f t="shared" si="10"/>
        <v>0.36597938144329922</v>
      </c>
      <c r="N25" s="243"/>
      <c r="O25" s="224"/>
      <c r="P25" s="224">
        <f t="array" ref="P25">IFERROR(INDEX('Detail inputs'!$B$3:$K$193,MATCH($B25&amp;$G25&amp;P$5,'Detail inputs'!$B$3:$B$193&amp;'Detail inputs'!$G$3:$G$193&amp;'Detail inputs'!$H$3:$H$193,0),MATCH(P$4,'Detail inputs'!$B$3:$K$3,0)),0)</f>
        <v>2.65</v>
      </c>
      <c r="Q25" s="224">
        <f t="shared" si="12"/>
        <v>3.5510000000000002</v>
      </c>
      <c r="R25" s="246">
        <f>IFERROR(Q25/Q27,"")</f>
        <v>2.9902956443240807E-2</v>
      </c>
    </row>
    <row r="26" spans="2:22" outlineLevel="1" x14ac:dyDescent="0.35">
      <c r="B26" s="3" t="str">
        <f t="shared" si="9"/>
        <v>Ausgrid</v>
      </c>
      <c r="C26" s="3" t="str">
        <f t="shared" si="7"/>
        <v>Residential</v>
      </c>
      <c r="D26" s="3" t="str">
        <f t="shared" si="8"/>
        <v>with CL</v>
      </c>
      <c r="E26" s="3" t="s">
        <v>15</v>
      </c>
      <c r="F26" s="228">
        <f t="array" ref="F26">IFERROR(INDEX(Usage!$B$5:$P$18,MATCH($B26,Usage!$B$5:$B$18,0),MATCH($C26&amp;$D26&amp;$E26,Usage!$B$5:$S$5&amp;Usage!$B$6:$S$6&amp;Usage!$B$7:$S$7,0)),0)</f>
        <v>1340</v>
      </c>
      <c r="G26" s="3" t="s">
        <v>69</v>
      </c>
      <c r="H26" s="224"/>
      <c r="I26" s="224">
        <f t="array" ref="I26">ROUND(IFERROR(INDEX('Detail inputs'!$B$3:$K$193,MATCH($B26&amp;$C26&amp;$E26&amp;$G26&amp;I$5,'Detail inputs'!$B$3:$B$193&amp;'Detail inputs'!$D$3:$D$193&amp;'Detail inputs'!$F$3:$F$193&amp;'Detail inputs'!$G$3:$G$193&amp;'Detail inputs'!$H$3:$H$193,0),MATCH(I$4,'Detail inputs'!$B$3:$K$3,0)),0)*SUM(I21:I25),2)</f>
        <v>3.15</v>
      </c>
      <c r="J26" s="224">
        <f t="shared" si="11"/>
        <v>4.2210000000000001</v>
      </c>
      <c r="K26" s="246">
        <f>IFERROR(J26/J27,"")</f>
        <v>5.2117802779616154E-2</v>
      </c>
      <c r="L26" s="246"/>
      <c r="M26" s="246">
        <f t="shared" si="10"/>
        <v>0.49206349206349209</v>
      </c>
      <c r="N26" s="243"/>
      <c r="O26" s="224"/>
      <c r="P26" s="224">
        <f t="array" ref="P26">ROUND(IFERROR(INDEX('Detail inputs'!$B$3:$K$193,MATCH($B26&amp;$C26&amp;$E26&amp;$G26&amp;P$5,'Detail inputs'!$B$3:$B$193&amp;'Detail inputs'!$D$3:$D$193&amp;'Detail inputs'!$F$3:$F$193&amp;'Detail inputs'!$G$3:$G$193&amp;'Detail inputs'!$H$3:$H$193,0),MATCH(P$4,'Detail inputs'!$B$3:$K$3,0)),0)*SUM(P21:P25),2)</f>
        <v>4.7</v>
      </c>
      <c r="Q26" s="224">
        <f t="shared" si="12"/>
        <v>6.298</v>
      </c>
      <c r="R26" s="246">
        <f>IFERROR(Q26/Q27,"")</f>
        <v>5.3035432182351613E-2</v>
      </c>
    </row>
    <row r="27" spans="2:22" outlineLevel="1" x14ac:dyDescent="0.35">
      <c r="B27" s="3" t="str">
        <f t="shared" si="9"/>
        <v>Ausgrid</v>
      </c>
      <c r="C27" s="3" t="str">
        <f t="shared" si="7"/>
        <v>Residential</v>
      </c>
      <c r="D27" s="3" t="str">
        <f t="shared" si="8"/>
        <v>with CL</v>
      </c>
      <c r="E27" s="3" t="s">
        <v>15</v>
      </c>
      <c r="F27" s="228">
        <f t="array" ref="F27">IFERROR(INDEX(Usage!$B$5:$P$18,MATCH($B27,Usage!$B$5:$B$18,0),MATCH($C27&amp;$D27&amp;$E27,Usage!$B$5:$S$5&amp;Usage!$B$6:$S$6&amp;Usage!$B$7:$S$7,0)),0)</f>
        <v>1340</v>
      </c>
      <c r="G27" s="3" t="s">
        <v>53</v>
      </c>
      <c r="H27" s="226"/>
      <c r="I27" s="226">
        <f t="array" ref="I27">INDEX('Key inputs'!$B$16:$N$40,MATCH($B27&amp;$C27&amp;$E27,'Key inputs'!$B$16:$B$40&amp;'Key inputs'!$C$16:$C$40&amp;'Key inputs'!$D$16:$D$40,0),MATCH($A$2&amp;I$4,'Key inputs'!$B$17:$N$17&amp;'Key inputs'!$B$18:$N$18,0))</f>
        <v>60.44</v>
      </c>
      <c r="J27" s="224">
        <f t="shared" si="11"/>
        <v>80.989599999999996</v>
      </c>
      <c r="K27" s="247"/>
      <c r="L27" s="259"/>
      <c r="M27" s="247">
        <f t="shared" si="10"/>
        <v>0.46624751819986776</v>
      </c>
      <c r="N27" s="253"/>
      <c r="O27" s="226"/>
      <c r="P27" s="226">
        <f t="array" ref="P27">INDEX('Key inputs'!$B$16:$N$40,MATCH($B27&amp;$C27&amp;$E27,'Key inputs'!$B$16:$B$40&amp;'Key inputs'!$C$16:$C$40&amp;'Key inputs'!$D$16:$D$40,0),MATCH($A$2&amp;P$4,'Key inputs'!$B$17:$N$17&amp;'Key inputs'!$B$18:$N$18,0))</f>
        <v>88.62</v>
      </c>
      <c r="Q27" s="224">
        <f t="shared" si="12"/>
        <v>118.7508</v>
      </c>
      <c r="R27" s="247"/>
      <c r="T27" s="97"/>
      <c r="U27" s="97"/>
      <c r="V27" s="97"/>
    </row>
    <row r="28" spans="2:22" outlineLevel="1" x14ac:dyDescent="0.35">
      <c r="B28" s="3" t="str">
        <f t="shared" si="9"/>
        <v>Ausgrid</v>
      </c>
      <c r="C28" s="3" t="str">
        <f t="shared" si="7"/>
        <v>Residential</v>
      </c>
      <c r="D28" s="3" t="str">
        <f t="shared" si="8"/>
        <v>with CL</v>
      </c>
      <c r="E28" s="3" t="s">
        <v>16</v>
      </c>
      <c r="F28" s="228">
        <f t="array" ref="F28">IFERROR(INDEX(Usage!$B$5:$P$18,MATCH($B28,Usage!$B$5:$B$18,0),MATCH($C28&amp;$D28&amp;$E28,Usage!$B$5:$S$5&amp;Usage!$B$6:$S$6&amp;Usage!$B$7:$S$7,0)),0)</f>
        <v>660</v>
      </c>
      <c r="G28" s="3" t="s">
        <v>66</v>
      </c>
      <c r="H28" s="226"/>
      <c r="I28" s="226">
        <f t="array" ref="I28">IFERROR(INDEX('Detail inputs'!$B$3:$K$193,MATCH($B28&amp;$C28&amp;$E28&amp;$G28&amp;I$5,'Detail inputs'!$B$3:$B$193&amp;'Detail inputs'!$D$3:$D$193&amp;'Detail inputs'!$F$3:$F$193&amp;'Detail inputs'!$G$3:$G$193&amp;'Detail inputs'!$H$3:$H$193,0),MATCH(I$4,'Detail inputs'!$B$3:$K$3,0)),0)</f>
        <v>51.76</v>
      </c>
      <c r="J28" s="226">
        <f>IF(AND(H28="",I28=""),"",H28+I28*$F28/1000)</f>
        <v>34.1616</v>
      </c>
      <c r="K28" s="247">
        <f>IFERROR(J28/J34,"")</f>
        <v>0.90064381416391159</v>
      </c>
      <c r="L28" s="247"/>
      <c r="M28" s="247">
        <f t="shared" si="10"/>
        <v>0.51738794435857827</v>
      </c>
      <c r="N28" s="244"/>
      <c r="O28" s="226"/>
      <c r="P28" s="226">
        <f t="array" ref="P28">IFERROR(INDEX('Detail inputs'!$B$3:$K$193,MATCH($B28&amp;$C28&amp;$E28&amp;$G28&amp;P$5,'Detail inputs'!$B$3:$B$193&amp;'Detail inputs'!$D$3:$D$193&amp;'Detail inputs'!$F$3:$F$193&amp;'Detail inputs'!$G$3:$G$193&amp;'Detail inputs'!$H$3:$H$193,0),MATCH(P$4,'Detail inputs'!$B$3:$K$3,0)),0)</f>
        <v>78.540000000000006</v>
      </c>
      <c r="Q28" s="226">
        <f>IF(AND(O28="",P28=""),"",O28+P28*$F28/1000)</f>
        <v>51.836400000000005</v>
      </c>
      <c r="R28" s="247">
        <f>IFERROR(Q28/Q34,"")</f>
        <v>0.90006876002750402</v>
      </c>
    </row>
    <row r="29" spans="2:22" outlineLevel="1" x14ac:dyDescent="0.35">
      <c r="B29" s="3" t="str">
        <f t="shared" si="9"/>
        <v>Ausgrid</v>
      </c>
      <c r="C29" s="3" t="str">
        <f t="shared" si="7"/>
        <v>Residential</v>
      </c>
      <c r="D29" s="3" t="str">
        <f t="shared" si="8"/>
        <v>with CL</v>
      </c>
      <c r="E29" s="3" t="s">
        <v>16</v>
      </c>
      <c r="F29" s="228">
        <f t="array" ref="F29">IFERROR(INDEX(Usage!$B$5:$P$18,MATCH($B29,Usage!$B$5:$B$18,0),MATCH($C29&amp;$D29&amp;$E29,Usage!$B$5:$S$5&amp;Usage!$B$6:$S$6&amp;Usage!$B$7:$S$7,0)),0)</f>
        <v>660</v>
      </c>
      <c r="G29" s="3" t="s">
        <v>67</v>
      </c>
      <c r="H29" s="226"/>
      <c r="I29" s="226">
        <f t="array" ref="I29">IFERROR(INDEX('Detail inputs'!$B$3:$K$193,MATCH($B29&amp;$G29&amp;I$5,'Detail inputs'!$B$3:$B$193&amp;'Detail inputs'!$G$3:$G$193&amp;'Detail inputs'!$H$3:$H$193,0),MATCH(I$4,'Detail inputs'!$B$3:$K$3,0)),0)</f>
        <v>0.28000000000000003</v>
      </c>
      <c r="J29" s="226">
        <f t="shared" ref="J29:J34" si="13">IF(AND(H29="",I29=""),"",H29+I29*$F29/1000)</f>
        <v>0.18480000000000002</v>
      </c>
      <c r="K29" s="247">
        <f>IFERROR(J29/J34,"")</f>
        <v>4.8721071863581005E-3</v>
      </c>
      <c r="L29" s="247"/>
      <c r="M29" s="247">
        <f t="shared" si="10"/>
        <v>0.21428571428571419</v>
      </c>
      <c r="N29" s="244"/>
      <c r="O29" s="226"/>
      <c r="P29" s="226">
        <f t="array" ref="P29">IFERROR(INDEX('Detail inputs'!$B$3:$K$193,MATCH($B29&amp;$G29&amp;P$5,'Detail inputs'!$B$3:$B$193&amp;'Detail inputs'!$G$3:$G$193&amp;'Detail inputs'!$H$3:$H$193,0),MATCH(P$4,'Detail inputs'!$B$3:$K$3,0)),0)</f>
        <v>0.34</v>
      </c>
      <c r="Q29" s="226">
        <f t="shared" ref="Q29:Q34" si="14">IF(AND(O29="",P29=""),"",O29+P29*$F29/1000)</f>
        <v>0.22440000000000002</v>
      </c>
      <c r="R29" s="247">
        <f>IFERROR(Q29/Q34,"")</f>
        <v>3.8964015585606234E-3</v>
      </c>
    </row>
    <row r="30" spans="2:22" outlineLevel="1" x14ac:dyDescent="0.35">
      <c r="B30" s="3" t="str">
        <f t="shared" si="9"/>
        <v>Ausgrid</v>
      </c>
      <c r="C30" s="3" t="str">
        <f t="shared" si="7"/>
        <v>Residential</v>
      </c>
      <c r="D30" s="3" t="str">
        <f t="shared" si="8"/>
        <v>with CL</v>
      </c>
      <c r="E30" s="3" t="s">
        <v>16</v>
      </c>
      <c r="F30" s="228">
        <f t="array" ref="F30">IFERROR(INDEX(Usage!$B$5:$P$18,MATCH($B30,Usage!$B$5:$B$18,0),MATCH($C30&amp;$D30&amp;$E30,Usage!$B$5:$S$5&amp;Usage!$B$6:$S$6&amp;Usage!$B$7:$S$7,0)),0)</f>
        <v>660</v>
      </c>
      <c r="G30" s="3" t="s">
        <v>75</v>
      </c>
      <c r="H30" s="226"/>
      <c r="I30" s="226">
        <f t="array" ref="I30">IFERROR(INDEX('Detail inputs'!$B$3:$K$193,MATCH($B30&amp;$G30&amp;I$5,'Detail inputs'!$B$3:$B$193&amp;'Detail inputs'!$G$3:$G$193&amp;'Detail inputs'!$H$3:$H$193,0),MATCH(I$4,'Detail inputs'!$B$3:$K$3,0)),0)</f>
        <v>0.49</v>
      </c>
      <c r="J30" s="226">
        <f t="shared" si="13"/>
        <v>0.32339999999999997</v>
      </c>
      <c r="K30" s="247">
        <f>IFERROR(J30/J34,"")</f>
        <v>8.5261875761266735E-3</v>
      </c>
      <c r="L30" s="247"/>
      <c r="M30" s="247">
        <f t="shared" si="10"/>
        <v>1.2448979591836742</v>
      </c>
      <c r="N30" s="244"/>
      <c r="O30" s="226"/>
      <c r="P30" s="226">
        <f t="array" ref="P30">IFERROR(INDEX('Detail inputs'!$B$3:$K$193,MATCH($B30&amp;$G30&amp;P$5,'Detail inputs'!$B$3:$B$193&amp;'Detail inputs'!$G$3:$G$193&amp;'Detail inputs'!$H$3:$H$193,0),MATCH(P$4,'Detail inputs'!$B$3:$K$3,0)),0)</f>
        <v>1.1000000000000001</v>
      </c>
      <c r="Q30" s="226">
        <f t="shared" si="14"/>
        <v>0.72600000000000009</v>
      </c>
      <c r="R30" s="247">
        <f>IFERROR(Q30/Q34,"")</f>
        <v>1.2606005042402018E-2</v>
      </c>
    </row>
    <row r="31" spans="2:22" outlineLevel="1" x14ac:dyDescent="0.35">
      <c r="B31" s="3" t="str">
        <f t="shared" si="9"/>
        <v>Ausgrid</v>
      </c>
      <c r="C31" s="3" t="str">
        <f t="shared" si="7"/>
        <v>Residential</v>
      </c>
      <c r="D31" s="3" t="str">
        <f t="shared" si="8"/>
        <v>with CL</v>
      </c>
      <c r="E31" s="3" t="s">
        <v>16</v>
      </c>
      <c r="F31" s="228">
        <f t="array" ref="F31">IFERROR(INDEX(Usage!$B$5:$P$18,MATCH($B31,Usage!$B$5:$B$18,0),MATCH($C31&amp;$D31&amp;$E31,Usage!$B$5:$S$5&amp;Usage!$B$6:$S$6&amp;Usage!$B$7:$S$7,0)),0)</f>
        <v>660</v>
      </c>
      <c r="G31" s="3" t="s">
        <v>68</v>
      </c>
      <c r="H31" s="226"/>
      <c r="I31" s="226">
        <f t="array" ref="I31">IFERROR(INDEX('Detail inputs'!$B$3:$K$193,MATCH($B31&amp;$G31&amp;I$5,'Detail inputs'!$B$3:$B$193&amp;'Detail inputs'!$G$3:$G$193&amp;'Detail inputs'!$H$3:$H$193,0),MATCH(I$4,'Detail inputs'!$B$3:$K$3,0)),0)</f>
        <v>0</v>
      </c>
      <c r="J31" s="226">
        <f t="shared" si="13"/>
        <v>0</v>
      </c>
      <c r="K31" s="247">
        <f>IFERROR(J31/J34,"")</f>
        <v>0</v>
      </c>
      <c r="L31" s="247"/>
      <c r="M31" s="247" t="str">
        <f t="shared" si="10"/>
        <v/>
      </c>
      <c r="N31" s="244"/>
      <c r="O31" s="226"/>
      <c r="P31" s="226">
        <f t="array" ref="P31">IFERROR(INDEX('Detail inputs'!$B$3:$K$193,MATCH($B31&amp;$G31&amp;P$5,'Detail inputs'!$B$3:$B$193&amp;'Detail inputs'!$G$3:$G$193&amp;'Detail inputs'!$H$3:$H$193,0),MATCH(P$4,'Detail inputs'!$B$3:$K$3,0)),0)</f>
        <v>0</v>
      </c>
      <c r="Q31" s="226">
        <f t="shared" si="14"/>
        <v>0</v>
      </c>
      <c r="R31" s="247">
        <f>IFERROR(Q31/Q34,"")</f>
        <v>0</v>
      </c>
    </row>
    <row r="32" spans="2:22" outlineLevel="1" x14ac:dyDescent="0.35">
      <c r="B32" s="3" t="str">
        <f t="shared" si="9"/>
        <v>Ausgrid</v>
      </c>
      <c r="C32" s="3" t="str">
        <f t="shared" si="7"/>
        <v>Residential</v>
      </c>
      <c r="D32" s="3" t="str">
        <f t="shared" si="8"/>
        <v>with CL</v>
      </c>
      <c r="E32" s="3" t="s">
        <v>16</v>
      </c>
      <c r="F32" s="228">
        <f t="array" ref="F32">IFERROR(INDEX(Usage!$B$5:$P$18,MATCH($B32,Usage!$B$5:$B$18,0),MATCH($C32&amp;$D32&amp;$E32,Usage!$B$5:$S$5&amp;Usage!$B$6:$S$6&amp;Usage!$B$7:$S$7,0)),0)</f>
        <v>660</v>
      </c>
      <c r="G32" s="3" t="s">
        <v>145</v>
      </c>
      <c r="H32" s="226"/>
      <c r="I32" s="226">
        <f t="array" ref="I32">IFERROR(INDEX('Detail inputs'!$B$3:$K$193,MATCH($B32&amp;$G32&amp;I$5,'Detail inputs'!$B$3:$B$193&amp;'Detail inputs'!$G$3:$G$193&amp;'Detail inputs'!$H$3:$H$193,0),MATCH(I$4,'Detail inputs'!$B$3:$K$3,0)),0)</f>
        <v>1.94</v>
      </c>
      <c r="J32" s="226">
        <f t="shared" si="13"/>
        <v>1.2803999999999998</v>
      </c>
      <c r="K32" s="247">
        <f>IFERROR(J32/J34,"")</f>
        <v>3.3756742648338257E-2</v>
      </c>
      <c r="L32" s="247"/>
      <c r="M32" s="247">
        <f t="shared" si="10"/>
        <v>0.36597938144329922</v>
      </c>
      <c r="N32" s="244"/>
      <c r="O32" s="226"/>
      <c r="P32" s="226">
        <f t="array" ref="P32">IFERROR(INDEX('Detail inputs'!$B$3:$K$193,MATCH($B32&amp;$G32&amp;P$5,'Detail inputs'!$B$3:$B$193&amp;'Detail inputs'!$G$3:$G$193&amp;'Detail inputs'!$H$3:$H$193,0),MATCH(P$4,'Detail inputs'!$B$3:$K$3,0)),0)</f>
        <v>2.65</v>
      </c>
      <c r="Q32" s="226">
        <f t="shared" si="14"/>
        <v>1.7490000000000001</v>
      </c>
      <c r="R32" s="247">
        <f>IFERROR(Q32/Q34,"")</f>
        <v>3.0369012147604856E-2</v>
      </c>
    </row>
    <row r="33" spans="2:22" outlineLevel="1" x14ac:dyDescent="0.35">
      <c r="B33" s="3" t="str">
        <f t="shared" si="9"/>
        <v>Ausgrid</v>
      </c>
      <c r="C33" s="3" t="str">
        <f t="shared" si="7"/>
        <v>Residential</v>
      </c>
      <c r="D33" s="3" t="str">
        <f t="shared" si="8"/>
        <v>with CL</v>
      </c>
      <c r="E33" s="3" t="s">
        <v>16</v>
      </c>
      <c r="F33" s="228">
        <f t="array" ref="F33">IFERROR(INDEX(Usage!$B$5:$P$18,MATCH($B33,Usage!$B$5:$B$18,0),MATCH($C33&amp;$D33&amp;$E33,Usage!$B$5:$S$5&amp;Usage!$B$6:$S$6&amp;Usage!$B$7:$S$7,0)),0)</f>
        <v>660</v>
      </c>
      <c r="G33" s="3" t="s">
        <v>69</v>
      </c>
      <c r="H33" s="226"/>
      <c r="I33" s="224">
        <f t="array" ref="I33">ROUND(IFERROR(INDEX('Detail inputs'!$B$3:$K$193,MATCH($B33&amp;$C33&amp;$E33&amp;$G33&amp;I$5,'Detail inputs'!$B$3:$B$193&amp;'Detail inputs'!$D$3:$D$193&amp;'Detail inputs'!$F$3:$F$193&amp;'Detail inputs'!$G$3:$G$193&amp;'Detail inputs'!$H$3:$H$193,0),MATCH(I$4,'Detail inputs'!$B$3:$K$3,0)),0)*SUM(I28:I32),2)</f>
        <v>3</v>
      </c>
      <c r="J33" s="226">
        <f t="shared" si="13"/>
        <v>1.98</v>
      </c>
      <c r="K33" s="247">
        <f>IFERROR(J33/J34,"")</f>
        <v>5.2201148425265353E-2</v>
      </c>
      <c r="L33" s="247"/>
      <c r="M33" s="247">
        <f t="shared" si="10"/>
        <v>0.54333333333333322</v>
      </c>
      <c r="N33" s="244"/>
      <c r="O33" s="226"/>
      <c r="P33" s="224">
        <f t="array" ref="P33">ROUND(IFERROR(INDEX('Detail inputs'!$B$3:$K$193,MATCH($B33&amp;$C33&amp;$E33&amp;$G33&amp;P$5,'Detail inputs'!$B$3:$B$193&amp;'Detail inputs'!$D$3:$D$193&amp;'Detail inputs'!$F$3:$F$193&amp;'Detail inputs'!$G$3:$G$193&amp;'Detail inputs'!$H$3:$H$193,0),MATCH(P$4,'Detail inputs'!$B$3:$K$3,0)),0)*SUM(P28:P32),2)</f>
        <v>4.63</v>
      </c>
      <c r="Q33" s="226">
        <f t="shared" si="14"/>
        <v>3.0557999999999996</v>
      </c>
      <c r="R33" s="247">
        <f>IFERROR(Q33/Q34,"")</f>
        <v>5.305982122392848E-2</v>
      </c>
    </row>
    <row r="34" spans="2:22" outlineLevel="1" x14ac:dyDescent="0.35">
      <c r="B34" s="3" t="str">
        <f t="shared" si="9"/>
        <v>Ausgrid</v>
      </c>
      <c r="C34" s="3" t="str">
        <f t="shared" si="7"/>
        <v>Residential</v>
      </c>
      <c r="D34" s="3" t="str">
        <f t="shared" si="8"/>
        <v>with CL</v>
      </c>
      <c r="E34" s="3" t="s">
        <v>16</v>
      </c>
      <c r="F34" s="228">
        <f t="array" ref="F34">IFERROR(INDEX(Usage!$B$5:$P$18,MATCH($B34,Usage!$B$5:$B$18,0),MATCH($C34&amp;$D34&amp;$E34,Usage!$B$5:$S$5&amp;Usage!$B$6:$S$6&amp;Usage!$B$7:$S$7,0)),0)</f>
        <v>660</v>
      </c>
      <c r="G34" s="3" t="s">
        <v>53</v>
      </c>
      <c r="H34" s="226"/>
      <c r="I34" s="226">
        <f t="array" ref="I34">INDEX('Key inputs'!$B$16:$N$40,MATCH($B34&amp;$C34&amp;$E34,'Key inputs'!$B$16:$B$40&amp;'Key inputs'!$C$16:$C$40&amp;'Key inputs'!$D$16:$D$40,0),MATCH($A$2&amp;I$4,'Key inputs'!$B$17:$N$17&amp;'Key inputs'!$B$18:$N$18,0))</f>
        <v>57.47</v>
      </c>
      <c r="J34" s="224">
        <f t="shared" si="13"/>
        <v>37.930199999999999</v>
      </c>
      <c r="K34" s="247"/>
      <c r="L34" s="259"/>
      <c r="M34" s="247">
        <f t="shared" si="10"/>
        <v>0.51835740386288509</v>
      </c>
      <c r="N34" s="253"/>
      <c r="O34" s="226"/>
      <c r="P34" s="226">
        <f t="array" ref="P34">INDEX('Key inputs'!$B$16:$N$40,MATCH($B34&amp;$C34&amp;$E34,'Key inputs'!$B$16:$B$40&amp;'Key inputs'!$C$16:$C$40&amp;'Key inputs'!$D$16:$D$40,0),MATCH($A$2&amp;P$4,'Key inputs'!$B$17:$N$17&amp;'Key inputs'!$B$18:$N$18,0))</f>
        <v>87.26</v>
      </c>
      <c r="Q34" s="224">
        <f t="shared" si="14"/>
        <v>57.591600000000007</v>
      </c>
      <c r="R34" s="247"/>
      <c r="T34" s="97"/>
      <c r="U34" s="97"/>
      <c r="V34" s="97"/>
    </row>
    <row r="35" spans="2:22" s="60" customFormat="1" x14ac:dyDescent="0.35">
      <c r="B35" s="3" t="str">
        <f t="shared" si="9"/>
        <v>Ausgrid</v>
      </c>
      <c r="C35" s="3" t="str">
        <f t="shared" si="7"/>
        <v>Residential</v>
      </c>
      <c r="D35" s="3" t="str">
        <f t="shared" si="8"/>
        <v>with CL</v>
      </c>
      <c r="E35" s="60" t="s">
        <v>53</v>
      </c>
      <c r="F35" s="228">
        <f t="array" ref="F35">IFERROR(INDEX(Usage!$B$5:$P$18,MATCH($B35,Usage!$B$5:$B$18,0),MATCH($C35&amp;$D35&amp;$E35,Usage!$B$5:$S$5&amp;Usage!$B$6:$S$6&amp;Usage!$B$7:$S$7,0)),0)</f>
        <v>6800</v>
      </c>
      <c r="G35" s="60" t="s">
        <v>53</v>
      </c>
      <c r="H35" s="226"/>
      <c r="I35" s="226">
        <f>I20+I27+I34</f>
        <v>205.85</v>
      </c>
      <c r="J35" s="226">
        <f>J20+J27+J34</f>
        <v>541.03179999999998</v>
      </c>
      <c r="K35" s="247"/>
      <c r="L35" s="259"/>
      <c r="M35" s="247">
        <f t="shared" si="10"/>
        <v>0.4103540679124591</v>
      </c>
      <c r="N35" s="253"/>
      <c r="O35" s="226"/>
      <c r="P35" s="226">
        <f>P20+P27+P34</f>
        <v>298.11</v>
      </c>
      <c r="Q35" s="226">
        <f>Q20+Q27+Q34</f>
        <v>763.04639999999995</v>
      </c>
      <c r="R35" s="247"/>
      <c r="S35" s="97"/>
      <c r="T35" s="98"/>
    </row>
    <row r="36" spans="2:22" outlineLevel="1" x14ac:dyDescent="0.35">
      <c r="B36" s="3" t="str">
        <f t="shared" si="9"/>
        <v>Ausgrid</v>
      </c>
      <c r="C36" s="3" t="str">
        <f t="shared" si="7"/>
        <v>Residential</v>
      </c>
      <c r="D36" s="3" t="str">
        <f t="shared" si="8"/>
        <v>with CL</v>
      </c>
      <c r="F36" s="228"/>
      <c r="G36" s="60" t="s">
        <v>35</v>
      </c>
      <c r="H36" s="226"/>
      <c r="I36" s="226"/>
      <c r="J36" s="226">
        <f>J35*GST</f>
        <v>54.103180000000002</v>
      </c>
      <c r="K36" s="247"/>
      <c r="L36" s="259"/>
      <c r="M36" s="247"/>
      <c r="N36" s="253"/>
      <c r="O36" s="226"/>
      <c r="P36" s="226"/>
      <c r="Q36" s="226">
        <f>Q35*GST</f>
        <v>76.304639999999992</v>
      </c>
      <c r="R36" s="248"/>
    </row>
    <row r="37" spans="2:22" x14ac:dyDescent="0.35">
      <c r="B37" s="3" t="str">
        <f t="shared" si="9"/>
        <v>Ausgrid</v>
      </c>
      <c r="C37" s="3" t="str">
        <f t="shared" si="7"/>
        <v>Residential</v>
      </c>
      <c r="D37" s="3" t="str">
        <f t="shared" si="8"/>
        <v>with CL</v>
      </c>
      <c r="F37" s="228"/>
      <c r="G37" s="5" t="s">
        <v>77</v>
      </c>
      <c r="H37" s="227"/>
      <c r="I37" s="227"/>
      <c r="J37" s="227">
        <f>SUM(J35:J36)</f>
        <v>595.13497999999993</v>
      </c>
      <c r="K37" s="248"/>
      <c r="L37" s="260"/>
      <c r="M37" s="248">
        <f>IF(OR(J37=0,Q37=""),"",Q37/J37-1)</f>
        <v>0.4103540679124591</v>
      </c>
      <c r="N37" s="254"/>
      <c r="O37" s="227"/>
      <c r="P37" s="227"/>
      <c r="Q37" s="227">
        <f>SUM(Q35:Q36)</f>
        <v>839.3510399999999</v>
      </c>
      <c r="R37" s="248"/>
    </row>
    <row r="38" spans="2:22" x14ac:dyDescent="0.35">
      <c r="F38" s="228"/>
      <c r="H38" s="224"/>
      <c r="I38" s="224"/>
      <c r="J38" s="224"/>
      <c r="K38" s="246"/>
      <c r="L38" s="261"/>
      <c r="M38" s="246"/>
      <c r="N38" s="252"/>
      <c r="O38" s="224"/>
      <c r="P38" s="224"/>
      <c r="Q38" s="224"/>
      <c r="R38" s="246"/>
    </row>
    <row r="39" spans="2:22" x14ac:dyDescent="0.35">
      <c r="B39" s="5" t="s">
        <v>2</v>
      </c>
      <c r="C39" s="5" t="s">
        <v>14</v>
      </c>
      <c r="D39" s="5" t="s">
        <v>136</v>
      </c>
      <c r="F39" s="228"/>
      <c r="H39" s="224"/>
      <c r="I39" s="224"/>
      <c r="J39" s="224"/>
      <c r="K39" s="246"/>
      <c r="L39" s="261"/>
      <c r="M39" s="246"/>
      <c r="N39" s="252"/>
      <c r="O39" s="224"/>
      <c r="P39" s="224"/>
      <c r="Q39" s="224"/>
      <c r="R39" s="246"/>
    </row>
    <row r="40" spans="2:22" outlineLevel="1" x14ac:dyDescent="0.35">
      <c r="B40" s="3" t="str">
        <f>B39</f>
        <v>Ausgrid</v>
      </c>
      <c r="C40" s="3" t="str">
        <f t="shared" ref="C40:C48" si="15">C39</f>
        <v>Small business</v>
      </c>
      <c r="D40" s="3" t="str">
        <f t="shared" ref="D40:D48" si="16">D39</f>
        <v>without CL</v>
      </c>
      <c r="E40" s="3" t="s">
        <v>21</v>
      </c>
      <c r="F40" s="228">
        <f t="array" ref="F40">IFERROR(INDEX(Usage!$B$5:$P$18,MATCH($B40,Usage!$B$5:$B$18,0),MATCH($C40&amp;$D40&amp;$E40,Usage!$B$5:$S$5&amp;Usage!$B$6:$S$6&amp;Usage!$B$7:$S$7,0)),0)</f>
        <v>10000</v>
      </c>
      <c r="G40" s="3" t="s">
        <v>66</v>
      </c>
      <c r="H40" s="224"/>
      <c r="I40" s="224"/>
      <c r="J40" s="224"/>
      <c r="K40" s="246"/>
      <c r="L40" s="246"/>
      <c r="M40" s="246"/>
      <c r="N40" s="243"/>
      <c r="O40" s="224"/>
      <c r="P40" s="224">
        <f t="array" ref="P40">IFERROR(INDEX('Detail inputs'!$B$3:$K$193,MATCH($B40&amp;$C40&amp;$E40&amp;$G40&amp;P$5,'Detail inputs'!$B$3:$B$193&amp;'Detail inputs'!$D$3:$D$193&amp;'Detail inputs'!$F$3:$F$193&amp;'Detail inputs'!$G$3:$G$193&amp;'Detail inputs'!$H$3:$H$193,0),MATCH(P$4,'Detail inputs'!$B$3:$K$3,0)),0)</f>
        <v>111.99</v>
      </c>
      <c r="Q40" s="224">
        <f>IF(AND(O40="",P40=""),"",O40+P40*$F40/1000)</f>
        <v>1119.9000000000001</v>
      </c>
      <c r="R40" s="246">
        <f>IFERROR(Q40/Q46,"")</f>
        <v>0.91622351304916971</v>
      </c>
    </row>
    <row r="41" spans="2:22" outlineLevel="1" x14ac:dyDescent="0.35">
      <c r="B41" s="3" t="str">
        <f t="shared" ref="B41:B48" si="17">B40</f>
        <v>Ausgrid</v>
      </c>
      <c r="C41" s="3" t="str">
        <f t="shared" si="15"/>
        <v>Small business</v>
      </c>
      <c r="D41" s="3" t="str">
        <f t="shared" si="16"/>
        <v>without CL</v>
      </c>
      <c r="E41" s="3" t="s">
        <v>21</v>
      </c>
      <c r="F41" s="228">
        <f t="array" ref="F41">IFERROR(INDEX(Usage!$B$5:$P$18,MATCH($B41,Usage!$B$5:$B$18,0),MATCH($C41&amp;$D41&amp;$E41,Usage!$B$5:$S$5&amp;Usage!$B$6:$S$6&amp;Usage!$B$7:$S$7,0)),0)</f>
        <v>10000</v>
      </c>
      <c r="G41" s="3" t="s">
        <v>67</v>
      </c>
      <c r="H41" s="224"/>
      <c r="I41" s="224"/>
      <c r="J41" s="224"/>
      <c r="K41" s="246"/>
      <c r="L41" s="246"/>
      <c r="M41" s="246"/>
      <c r="N41" s="243"/>
      <c r="O41" s="224"/>
      <c r="P41" s="224">
        <f t="array" ref="P41">IFERROR(INDEX('Detail inputs'!$B$3:$K$193,MATCH($B41&amp;$G41&amp;P$5,'Detail inputs'!$B$3:$B$193&amp;'Detail inputs'!$G$3:$G$193&amp;'Detail inputs'!$H$3:$H$193,0),MATCH(P$4,'Detail inputs'!$B$3:$K$3,0)),0)</f>
        <v>0.34</v>
      </c>
      <c r="Q41" s="224">
        <f t="shared" ref="Q41:Q46" si="18">IF(AND(O41="",P41=""),"",O41+P41*$F41/1000)</f>
        <v>3.4000000000000004</v>
      </c>
      <c r="R41" s="246">
        <f>IFERROR(Q41/Q46,"")</f>
        <v>2.781641168289291E-3</v>
      </c>
    </row>
    <row r="42" spans="2:22" outlineLevel="1" x14ac:dyDescent="0.35">
      <c r="B42" s="3" t="str">
        <f t="shared" si="17"/>
        <v>Ausgrid</v>
      </c>
      <c r="C42" s="3" t="str">
        <f t="shared" si="15"/>
        <v>Small business</v>
      </c>
      <c r="D42" s="3" t="str">
        <f t="shared" si="16"/>
        <v>without CL</v>
      </c>
      <c r="E42" s="3" t="s">
        <v>21</v>
      </c>
      <c r="F42" s="228">
        <f t="array" ref="F42">IFERROR(INDEX(Usage!$B$5:$P$18,MATCH($B42,Usage!$B$5:$B$18,0),MATCH($C42&amp;$D42&amp;$E42,Usage!$B$5:$S$5&amp;Usage!$B$6:$S$6&amp;Usage!$B$7:$S$7,0)),0)</f>
        <v>10000</v>
      </c>
      <c r="G42" s="3" t="s">
        <v>75</v>
      </c>
      <c r="H42" s="224"/>
      <c r="I42" s="224"/>
      <c r="J42" s="224"/>
      <c r="K42" s="246"/>
      <c r="L42" s="246"/>
      <c r="M42" s="246"/>
      <c r="N42" s="243"/>
      <c r="O42" s="224"/>
      <c r="P42" s="224">
        <f t="array" ref="P42">IFERROR(INDEX('Detail inputs'!$B$3:$K$193,MATCH($B42&amp;$G42&amp;P$5,'Detail inputs'!$B$3:$B$193&amp;'Detail inputs'!$G$3:$G$193&amp;'Detail inputs'!$H$3:$H$193,0),MATCH(P$4,'Detail inputs'!$B$3:$K$3,0)),0)</f>
        <v>1.1000000000000001</v>
      </c>
      <c r="Q42" s="224">
        <f t="shared" si="18"/>
        <v>11</v>
      </c>
      <c r="R42" s="246">
        <f>IFERROR(Q42/Q46,"")</f>
        <v>8.9994273091712346E-3</v>
      </c>
    </row>
    <row r="43" spans="2:22" outlineLevel="1" x14ac:dyDescent="0.35">
      <c r="B43" s="3" t="str">
        <f t="shared" si="17"/>
        <v>Ausgrid</v>
      </c>
      <c r="C43" s="3" t="str">
        <f t="shared" si="15"/>
        <v>Small business</v>
      </c>
      <c r="D43" s="3" t="str">
        <f t="shared" si="16"/>
        <v>without CL</v>
      </c>
      <c r="E43" s="3" t="s">
        <v>21</v>
      </c>
      <c r="F43" s="228">
        <f t="array" ref="F43">IFERROR(INDEX(Usage!$B$5:$P$18,MATCH($B43,Usage!$B$5:$B$18,0),MATCH($C43&amp;$D43&amp;$E43,Usage!$B$5:$S$5&amp;Usage!$B$6:$S$6&amp;Usage!$B$7:$S$7,0)),0)</f>
        <v>10000</v>
      </c>
      <c r="G43" s="3" t="s">
        <v>68</v>
      </c>
      <c r="H43" s="224"/>
      <c r="I43" s="224"/>
      <c r="J43" s="224"/>
      <c r="K43" s="246"/>
      <c r="L43" s="246"/>
      <c r="M43" s="246"/>
      <c r="N43" s="243"/>
      <c r="O43" s="224"/>
      <c r="P43" s="224">
        <f t="array" ref="P43">IFERROR(INDEX('Detail inputs'!$B$3:$K$193,MATCH($B43&amp;$G43&amp;P$5,'Detail inputs'!$B$3:$B$193&amp;'Detail inputs'!$G$3:$G$193&amp;'Detail inputs'!$H$3:$H$193,0),MATCH(P$4,'Detail inputs'!$B$3:$K$3,0)),0)</f>
        <v>0</v>
      </c>
      <c r="Q43" s="224">
        <f t="shared" si="18"/>
        <v>0</v>
      </c>
      <c r="R43" s="246">
        <f>IFERROR(Q43/Q46,"")</f>
        <v>0</v>
      </c>
    </row>
    <row r="44" spans="2:22" outlineLevel="1" x14ac:dyDescent="0.35">
      <c r="B44" s="3" t="str">
        <f t="shared" si="17"/>
        <v>Ausgrid</v>
      </c>
      <c r="C44" s="3" t="str">
        <f t="shared" si="15"/>
        <v>Small business</v>
      </c>
      <c r="D44" s="3" t="str">
        <f t="shared" si="16"/>
        <v>without CL</v>
      </c>
      <c r="E44" s="3" t="s">
        <v>21</v>
      </c>
      <c r="F44" s="228">
        <f t="array" ref="F44">IFERROR(INDEX(Usage!$B$5:$P$18,MATCH($B44,Usage!$B$5:$B$18,0),MATCH($C44&amp;$D44&amp;$E44,Usage!$B$5:$S$5&amp;Usage!$B$6:$S$6&amp;Usage!$B$7:$S$7,0)),0)</f>
        <v>10000</v>
      </c>
      <c r="G44" s="3" t="s">
        <v>145</v>
      </c>
      <c r="H44" s="224"/>
      <c r="I44" s="224"/>
      <c r="J44" s="224"/>
      <c r="K44" s="246"/>
      <c r="L44" s="246"/>
      <c r="M44" s="246"/>
      <c r="N44" s="243"/>
      <c r="O44" s="224"/>
      <c r="P44" s="224">
        <f t="array" ref="P44">IFERROR(INDEX('Detail inputs'!$B$3:$K$193,MATCH($B44&amp;$G44&amp;P$5,'Detail inputs'!$B$3:$B$193&amp;'Detail inputs'!$G$3:$G$193&amp;'Detail inputs'!$H$3:$H$193,0),MATCH(P$4,'Detail inputs'!$B$3:$K$3,0)),0)</f>
        <v>2.65</v>
      </c>
      <c r="Q44" s="224">
        <f t="shared" si="18"/>
        <v>26.5</v>
      </c>
      <c r="R44" s="246">
        <f>IFERROR(Q44/Q46,"")</f>
        <v>2.1680438517548885E-2</v>
      </c>
    </row>
    <row r="45" spans="2:22" outlineLevel="1" x14ac:dyDescent="0.35">
      <c r="B45" s="3" t="str">
        <f t="shared" si="17"/>
        <v>Ausgrid</v>
      </c>
      <c r="C45" s="3" t="str">
        <f t="shared" si="15"/>
        <v>Small business</v>
      </c>
      <c r="D45" s="3" t="str">
        <f t="shared" si="16"/>
        <v>without CL</v>
      </c>
      <c r="E45" s="3" t="s">
        <v>21</v>
      </c>
      <c r="F45" s="228">
        <f t="array" ref="F45">IFERROR(INDEX(Usage!$B$5:$P$18,MATCH($B45,Usage!$B$5:$B$18,0),MATCH($C45&amp;$D45&amp;$E45,Usage!$B$5:$S$5&amp;Usage!$B$6:$S$6&amp;Usage!$B$7:$S$7,0)),0)</f>
        <v>10000</v>
      </c>
      <c r="G45" s="3" t="s">
        <v>69</v>
      </c>
      <c r="H45" s="224"/>
      <c r="I45" s="224"/>
      <c r="J45" s="224"/>
      <c r="K45" s="246"/>
      <c r="L45" s="246"/>
      <c r="M45" s="246"/>
      <c r="N45" s="243"/>
      <c r="O45" s="224"/>
      <c r="P45" s="224">
        <f t="array" ref="P45">ROUND(IFERROR(INDEX('Detail inputs'!$B$3:$K$193,MATCH($B45&amp;$C45&amp;$E45&amp;$G45&amp;P$5,'Detail inputs'!$B$3:$B$193&amp;'Detail inputs'!$D$3:$D$193&amp;'Detail inputs'!$F$3:$F$193&amp;'Detail inputs'!$G$3:$G$193&amp;'Detail inputs'!$H$3:$H$193,0),MATCH(P$4,'Detail inputs'!$B$3:$K$3,0)),0)*SUM(P40:P44),2)</f>
        <v>6.15</v>
      </c>
      <c r="Q45" s="224">
        <f t="shared" si="18"/>
        <v>61.5</v>
      </c>
      <c r="R45" s="246">
        <f>IFERROR(Q45/Q46,"")</f>
        <v>5.0314979955820995E-2</v>
      </c>
    </row>
    <row r="46" spans="2:22" s="60" customFormat="1" x14ac:dyDescent="0.35">
      <c r="B46" s="3" t="str">
        <f t="shared" si="17"/>
        <v>Ausgrid</v>
      </c>
      <c r="C46" s="3" t="str">
        <f t="shared" si="15"/>
        <v>Small business</v>
      </c>
      <c r="D46" s="3" t="str">
        <f t="shared" si="16"/>
        <v>without CL</v>
      </c>
      <c r="E46" s="3" t="s">
        <v>21</v>
      </c>
      <c r="F46" s="228">
        <f t="array" ref="F46">IFERROR(INDEX(Usage!$B$5:$P$18,MATCH($B46,Usage!$B$5:$B$18,0),MATCH($C46&amp;$D46&amp;$E46,Usage!$B$5:$S$5&amp;Usage!$B$6:$S$6&amp;Usage!$B$7:$S$7,0)),0)</f>
        <v>10000</v>
      </c>
      <c r="G46" s="60" t="s">
        <v>53</v>
      </c>
      <c r="H46" s="226"/>
      <c r="I46" s="226"/>
      <c r="J46" s="224"/>
      <c r="K46" s="247"/>
      <c r="L46" s="259"/>
      <c r="M46" s="247"/>
      <c r="N46" s="253"/>
      <c r="O46" s="226"/>
      <c r="P46" s="226">
        <f t="array" ref="P46">INDEX('Key inputs'!$B$16:$N$40,MATCH($B46&amp;$C46&amp;$E46,'Key inputs'!$B$16:$B$40&amp;'Key inputs'!$C$16:$C$40&amp;'Key inputs'!$D$16:$D$40,0),MATCH($A$2&amp;P$4,'Key inputs'!$B$17:$N$17&amp;'Key inputs'!$B$18:$N$18,0))</f>
        <v>122.23</v>
      </c>
      <c r="Q46" s="224">
        <f t="shared" si="18"/>
        <v>1222.3</v>
      </c>
      <c r="R46" s="247"/>
      <c r="S46" s="97"/>
      <c r="T46" s="97"/>
      <c r="U46" s="97"/>
      <c r="V46" s="97"/>
    </row>
    <row r="47" spans="2:22" outlineLevel="1" x14ac:dyDescent="0.35">
      <c r="B47" s="3" t="str">
        <f t="shared" si="17"/>
        <v>Ausgrid</v>
      </c>
      <c r="C47" s="3" t="str">
        <f t="shared" si="15"/>
        <v>Small business</v>
      </c>
      <c r="D47" s="3" t="str">
        <f t="shared" si="16"/>
        <v>without CL</v>
      </c>
      <c r="F47" s="228"/>
      <c r="G47" s="60" t="s">
        <v>35</v>
      </c>
      <c r="H47" s="226"/>
      <c r="I47" s="226"/>
      <c r="J47" s="226"/>
      <c r="K47" s="247"/>
      <c r="L47" s="259"/>
      <c r="M47" s="247"/>
      <c r="N47" s="253"/>
      <c r="O47" s="226"/>
      <c r="P47" s="226"/>
      <c r="Q47" s="226">
        <f>Q46*GST</f>
        <v>122.23</v>
      </c>
      <c r="R47" s="246"/>
    </row>
    <row r="48" spans="2:22" x14ac:dyDescent="0.35">
      <c r="B48" s="3" t="str">
        <f t="shared" si="17"/>
        <v>Ausgrid</v>
      </c>
      <c r="C48" s="3" t="str">
        <f t="shared" si="15"/>
        <v>Small business</v>
      </c>
      <c r="D48" s="3" t="str">
        <f t="shared" si="16"/>
        <v>without CL</v>
      </c>
      <c r="F48" s="228"/>
      <c r="G48" s="5" t="s">
        <v>77</v>
      </c>
      <c r="H48" s="227"/>
      <c r="I48" s="227"/>
      <c r="J48" s="227"/>
      <c r="K48" s="248"/>
      <c r="L48" s="260"/>
      <c r="M48" s="248"/>
      <c r="N48" s="254"/>
      <c r="O48" s="227"/>
      <c r="P48" s="227"/>
      <c r="Q48" s="227">
        <f>SUM(Q46:Q47)</f>
        <v>1344.53</v>
      </c>
      <c r="R48" s="246"/>
    </row>
    <row r="49" spans="2:22" x14ac:dyDescent="0.35">
      <c r="F49" s="228"/>
      <c r="H49" s="224"/>
      <c r="I49" s="224"/>
      <c r="J49" s="224"/>
      <c r="K49" s="246"/>
      <c r="L49" s="261"/>
      <c r="M49" s="246"/>
      <c r="N49" s="252"/>
      <c r="O49" s="224"/>
      <c r="P49" s="224"/>
      <c r="Q49" s="224"/>
      <c r="R49" s="246"/>
    </row>
    <row r="50" spans="2:22" x14ac:dyDescent="0.35">
      <c r="B50" s="5" t="s">
        <v>4</v>
      </c>
      <c r="C50" s="5" t="s">
        <v>6</v>
      </c>
      <c r="D50" s="5" t="s">
        <v>136</v>
      </c>
      <c r="F50" s="228"/>
      <c r="H50" s="224"/>
      <c r="I50" s="224"/>
      <c r="J50" s="224"/>
      <c r="K50" s="246"/>
      <c r="L50" s="261"/>
      <c r="M50" s="246"/>
      <c r="N50" s="252"/>
      <c r="O50" s="224"/>
      <c r="P50" s="224"/>
      <c r="Q50" s="224"/>
      <c r="R50" s="246"/>
    </row>
    <row r="51" spans="2:22" outlineLevel="1" x14ac:dyDescent="0.35">
      <c r="B51" s="3" t="str">
        <f>B50</f>
        <v>Endeavour</v>
      </c>
      <c r="C51" s="3" t="str">
        <f t="shared" ref="C51:C59" si="19">C50</f>
        <v>Residential</v>
      </c>
      <c r="D51" s="3" t="str">
        <f t="shared" ref="D51:D59" si="20">D50</f>
        <v>without CL</v>
      </c>
      <c r="E51" s="3" t="s">
        <v>21</v>
      </c>
      <c r="F51" s="228">
        <f t="array" ref="F51">IFERROR(INDEX(Usage!$B$5:$P$18,MATCH($B51,Usage!$B$5:$B$18,0),MATCH($C51&amp;$D51&amp;$E51&amp;"Total",Usage!$B$5:$S$5&amp;Usage!$B$6:$S$6&amp;Usage!$B$7:$S$7&amp;Usage!$B$13:$S$13,0)),0)</f>
        <v>4900</v>
      </c>
      <c r="G51" s="3" t="s">
        <v>66</v>
      </c>
      <c r="H51" s="224"/>
      <c r="I51" s="224">
        <f t="array" ref="I51">IFERROR(INDEX('Detail inputs'!$B$3:$K$193,MATCH($B51&amp;$C51&amp;$E51&amp;$G51&amp;I$5,'Detail inputs'!$B$3:$B$193&amp;'Detail inputs'!$D$3:$D$193&amp;'Detail inputs'!$F$3:$F$193&amp;'Detail inputs'!$G$3:$G$193&amp;'Detail inputs'!$H$3:$H$193,0),MATCH(I$4,'Detail inputs'!$B$3:$K$3,0)),0)</f>
        <v>80.69</v>
      </c>
      <c r="J51" s="224">
        <f>IF(AND(H51="",I51=""),"",H51+I51*$F51/1000)</f>
        <v>395.38099999999997</v>
      </c>
      <c r="K51" s="246">
        <f>IFERROR(J51/J57,"")</f>
        <v>0.91412711000339852</v>
      </c>
      <c r="L51" s="246"/>
      <c r="M51" s="246">
        <f t="shared" ref="M51:M57" si="21">IF(OR(J51=0,Q51=""),"",Q51/J51-1)</f>
        <v>0.40314784979551388</v>
      </c>
      <c r="N51" s="243"/>
      <c r="O51" s="224"/>
      <c r="P51" s="224">
        <f t="array" ref="P51">IFERROR(INDEX('Detail inputs'!$B$3:$K$193,MATCH($B51&amp;$C51&amp;$E51&amp;$G51&amp;P$5,'Detail inputs'!$B$3:$B$193&amp;'Detail inputs'!$D$3:$D$193&amp;'Detail inputs'!$F$3:$F$193&amp;'Detail inputs'!$G$3:$G$193&amp;'Detail inputs'!$H$3:$H$193,0),MATCH(P$4,'Detail inputs'!$B$3:$K$3,0)),0)</f>
        <v>113.22</v>
      </c>
      <c r="Q51" s="224">
        <f>IF(AND(O51="",P51=""),"",O51+P51*$F51/1000)</f>
        <v>554.77800000000002</v>
      </c>
      <c r="R51" s="246">
        <f>IFERROR(Q51/Q57,"")</f>
        <v>0.91122736418511063</v>
      </c>
    </row>
    <row r="52" spans="2:22" outlineLevel="1" x14ac:dyDescent="0.35">
      <c r="B52" s="3" t="str">
        <f t="shared" ref="B52:B59" si="22">B51</f>
        <v>Endeavour</v>
      </c>
      <c r="C52" s="3" t="str">
        <f t="shared" si="19"/>
        <v>Residential</v>
      </c>
      <c r="D52" s="3" t="str">
        <f t="shared" si="20"/>
        <v>without CL</v>
      </c>
      <c r="E52" s="3" t="s">
        <v>21</v>
      </c>
      <c r="F52" s="228">
        <f t="array" ref="F52">IFERROR(INDEX(Usage!$B$5:$P$18,MATCH($B52,Usage!$B$5:$B$18,0),MATCH($C52&amp;$D52&amp;$E52&amp;"Total",Usage!$B$5:$S$5&amp;Usage!$B$6:$S$6&amp;Usage!$B$7:$S$7&amp;Usage!$B$13:$S$13,0)),0)</f>
        <v>4900</v>
      </c>
      <c r="G52" s="3" t="s">
        <v>67</v>
      </c>
      <c r="H52" s="224"/>
      <c r="I52" s="224">
        <f t="array" ref="I52">IFERROR(INDEX('Detail inputs'!$B$3:$K$193,MATCH($B52&amp;$G52&amp;I$5,'Detail inputs'!$B$3:$B$193&amp;'Detail inputs'!$G$3:$G$193&amp;'Detail inputs'!$H$3:$H$193,0),MATCH(I$4,'Detail inputs'!$B$3:$K$3,0)),0)</f>
        <v>0.28000000000000003</v>
      </c>
      <c r="J52" s="224">
        <f t="shared" ref="J52:J57" si="23">IF(AND(H52="",I52=""),"",H52+I52*$F52/1000)</f>
        <v>1.3720000000000003</v>
      </c>
      <c r="K52" s="246">
        <f>IFERROR(J52/J57,"")</f>
        <v>3.1720856463124509E-3</v>
      </c>
      <c r="L52" s="246"/>
      <c r="M52" s="246">
        <f t="shared" si="21"/>
        <v>0.21428571428571419</v>
      </c>
      <c r="N52" s="243"/>
      <c r="O52" s="224"/>
      <c r="P52" s="224">
        <f t="array" ref="P52">IFERROR(INDEX('Detail inputs'!$B$3:$K$193,MATCH($B52&amp;$G52&amp;P$5,'Detail inputs'!$B$3:$B$193&amp;'Detail inputs'!$G$3:$G$193&amp;'Detail inputs'!$H$3:$H$193,0),MATCH(P$4,'Detail inputs'!$B$3:$K$3,0)),0)</f>
        <v>0.34</v>
      </c>
      <c r="Q52" s="224">
        <f t="shared" ref="Q52:Q57" si="24">IF(AND(O52="",P52=""),"",O52+P52*$F52/1000)</f>
        <v>1.6660000000000001</v>
      </c>
      <c r="R52" s="246">
        <f>IFERROR(Q52/Q57,"")</f>
        <v>2.7364185110663984E-3</v>
      </c>
    </row>
    <row r="53" spans="2:22" outlineLevel="1" x14ac:dyDescent="0.35">
      <c r="B53" s="3" t="str">
        <f t="shared" si="22"/>
        <v>Endeavour</v>
      </c>
      <c r="C53" s="3" t="str">
        <f t="shared" si="19"/>
        <v>Residential</v>
      </c>
      <c r="D53" s="3" t="str">
        <f t="shared" si="20"/>
        <v>without CL</v>
      </c>
      <c r="E53" s="3" t="s">
        <v>21</v>
      </c>
      <c r="F53" s="228">
        <f t="array" ref="F53">IFERROR(INDEX(Usage!$B$5:$P$18,MATCH($B53,Usage!$B$5:$B$18,0),MATCH($C53&amp;$D53&amp;$E53&amp;"Total",Usage!$B$5:$S$5&amp;Usage!$B$6:$S$6&amp;Usage!$B$7:$S$7&amp;Usage!$B$13:$S$13,0)),0)</f>
        <v>4900</v>
      </c>
      <c r="G53" s="3" t="s">
        <v>75</v>
      </c>
      <c r="H53" s="224"/>
      <c r="I53" s="224">
        <f t="array" ref="I53">IFERROR(INDEX('Detail inputs'!$B$3:$K$193,MATCH($B53&amp;$G53&amp;I$5,'Detail inputs'!$B$3:$B$193&amp;'Detail inputs'!$G$3:$G$193&amp;'Detail inputs'!$H$3:$H$193,0),MATCH(I$4,'Detail inputs'!$B$3:$K$3,0)),0)</f>
        <v>0.49</v>
      </c>
      <c r="J53" s="224">
        <f t="shared" si="23"/>
        <v>2.4009999999999998</v>
      </c>
      <c r="K53" s="246">
        <f>IFERROR(J53/J57,"")</f>
        <v>5.5511498810467876E-3</v>
      </c>
      <c r="L53" s="246"/>
      <c r="M53" s="246">
        <f t="shared" si="21"/>
        <v>1.2448979591836737</v>
      </c>
      <c r="N53" s="243"/>
      <c r="O53" s="224"/>
      <c r="P53" s="224">
        <f t="array" ref="P53">IFERROR(INDEX('Detail inputs'!$B$3:$K$193,MATCH($B53&amp;$G53&amp;P$5,'Detail inputs'!$B$3:$B$193&amp;'Detail inputs'!$G$3:$G$193&amp;'Detail inputs'!$H$3:$H$193,0),MATCH(P$4,'Detail inputs'!$B$3:$K$3,0)),0)</f>
        <v>1.1000000000000001</v>
      </c>
      <c r="Q53" s="224">
        <f t="shared" si="24"/>
        <v>5.39</v>
      </c>
      <c r="R53" s="246">
        <f>IFERROR(Q53/Q57,"")</f>
        <v>8.8531187122736412E-3</v>
      </c>
    </row>
    <row r="54" spans="2:22" outlineLevel="1" x14ac:dyDescent="0.35">
      <c r="B54" s="3" t="str">
        <f t="shared" si="22"/>
        <v>Endeavour</v>
      </c>
      <c r="C54" s="3" t="str">
        <f t="shared" si="19"/>
        <v>Residential</v>
      </c>
      <c r="D54" s="3" t="str">
        <f t="shared" si="20"/>
        <v>without CL</v>
      </c>
      <c r="E54" s="3" t="s">
        <v>21</v>
      </c>
      <c r="F54" s="228">
        <f t="array" ref="F54">IFERROR(INDEX(Usage!$B$5:$P$18,MATCH($B54,Usage!$B$5:$B$18,0),MATCH($C54&amp;$D54&amp;$E54&amp;"Total",Usage!$B$5:$S$5&amp;Usage!$B$6:$S$6&amp;Usage!$B$7:$S$7&amp;Usage!$B$13:$S$13,0)),0)</f>
        <v>4900</v>
      </c>
      <c r="G54" s="3" t="s">
        <v>68</v>
      </c>
      <c r="H54" s="224"/>
      <c r="I54" s="224">
        <f t="array" ref="I54">IFERROR(INDEX('Detail inputs'!$B$3:$K$193,MATCH($B54&amp;$G54&amp;I$5,'Detail inputs'!$B$3:$B$193&amp;'Detail inputs'!$G$3:$G$193&amp;'Detail inputs'!$H$3:$H$193,0),MATCH(I$4,'Detail inputs'!$B$3:$K$3,0)),0)</f>
        <v>0</v>
      </c>
      <c r="J54" s="224">
        <f t="shared" si="23"/>
        <v>0</v>
      </c>
      <c r="K54" s="246">
        <f>IFERROR(J54/J57,"")</f>
        <v>0</v>
      </c>
      <c r="L54" s="246"/>
      <c r="M54" s="246" t="str">
        <f t="shared" si="21"/>
        <v/>
      </c>
      <c r="N54" s="243"/>
      <c r="O54" s="224"/>
      <c r="P54" s="224">
        <f t="array" ref="P54">IFERROR(INDEX('Detail inputs'!$B$3:$K$193,MATCH($B54&amp;$G54&amp;P$5,'Detail inputs'!$B$3:$B$193&amp;'Detail inputs'!$G$3:$G$193&amp;'Detail inputs'!$H$3:$H$193,0),MATCH(P$4,'Detail inputs'!$B$3:$K$3,0)),0)</f>
        <v>0</v>
      </c>
      <c r="Q54" s="224">
        <f t="shared" si="24"/>
        <v>0</v>
      </c>
      <c r="R54" s="246">
        <f>IFERROR(Q54/Q57,"")</f>
        <v>0</v>
      </c>
    </row>
    <row r="55" spans="2:22" outlineLevel="1" x14ac:dyDescent="0.35">
      <c r="B55" s="3" t="str">
        <f t="shared" si="22"/>
        <v>Endeavour</v>
      </c>
      <c r="C55" s="3" t="str">
        <f t="shared" si="19"/>
        <v>Residential</v>
      </c>
      <c r="D55" s="3" t="str">
        <f t="shared" si="20"/>
        <v>without CL</v>
      </c>
      <c r="E55" s="3" t="s">
        <v>21</v>
      </c>
      <c r="F55" s="228">
        <f t="array" ref="F55">IFERROR(INDEX(Usage!$B$5:$P$18,MATCH($B55,Usage!$B$5:$B$18,0),MATCH($C55&amp;$D55&amp;$E55&amp;"Total",Usage!$B$5:$S$5&amp;Usage!$B$6:$S$6&amp;Usage!$B$7:$S$7&amp;Usage!$B$13:$S$13,0)),0)</f>
        <v>4900</v>
      </c>
      <c r="G55" s="3" t="s">
        <v>145</v>
      </c>
      <c r="H55" s="224"/>
      <c r="I55" s="224">
        <f t="array" ref="I55">IFERROR(INDEX('Detail inputs'!$B$3:$K$193,MATCH($B55&amp;$G55&amp;I$5,'Detail inputs'!$B$3:$B$193&amp;'Detail inputs'!$G$3:$G$193&amp;'Detail inputs'!$H$3:$H$193,0),MATCH(I$4,'Detail inputs'!$B$3:$K$3,0)),0)</f>
        <v>1.81</v>
      </c>
      <c r="J55" s="224">
        <f t="shared" si="23"/>
        <v>8.8689999999999998</v>
      </c>
      <c r="K55" s="246">
        <f>IFERROR(J55/J57,"")</f>
        <v>2.050526792794834E-2</v>
      </c>
      <c r="L55" s="246"/>
      <c r="M55" s="246">
        <f t="shared" si="21"/>
        <v>0.41436464088397806</v>
      </c>
      <c r="N55" s="243"/>
      <c r="O55" s="224"/>
      <c r="P55" s="224">
        <f t="array" ref="P55">IFERROR(INDEX('Detail inputs'!$B$3:$K$193,MATCH($B55&amp;$G55&amp;P$5,'Detail inputs'!$B$3:$B$193&amp;'Detail inputs'!$G$3:$G$193&amp;'Detail inputs'!$H$3:$H$193,0),MATCH(P$4,'Detail inputs'!$B$3:$K$3,0)),0)</f>
        <v>2.56</v>
      </c>
      <c r="Q55" s="224">
        <f t="shared" si="24"/>
        <v>12.544</v>
      </c>
      <c r="R55" s="246">
        <f>IFERROR(Q55/Q57,"")</f>
        <v>2.0603621730382292E-2</v>
      </c>
    </row>
    <row r="56" spans="2:22" outlineLevel="1" x14ac:dyDescent="0.35">
      <c r="B56" s="3" t="str">
        <f t="shared" si="22"/>
        <v>Endeavour</v>
      </c>
      <c r="C56" s="3" t="str">
        <f t="shared" si="19"/>
        <v>Residential</v>
      </c>
      <c r="D56" s="3" t="str">
        <f t="shared" si="20"/>
        <v>without CL</v>
      </c>
      <c r="E56" s="3" t="s">
        <v>21</v>
      </c>
      <c r="F56" s="228">
        <f t="array" ref="F56">IFERROR(INDEX(Usage!$B$5:$P$18,MATCH($B56,Usage!$B$5:$B$18,0),MATCH($C56&amp;$D56&amp;$E56&amp;"Total",Usage!$B$5:$S$5&amp;Usage!$B$6:$S$6&amp;Usage!$B$7:$S$7&amp;Usage!$B$13:$S$13,0)),0)</f>
        <v>4900</v>
      </c>
      <c r="G56" s="3" t="s">
        <v>69</v>
      </c>
      <c r="H56" s="224"/>
      <c r="I56" s="224">
        <f t="array" ref="I56">ROUND(IFERROR(INDEX('Detail inputs'!$B$3:$K$193,MATCH($B56&amp;$C56&amp;$E56&amp;$G56&amp;I$5,'Detail inputs'!$B$3:$B$193&amp;'Detail inputs'!$D$3:$D$193&amp;'Detail inputs'!$F$3:$F$193&amp;'Detail inputs'!$G$3:$G$193&amp;'Detail inputs'!$H$3:$H$193,0),MATCH(I$4,'Detail inputs'!$B$3:$K$3,0)),0)*SUM(I51:I55),2)</f>
        <v>5</v>
      </c>
      <c r="J56" s="224">
        <f t="shared" si="23"/>
        <v>24.5</v>
      </c>
      <c r="K56" s="246">
        <f>IFERROR(J56/J57,"")</f>
        <v>5.6644386541293758E-2</v>
      </c>
      <c r="L56" s="246"/>
      <c r="M56" s="246">
        <f t="shared" si="21"/>
        <v>0.40600000000000014</v>
      </c>
      <c r="N56" s="243"/>
      <c r="O56" s="224"/>
      <c r="P56" s="224">
        <f t="array" ref="P56">ROUND(IFERROR(INDEX('Detail inputs'!$B$3:$K$193,MATCH($B56&amp;$C56&amp;$E56&amp;$G56&amp;P$5,'Detail inputs'!$B$3:$B$193&amp;'Detail inputs'!$D$3:$D$193&amp;'Detail inputs'!$F$3:$F$193&amp;'Detail inputs'!$G$3:$G$193&amp;'Detail inputs'!$H$3:$H$193,0),MATCH(P$4,'Detail inputs'!$B$3:$K$3,0)),0)*SUM(P51:P55),2)</f>
        <v>7.03</v>
      </c>
      <c r="Q56" s="224">
        <f t="shared" si="24"/>
        <v>34.447000000000003</v>
      </c>
      <c r="R56" s="246">
        <f>IFERROR(Q56/Q57,"")</f>
        <v>5.6579476861167002E-2</v>
      </c>
    </row>
    <row r="57" spans="2:22" s="60" customFormat="1" x14ac:dyDescent="0.35">
      <c r="B57" s="3" t="str">
        <f t="shared" si="22"/>
        <v>Endeavour</v>
      </c>
      <c r="C57" s="3" t="str">
        <f t="shared" si="19"/>
        <v>Residential</v>
      </c>
      <c r="D57" s="3" t="str">
        <f t="shared" si="20"/>
        <v>without CL</v>
      </c>
      <c r="E57" s="3" t="s">
        <v>21</v>
      </c>
      <c r="F57" s="228">
        <f t="array" ref="F57">IFERROR(INDEX(Usage!$B$5:$P$18,MATCH($B57,Usage!$B$5:$B$18,0),MATCH($C57&amp;$D57&amp;$E57&amp;"Total",Usage!$B$5:$S$5&amp;Usage!$B$6:$S$6&amp;Usage!$B$7:$S$7&amp;Usage!$B$13:$S$13,0)),0)</f>
        <v>4900</v>
      </c>
      <c r="G57" s="60" t="s">
        <v>53</v>
      </c>
      <c r="H57" s="226"/>
      <c r="I57" s="226">
        <f t="array" ref="I57">INDEX('Key inputs'!$B$16:$N$40,MATCH($B57&amp;$C57&amp;$E57,'Key inputs'!$B$16:$B$40&amp;'Key inputs'!$C$16:$C$40&amp;'Key inputs'!$D$16:$D$40,0),MATCH($A$2&amp;I$4,'Key inputs'!$B$17:$N$17&amp;'Key inputs'!$B$18:$N$18,0))</f>
        <v>88.27</v>
      </c>
      <c r="J57" s="224">
        <f t="shared" si="23"/>
        <v>432.52300000000002</v>
      </c>
      <c r="K57" s="247"/>
      <c r="L57" s="259"/>
      <c r="M57" s="247">
        <f t="shared" si="21"/>
        <v>0.40761300555114999</v>
      </c>
      <c r="N57" s="253"/>
      <c r="O57" s="226"/>
      <c r="P57" s="226">
        <f t="array" ref="P57">INDEX('Key inputs'!$B$16:$N$40,MATCH($B57&amp;$C57&amp;$E57,'Key inputs'!$B$16:$B$40&amp;'Key inputs'!$C$16:$C$40&amp;'Key inputs'!$D$16:$D$40,0),MATCH($A$2&amp;P$4,'Key inputs'!$B$17:$N$17&amp;'Key inputs'!$B$18:$N$18,0))</f>
        <v>124.25</v>
      </c>
      <c r="Q57" s="224">
        <f t="shared" si="24"/>
        <v>608.82500000000005</v>
      </c>
      <c r="R57" s="247"/>
      <c r="S57" s="97"/>
      <c r="T57" s="97"/>
      <c r="U57" s="97"/>
      <c r="V57" s="97"/>
    </row>
    <row r="58" spans="2:22" outlineLevel="1" x14ac:dyDescent="0.35">
      <c r="B58" s="3" t="str">
        <f t="shared" si="22"/>
        <v>Endeavour</v>
      </c>
      <c r="C58" s="3" t="str">
        <f t="shared" si="19"/>
        <v>Residential</v>
      </c>
      <c r="D58" s="3" t="str">
        <f t="shared" si="20"/>
        <v>without CL</v>
      </c>
      <c r="F58" s="228"/>
      <c r="G58" s="60" t="s">
        <v>35</v>
      </c>
      <c r="H58" s="226"/>
      <c r="I58" s="226"/>
      <c r="J58" s="226">
        <f>J57*GST</f>
        <v>43.252300000000005</v>
      </c>
      <c r="K58" s="247"/>
      <c r="L58" s="259"/>
      <c r="M58" s="247"/>
      <c r="N58" s="253"/>
      <c r="O58" s="226"/>
      <c r="P58" s="226"/>
      <c r="Q58" s="226">
        <f>Q57*GST</f>
        <v>60.882500000000007</v>
      </c>
      <c r="R58" s="248"/>
    </row>
    <row r="59" spans="2:22" x14ac:dyDescent="0.35">
      <c r="B59" s="3" t="str">
        <f t="shared" si="22"/>
        <v>Endeavour</v>
      </c>
      <c r="C59" s="3" t="str">
        <f t="shared" si="19"/>
        <v>Residential</v>
      </c>
      <c r="D59" s="3" t="str">
        <f t="shared" si="20"/>
        <v>without CL</v>
      </c>
      <c r="F59" s="228"/>
      <c r="G59" s="5" t="s">
        <v>77</v>
      </c>
      <c r="H59" s="227"/>
      <c r="I59" s="227"/>
      <c r="J59" s="227">
        <f>SUM(J57:J58)</f>
        <v>475.77530000000002</v>
      </c>
      <c r="K59" s="248"/>
      <c r="L59" s="260"/>
      <c r="M59" s="248">
        <f>IF(OR(J59=0,Q59=""),"",Q59/J59-1)</f>
        <v>0.40761300555114999</v>
      </c>
      <c r="N59" s="254"/>
      <c r="O59" s="227"/>
      <c r="P59" s="227"/>
      <c r="Q59" s="227">
        <f>SUM(Q57:Q58)</f>
        <v>669.7075000000001</v>
      </c>
      <c r="R59" s="248"/>
    </row>
    <row r="60" spans="2:22" x14ac:dyDescent="0.35">
      <c r="F60" s="228"/>
      <c r="H60" s="224"/>
      <c r="I60" s="224"/>
      <c r="J60" s="224"/>
      <c r="K60" s="246"/>
      <c r="L60" s="261"/>
      <c r="M60" s="246"/>
      <c r="N60" s="252"/>
      <c r="O60" s="224"/>
      <c r="P60" s="224"/>
      <c r="Q60" s="224"/>
      <c r="R60" s="246"/>
    </row>
    <row r="61" spans="2:22" x14ac:dyDescent="0.35">
      <c r="B61" s="5" t="s">
        <v>4</v>
      </c>
      <c r="C61" s="5" t="s">
        <v>6</v>
      </c>
      <c r="D61" s="5" t="s">
        <v>137</v>
      </c>
      <c r="F61" s="228"/>
      <c r="H61" s="224"/>
      <c r="I61" s="224"/>
      <c r="J61" s="224"/>
      <c r="K61" s="246"/>
      <c r="L61" s="261"/>
      <c r="M61" s="246"/>
      <c r="N61" s="252"/>
      <c r="O61" s="224"/>
      <c r="P61" s="224"/>
      <c r="Q61" s="224"/>
      <c r="R61" s="246"/>
    </row>
    <row r="62" spans="2:22" outlineLevel="1" x14ac:dyDescent="0.35">
      <c r="B62" s="3" t="str">
        <f>B61</f>
        <v>Endeavour</v>
      </c>
      <c r="C62" s="3" t="str">
        <f t="shared" ref="C62:C79" si="25">C61</f>
        <v>Residential</v>
      </c>
      <c r="D62" s="3" t="str">
        <f t="shared" ref="D62:D79" si="26">D61</f>
        <v>with CL</v>
      </c>
      <c r="E62" s="3" t="s">
        <v>21</v>
      </c>
      <c r="F62" s="228">
        <f t="array" ref="F62">IFERROR(INDEX(Usage!$B$5:$P$18,MATCH($B62,Usage!$B$5:$B$18,0),MATCH($C62&amp;$D62&amp;$E62&amp;"Total",Usage!$B$5:$S$5&amp;Usage!$B$6:$S$6&amp;Usage!$B$7:$S$7&amp;Usage!$B$13:$S$13,0)),0)</f>
        <v>5200</v>
      </c>
      <c r="G62" s="3" t="s">
        <v>53</v>
      </c>
      <c r="H62" s="224"/>
      <c r="I62" s="226">
        <f t="array" ref="I62">INDEX('Key inputs'!$B$16:$N$40,MATCH($B62&amp;$C62&amp;$E62,'Key inputs'!$B$16:$B$40&amp;'Key inputs'!$C$16:$C$40&amp;'Key inputs'!$D$16:$D$40,0),MATCH($A$2&amp;I$4,'Key inputs'!$B$17:$N$17&amp;'Key inputs'!$B$18:$N$18,0))</f>
        <v>88.27</v>
      </c>
      <c r="J62" s="224">
        <f>IF(AND(H62="",I62=""),"",H62+I62*$F62/1000)</f>
        <v>459.00400000000002</v>
      </c>
      <c r="K62" s="246"/>
      <c r="L62" s="261"/>
      <c r="M62" s="246">
        <f>IF(OR(J62=0,Q62=""),"",Q62/J62-1)</f>
        <v>0.40761300555114977</v>
      </c>
      <c r="N62" s="252"/>
      <c r="O62" s="224"/>
      <c r="P62" s="226">
        <f t="array" ref="P62">INDEX('Key inputs'!$B$16:$N$40,MATCH($B62&amp;$C62&amp;$E62,'Key inputs'!$B$16:$B$40&amp;'Key inputs'!$C$16:$C$40&amp;'Key inputs'!$D$16:$D$40,0),MATCH($A$2&amp;P$4,'Key inputs'!$B$17:$N$17&amp;'Key inputs'!$B$18:$N$18,0))</f>
        <v>124.25</v>
      </c>
      <c r="Q62" s="224">
        <f>IF(AND(O62="",P62=""),"",O62+P62*$F62/1000)</f>
        <v>646.1</v>
      </c>
      <c r="R62" s="246"/>
    </row>
    <row r="63" spans="2:22" outlineLevel="1" x14ac:dyDescent="0.35">
      <c r="B63" s="3" t="str">
        <f t="shared" ref="B63:B79" si="27">B62</f>
        <v>Endeavour</v>
      </c>
      <c r="C63" s="3" t="str">
        <f t="shared" si="25"/>
        <v>Residential</v>
      </c>
      <c r="D63" s="3" t="str">
        <f t="shared" si="26"/>
        <v>with CL</v>
      </c>
      <c r="E63" s="3" t="s">
        <v>15</v>
      </c>
      <c r="F63" s="228">
        <f t="array" ref="F63">IFERROR(INDEX(Usage!$B$5:$P$18,MATCH($B63,Usage!$B$5:$B$18,0),MATCH($C63&amp;$D63&amp;$E63,Usage!$B$5:$S$5&amp;Usage!$B$6:$S$6&amp;Usage!$B$7:$S$7,0)),0)</f>
        <v>1474</v>
      </c>
      <c r="G63" s="3" t="s">
        <v>66</v>
      </c>
      <c r="H63" s="224"/>
      <c r="I63" s="224">
        <f t="array" ref="I63">IFERROR(INDEX('Detail inputs'!$B$3:$K$193,MATCH($B63&amp;$C63&amp;$E63&amp;$G63&amp;I$5,'Detail inputs'!$B$3:$B$193&amp;'Detail inputs'!$D$3:$D$193&amp;'Detail inputs'!$F$3:$F$193&amp;'Detail inputs'!$G$3:$G$193&amp;'Detail inputs'!$H$3:$H$193,0),MATCH(I$4,'Detail inputs'!$B$3:$K$3,0)),0)</f>
        <v>76</v>
      </c>
      <c r="J63" s="224">
        <f>IF(AND(H63="",I63=""),"",H63+I63*$F63/1000)</f>
        <v>112.024</v>
      </c>
      <c r="K63" s="246">
        <f>IFERROR(J63/J69,"")</f>
        <v>0.91247448673310116</v>
      </c>
      <c r="L63" s="246"/>
      <c r="M63" s="246">
        <f t="shared" ref="M63:M77" si="28">IF(OR(J63=0,Q63=""),"",Q63/J63-1)</f>
        <v>0.3686842105263155</v>
      </c>
      <c r="N63" s="243"/>
      <c r="O63" s="224"/>
      <c r="P63" s="224">
        <f t="array" ref="P63">IFERROR(INDEX('Detail inputs'!$B$3:$K$193,MATCH($B63&amp;$C63&amp;$E63&amp;$G63&amp;P$5,'Detail inputs'!$B$3:$B$193&amp;'Detail inputs'!$D$3:$D$193&amp;'Detail inputs'!$F$3:$F$193&amp;'Detail inputs'!$G$3:$G$193&amp;'Detail inputs'!$H$3:$H$193,0),MATCH(P$4,'Detail inputs'!$B$3:$K$3,0)),0)</f>
        <v>104.02</v>
      </c>
      <c r="Q63" s="224">
        <f>IF(AND(O63="",P63=""),"",O63+P63*$F63/1000)</f>
        <v>153.32547999999997</v>
      </c>
      <c r="R63" s="246">
        <f>IFERROR(Q63/Q69,"")</f>
        <v>0.90847161572052382</v>
      </c>
    </row>
    <row r="64" spans="2:22" outlineLevel="1" x14ac:dyDescent="0.35">
      <c r="B64" s="3" t="str">
        <f t="shared" si="27"/>
        <v>Endeavour</v>
      </c>
      <c r="C64" s="3" t="str">
        <f t="shared" si="25"/>
        <v>Residential</v>
      </c>
      <c r="D64" s="3" t="str">
        <f t="shared" si="26"/>
        <v>with CL</v>
      </c>
      <c r="E64" s="3" t="s">
        <v>15</v>
      </c>
      <c r="F64" s="228">
        <f t="array" ref="F64">IFERROR(INDEX(Usage!$B$5:$P$18,MATCH($B64,Usage!$B$5:$B$18,0),MATCH($C64&amp;$D64&amp;$E64,Usage!$B$5:$S$5&amp;Usage!$B$6:$S$6&amp;Usage!$B$7:$S$7,0)),0)</f>
        <v>1474</v>
      </c>
      <c r="G64" s="3" t="s">
        <v>67</v>
      </c>
      <c r="H64" s="224"/>
      <c r="I64" s="224">
        <f t="array" ref="I64">IFERROR(INDEX('Detail inputs'!$B$3:$K$193,MATCH($B64&amp;$G64&amp;I$5,'Detail inputs'!$B$3:$B$193&amp;'Detail inputs'!$G$3:$G$193&amp;'Detail inputs'!$H$3:$H$193,0),MATCH(I$4,'Detail inputs'!$B$3:$K$3,0)),0)</f>
        <v>0.28000000000000003</v>
      </c>
      <c r="J64" s="224">
        <f t="shared" ref="J64:J69" si="29">IF(AND(H64="",I64=""),"",H64+I64*$F64/1000)</f>
        <v>0.41272000000000003</v>
      </c>
      <c r="K64" s="246">
        <f>IFERROR(J64/J69,"")</f>
        <v>3.3617481090166888E-3</v>
      </c>
      <c r="L64" s="246"/>
      <c r="M64" s="246">
        <f t="shared" si="28"/>
        <v>0.21428571428571441</v>
      </c>
      <c r="N64" s="243"/>
      <c r="O64" s="224"/>
      <c r="P64" s="224">
        <f t="array" ref="P64">IFERROR(INDEX('Detail inputs'!$B$3:$K$193,MATCH($B64&amp;$G64&amp;P$5,'Detail inputs'!$B$3:$B$193&amp;'Detail inputs'!$G$3:$G$193&amp;'Detail inputs'!$H$3:$H$193,0),MATCH(P$4,'Detail inputs'!$B$3:$K$3,0)),0)</f>
        <v>0.34</v>
      </c>
      <c r="Q64" s="224">
        <f t="shared" ref="Q64:Q69" si="30">IF(AND(O64="",P64=""),"",O64+P64*$F64/1000)</f>
        <v>0.50116000000000005</v>
      </c>
      <c r="R64" s="246">
        <f>IFERROR(Q64/Q69,"")</f>
        <v>2.9694323144104809E-3</v>
      </c>
    </row>
    <row r="65" spans="2:22" outlineLevel="1" x14ac:dyDescent="0.35">
      <c r="B65" s="3" t="str">
        <f t="shared" si="27"/>
        <v>Endeavour</v>
      </c>
      <c r="C65" s="3" t="str">
        <f t="shared" si="25"/>
        <v>Residential</v>
      </c>
      <c r="D65" s="3" t="str">
        <f t="shared" si="26"/>
        <v>with CL</v>
      </c>
      <c r="E65" s="3" t="s">
        <v>15</v>
      </c>
      <c r="F65" s="228">
        <f t="array" ref="F65">IFERROR(INDEX(Usage!$B$5:$P$18,MATCH($B65,Usage!$B$5:$B$18,0),MATCH($C65&amp;$D65&amp;$E65,Usage!$B$5:$S$5&amp;Usage!$B$6:$S$6&amp;Usage!$B$7:$S$7,0)),0)</f>
        <v>1474</v>
      </c>
      <c r="G65" s="3" t="s">
        <v>75</v>
      </c>
      <c r="H65" s="224"/>
      <c r="I65" s="224">
        <f t="array" ref="I65">IFERROR(INDEX('Detail inputs'!$B$3:$K$193,MATCH($B65&amp;$G65&amp;I$5,'Detail inputs'!$B$3:$B$193&amp;'Detail inputs'!$G$3:$G$193&amp;'Detail inputs'!$H$3:$H$193,0),MATCH(I$4,'Detail inputs'!$B$3:$K$3,0)),0)</f>
        <v>0.49</v>
      </c>
      <c r="J65" s="224">
        <f t="shared" si="29"/>
        <v>0.72226000000000001</v>
      </c>
      <c r="K65" s="246">
        <f>IFERROR(J65/J69,"")</f>
        <v>5.8830591907792044E-3</v>
      </c>
      <c r="L65" s="246"/>
      <c r="M65" s="246">
        <f t="shared" si="28"/>
        <v>1.2448979591836737</v>
      </c>
      <c r="N65" s="243"/>
      <c r="O65" s="224"/>
      <c r="P65" s="224">
        <f t="array" ref="P65">IFERROR(INDEX('Detail inputs'!$B$3:$K$193,MATCH($B65&amp;$G65&amp;P$5,'Detail inputs'!$B$3:$B$193&amp;'Detail inputs'!$G$3:$G$193&amp;'Detail inputs'!$H$3:$H$193,0),MATCH(P$4,'Detail inputs'!$B$3:$K$3,0)),0)</f>
        <v>1.1000000000000001</v>
      </c>
      <c r="Q65" s="224">
        <f t="shared" si="30"/>
        <v>1.6214000000000002</v>
      </c>
      <c r="R65" s="246">
        <f>IFERROR(Q65/Q69,"")</f>
        <v>9.6069868995633193E-3</v>
      </c>
    </row>
    <row r="66" spans="2:22" outlineLevel="1" x14ac:dyDescent="0.35">
      <c r="B66" s="3" t="str">
        <f t="shared" si="27"/>
        <v>Endeavour</v>
      </c>
      <c r="C66" s="3" t="str">
        <f t="shared" si="25"/>
        <v>Residential</v>
      </c>
      <c r="D66" s="3" t="str">
        <f t="shared" si="26"/>
        <v>with CL</v>
      </c>
      <c r="E66" s="3" t="s">
        <v>15</v>
      </c>
      <c r="F66" s="228">
        <f t="array" ref="F66">IFERROR(INDEX(Usage!$B$5:$P$18,MATCH($B66,Usage!$B$5:$B$18,0),MATCH($C66&amp;$D66&amp;$E66,Usage!$B$5:$S$5&amp;Usage!$B$6:$S$6&amp;Usage!$B$7:$S$7,0)),0)</f>
        <v>1474</v>
      </c>
      <c r="G66" s="3" t="s">
        <v>68</v>
      </c>
      <c r="H66" s="224"/>
      <c r="I66" s="224">
        <f t="array" ref="I66">IFERROR(INDEX('Detail inputs'!$B$3:$K$193,MATCH($B66&amp;$G66&amp;I$5,'Detail inputs'!$B$3:$B$193&amp;'Detail inputs'!$G$3:$G$193&amp;'Detail inputs'!$H$3:$H$193,0),MATCH(I$4,'Detail inputs'!$B$3:$K$3,0)),0)</f>
        <v>0</v>
      </c>
      <c r="J66" s="224">
        <f t="shared" si="29"/>
        <v>0</v>
      </c>
      <c r="K66" s="246">
        <f>IFERROR(J66/J69,"")</f>
        <v>0</v>
      </c>
      <c r="L66" s="246"/>
      <c r="M66" s="246" t="str">
        <f t="shared" si="28"/>
        <v/>
      </c>
      <c r="N66" s="243"/>
      <c r="O66" s="224"/>
      <c r="P66" s="224">
        <f t="array" ref="P66">IFERROR(INDEX('Detail inputs'!$B$3:$K$193,MATCH($B66&amp;$G66&amp;P$5,'Detail inputs'!$B$3:$B$193&amp;'Detail inputs'!$G$3:$G$193&amp;'Detail inputs'!$H$3:$H$193,0),MATCH(P$4,'Detail inputs'!$B$3:$K$3,0)),0)</f>
        <v>0</v>
      </c>
      <c r="Q66" s="224">
        <f t="shared" si="30"/>
        <v>0</v>
      </c>
      <c r="R66" s="246">
        <f>IFERROR(Q66/Q69,"")</f>
        <v>0</v>
      </c>
    </row>
    <row r="67" spans="2:22" outlineLevel="1" x14ac:dyDescent="0.35">
      <c r="B67" s="3" t="str">
        <f t="shared" si="27"/>
        <v>Endeavour</v>
      </c>
      <c r="C67" s="3" t="str">
        <f t="shared" si="25"/>
        <v>Residential</v>
      </c>
      <c r="D67" s="3" t="str">
        <f t="shared" si="26"/>
        <v>with CL</v>
      </c>
      <c r="E67" s="3" t="s">
        <v>15</v>
      </c>
      <c r="F67" s="228">
        <f t="array" ref="F67">IFERROR(INDEX(Usage!$B$5:$P$18,MATCH($B67,Usage!$B$5:$B$18,0),MATCH($C67&amp;$D67&amp;$E67,Usage!$B$5:$S$5&amp;Usage!$B$6:$S$6&amp;Usage!$B$7:$S$7,0)),0)</f>
        <v>1474</v>
      </c>
      <c r="G67" s="3" t="s">
        <v>145</v>
      </c>
      <c r="H67" s="224"/>
      <c r="I67" s="224">
        <f t="array" ref="I67">IFERROR(INDEX('Detail inputs'!$B$3:$K$193,MATCH($B67&amp;$G67&amp;I$5,'Detail inputs'!$B$3:$B$193&amp;'Detail inputs'!$G$3:$G$193&amp;'Detail inputs'!$H$3:$H$193,0),MATCH(I$4,'Detail inputs'!$B$3:$K$3,0)),0)</f>
        <v>1.81</v>
      </c>
      <c r="J67" s="224">
        <f t="shared" si="29"/>
        <v>2.6679400000000002</v>
      </c>
      <c r="K67" s="246">
        <f>IFERROR(J67/J69,"")</f>
        <v>2.1731300276143596E-2</v>
      </c>
      <c r="L67" s="246"/>
      <c r="M67" s="246">
        <f t="shared" si="28"/>
        <v>0.41436464088397784</v>
      </c>
      <c r="N67" s="243"/>
      <c r="O67" s="224"/>
      <c r="P67" s="224">
        <f t="array" ref="P67">IFERROR(INDEX('Detail inputs'!$B$3:$K$193,MATCH($B67&amp;$G67&amp;P$5,'Detail inputs'!$B$3:$B$193&amp;'Detail inputs'!$G$3:$G$193&amp;'Detail inputs'!$H$3:$H$193,0),MATCH(P$4,'Detail inputs'!$B$3:$K$3,0)),0)</f>
        <v>2.56</v>
      </c>
      <c r="Q67" s="224">
        <f t="shared" si="30"/>
        <v>3.7734399999999999</v>
      </c>
      <c r="R67" s="246">
        <f>IFERROR(Q67/Q69,"")</f>
        <v>2.2358078602620086E-2</v>
      </c>
    </row>
    <row r="68" spans="2:22" outlineLevel="1" x14ac:dyDescent="0.35">
      <c r="B68" s="3" t="str">
        <f t="shared" si="27"/>
        <v>Endeavour</v>
      </c>
      <c r="C68" s="3" t="str">
        <f t="shared" si="25"/>
        <v>Residential</v>
      </c>
      <c r="D68" s="3" t="str">
        <f t="shared" si="26"/>
        <v>with CL</v>
      </c>
      <c r="E68" s="3" t="s">
        <v>15</v>
      </c>
      <c r="F68" s="228">
        <f t="array" ref="F68">IFERROR(INDEX(Usage!$B$5:$P$18,MATCH($B68,Usage!$B$5:$B$18,0),MATCH($C68&amp;$D68&amp;$E68,Usage!$B$5:$S$5&amp;Usage!$B$6:$S$6&amp;Usage!$B$7:$S$7,0)),0)</f>
        <v>1474</v>
      </c>
      <c r="G68" s="3" t="s">
        <v>69</v>
      </c>
      <c r="H68" s="224"/>
      <c r="I68" s="224">
        <f t="array" ref="I68">ROUND(IFERROR(INDEX('Detail inputs'!$B$3:$K$193,MATCH($B68&amp;$C68&amp;$E68&amp;$G68&amp;I$5,'Detail inputs'!$B$3:$B$193&amp;'Detail inputs'!$D$3:$D$193&amp;'Detail inputs'!$F$3:$F$193&amp;'Detail inputs'!$G$3:$G$193&amp;'Detail inputs'!$H$3:$H$193,0),MATCH(I$4,'Detail inputs'!$B$3:$K$3,0)),0)*SUM(I63:I67),2)</f>
        <v>4.71</v>
      </c>
      <c r="J68" s="224">
        <f t="shared" si="29"/>
        <v>6.9425400000000002</v>
      </c>
      <c r="K68" s="246">
        <f>IFERROR(J68/J69,"")</f>
        <v>5.6549405690959294E-2</v>
      </c>
      <c r="L68" s="246"/>
      <c r="M68" s="246">
        <f t="shared" si="28"/>
        <v>0.37579617834394896</v>
      </c>
      <c r="N68" s="243"/>
      <c r="O68" s="224"/>
      <c r="P68" s="224">
        <f t="array" ref="P68">ROUND(IFERROR(INDEX('Detail inputs'!$B$3:$K$193,MATCH($B68&amp;$C68&amp;$E68&amp;$G68&amp;P$5,'Detail inputs'!$B$3:$B$193&amp;'Detail inputs'!$D$3:$D$193&amp;'Detail inputs'!$F$3:$F$193&amp;'Detail inputs'!$G$3:$G$193&amp;'Detail inputs'!$H$3:$H$193,0),MATCH(P$4,'Detail inputs'!$B$3:$K$3,0)),0)*SUM(P63:P67),2)</f>
        <v>6.48</v>
      </c>
      <c r="Q68" s="224">
        <f t="shared" si="30"/>
        <v>9.55152</v>
      </c>
      <c r="R68" s="246">
        <f>IFERROR(Q68/Q69,"")</f>
        <v>5.6593886462882097E-2</v>
      </c>
    </row>
    <row r="69" spans="2:22" outlineLevel="1" x14ac:dyDescent="0.35">
      <c r="B69" s="3" t="str">
        <f t="shared" si="27"/>
        <v>Endeavour</v>
      </c>
      <c r="C69" s="3" t="str">
        <f t="shared" si="25"/>
        <v>Residential</v>
      </c>
      <c r="D69" s="3" t="str">
        <f t="shared" si="26"/>
        <v>with CL</v>
      </c>
      <c r="E69" s="3" t="s">
        <v>15</v>
      </c>
      <c r="F69" s="228">
        <f t="array" ref="F69">IFERROR(INDEX(Usage!$B$5:$P$18,MATCH($B69,Usage!$B$5:$B$18,0),MATCH($C69&amp;$D69&amp;$E69,Usage!$B$5:$S$5&amp;Usage!$B$6:$S$6&amp;Usage!$B$7:$S$7,0)),0)</f>
        <v>1474</v>
      </c>
      <c r="G69" s="3" t="s">
        <v>53</v>
      </c>
      <c r="H69" s="226"/>
      <c r="I69" s="226">
        <f t="array" ref="I69">INDEX('Key inputs'!$B$16:$N$40,MATCH($B69&amp;$C69&amp;$E69,'Key inputs'!$B$16:$B$40&amp;'Key inputs'!$C$16:$C$40&amp;'Key inputs'!$D$16:$D$40,0),MATCH($A$2&amp;I$4,'Key inputs'!$B$17:$N$17&amp;'Key inputs'!$B$18:$N$18,0))</f>
        <v>83.29</v>
      </c>
      <c r="J69" s="224">
        <f t="shared" si="29"/>
        <v>122.76946000000001</v>
      </c>
      <c r="K69" s="247"/>
      <c r="L69" s="259"/>
      <c r="M69" s="247">
        <f t="shared" si="28"/>
        <v>0.37471485172289576</v>
      </c>
      <c r="N69" s="253"/>
      <c r="O69" s="226"/>
      <c r="P69" s="226">
        <f t="array" ref="P69">INDEX('Key inputs'!$B$16:$N$40,MATCH($B69&amp;$C69&amp;$E69,'Key inputs'!$B$16:$B$40&amp;'Key inputs'!$C$16:$C$40&amp;'Key inputs'!$D$16:$D$40,0),MATCH($A$2&amp;P$4,'Key inputs'!$B$17:$N$17&amp;'Key inputs'!$B$18:$N$18,0))</f>
        <v>114.5</v>
      </c>
      <c r="Q69" s="224">
        <f t="shared" si="30"/>
        <v>168.773</v>
      </c>
      <c r="R69" s="247"/>
      <c r="T69" s="97"/>
      <c r="U69" s="97"/>
      <c r="V69" s="97"/>
    </row>
    <row r="70" spans="2:22" outlineLevel="1" x14ac:dyDescent="0.35">
      <c r="B70" s="3" t="str">
        <f t="shared" si="27"/>
        <v>Endeavour</v>
      </c>
      <c r="C70" s="3" t="str">
        <f t="shared" si="25"/>
        <v>Residential</v>
      </c>
      <c r="D70" s="3" t="str">
        <f t="shared" si="26"/>
        <v>with CL</v>
      </c>
      <c r="E70" s="3" t="s">
        <v>16</v>
      </c>
      <c r="F70" s="228">
        <f t="array" ref="F70">IFERROR(INDEX(Usage!$B$5:$P$18,MATCH($B70,Usage!$B$5:$B$18,0),MATCH($C70&amp;$D70&amp;$E70,Usage!$B$5:$S$5&amp;Usage!$B$6:$S$6&amp;Usage!$B$7:$S$7,0)),0)</f>
        <v>726</v>
      </c>
      <c r="G70" s="3" t="s">
        <v>66</v>
      </c>
      <c r="H70" s="226"/>
      <c r="I70" s="226">
        <f t="array" ref="I70">IFERROR(INDEX('Detail inputs'!$B$3:$K$193,MATCH($B70&amp;$C70&amp;$E70&amp;$G70&amp;I$5,'Detail inputs'!$B$3:$B$193&amp;'Detail inputs'!$D$3:$D$193&amp;'Detail inputs'!$F$3:$F$193&amp;'Detail inputs'!$G$3:$G$193&amp;'Detail inputs'!$H$3:$H$193,0),MATCH(I$4,'Detail inputs'!$B$3:$K$3,0)),0)</f>
        <v>76</v>
      </c>
      <c r="J70" s="226">
        <f>IF(AND(H70="",I70=""),"",H70+I70*$F70/1000)</f>
        <v>55.176000000000002</v>
      </c>
      <c r="K70" s="247">
        <f>IFERROR(J70/J76,"")</f>
        <v>0.91247448673310105</v>
      </c>
      <c r="L70" s="247"/>
      <c r="M70" s="247">
        <f t="shared" si="28"/>
        <v>0.36868421052631595</v>
      </c>
      <c r="N70" s="244"/>
      <c r="O70" s="226"/>
      <c r="P70" s="226">
        <f t="array" ref="P70">IFERROR(INDEX('Detail inputs'!$B$3:$K$193,MATCH($B70&amp;$C70&amp;$E70&amp;$G70&amp;P$5,'Detail inputs'!$B$3:$B$193&amp;'Detail inputs'!$D$3:$D$193&amp;'Detail inputs'!$F$3:$F$193&amp;'Detail inputs'!$G$3:$G$193&amp;'Detail inputs'!$H$3:$H$193,0),MATCH(P$4,'Detail inputs'!$B$3:$K$3,0)),0)</f>
        <v>104.02</v>
      </c>
      <c r="Q70" s="226">
        <f>IF(AND(O70="",P70=""),"",O70+P70*$F70/1000)</f>
        <v>75.518520000000009</v>
      </c>
      <c r="R70" s="247">
        <f>IFERROR(Q70/Q76,"")</f>
        <v>0.90847161572052415</v>
      </c>
    </row>
    <row r="71" spans="2:22" outlineLevel="1" x14ac:dyDescent="0.35">
      <c r="B71" s="3" t="str">
        <f t="shared" si="27"/>
        <v>Endeavour</v>
      </c>
      <c r="C71" s="3" t="str">
        <f t="shared" si="25"/>
        <v>Residential</v>
      </c>
      <c r="D71" s="3" t="str">
        <f t="shared" si="26"/>
        <v>with CL</v>
      </c>
      <c r="E71" s="3" t="s">
        <v>16</v>
      </c>
      <c r="F71" s="228">
        <f t="array" ref="F71">IFERROR(INDEX(Usage!$B$5:$P$18,MATCH($B71,Usage!$B$5:$B$18,0),MATCH($C71&amp;$D71&amp;$E71,Usage!$B$5:$S$5&amp;Usage!$B$6:$S$6&amp;Usage!$B$7:$S$7,0)),0)</f>
        <v>726</v>
      </c>
      <c r="G71" s="3" t="s">
        <v>67</v>
      </c>
      <c r="H71" s="226"/>
      <c r="I71" s="226">
        <f t="array" ref="I71">IFERROR(INDEX('Detail inputs'!$B$3:$K$193,MATCH($B71&amp;$G71&amp;I$5,'Detail inputs'!$B$3:$B$193&amp;'Detail inputs'!$G$3:$G$193&amp;'Detail inputs'!$H$3:$H$193,0),MATCH(I$4,'Detail inputs'!$B$3:$K$3,0)),0)</f>
        <v>0.28000000000000003</v>
      </c>
      <c r="J71" s="226">
        <f t="shared" ref="J71:J76" si="31">IF(AND(H71="",I71=""),"",H71+I71*$F71/1000)</f>
        <v>0.20328000000000002</v>
      </c>
      <c r="K71" s="247">
        <f>IFERROR(J71/J76,"")</f>
        <v>3.3617481090166884E-3</v>
      </c>
      <c r="L71" s="247"/>
      <c r="M71" s="247">
        <f t="shared" si="28"/>
        <v>0.21428571428571441</v>
      </c>
      <c r="N71" s="244"/>
      <c r="O71" s="226"/>
      <c r="P71" s="226">
        <f t="array" ref="P71">IFERROR(INDEX('Detail inputs'!$B$3:$K$193,MATCH($B71&amp;$G71&amp;P$5,'Detail inputs'!$B$3:$B$193&amp;'Detail inputs'!$G$3:$G$193&amp;'Detail inputs'!$H$3:$H$193,0),MATCH(P$4,'Detail inputs'!$B$3:$K$3,0)),0)</f>
        <v>0.34</v>
      </c>
      <c r="Q71" s="226">
        <f t="shared" ref="Q71:Q76" si="32">IF(AND(O71="",P71=""),"",O71+P71*$F71/1000)</f>
        <v>0.24684000000000003</v>
      </c>
      <c r="R71" s="247">
        <f>IFERROR(Q71/Q76,"")</f>
        <v>2.9694323144104809E-3</v>
      </c>
    </row>
    <row r="72" spans="2:22" outlineLevel="1" x14ac:dyDescent="0.35">
      <c r="B72" s="3" t="str">
        <f t="shared" si="27"/>
        <v>Endeavour</v>
      </c>
      <c r="C72" s="3" t="str">
        <f t="shared" si="25"/>
        <v>Residential</v>
      </c>
      <c r="D72" s="3" t="str">
        <f t="shared" si="26"/>
        <v>with CL</v>
      </c>
      <c r="E72" s="3" t="s">
        <v>16</v>
      </c>
      <c r="F72" s="228">
        <f t="array" ref="F72">IFERROR(INDEX(Usage!$B$5:$P$18,MATCH($B72,Usage!$B$5:$B$18,0),MATCH($C72&amp;$D72&amp;$E72,Usage!$B$5:$S$5&amp;Usage!$B$6:$S$6&amp;Usage!$B$7:$S$7,0)),0)</f>
        <v>726</v>
      </c>
      <c r="G72" s="3" t="s">
        <v>75</v>
      </c>
      <c r="H72" s="226"/>
      <c r="I72" s="226">
        <f t="array" ref="I72">IFERROR(INDEX('Detail inputs'!$B$3:$K$193,MATCH($B72&amp;$G72&amp;I$5,'Detail inputs'!$B$3:$B$193&amp;'Detail inputs'!$G$3:$G$193&amp;'Detail inputs'!$H$3:$H$193,0),MATCH(I$4,'Detail inputs'!$B$3:$K$3,0)),0)</f>
        <v>0.49</v>
      </c>
      <c r="J72" s="226">
        <f t="shared" si="31"/>
        <v>0.35574</v>
      </c>
      <c r="K72" s="247">
        <f>IFERROR(J72/J76,"")</f>
        <v>5.8830591907792044E-3</v>
      </c>
      <c r="L72" s="247"/>
      <c r="M72" s="247">
        <f t="shared" si="28"/>
        <v>1.2448979591836733</v>
      </c>
      <c r="N72" s="244"/>
      <c r="O72" s="226"/>
      <c r="P72" s="226">
        <f t="array" ref="P72">IFERROR(INDEX('Detail inputs'!$B$3:$K$193,MATCH($B72&amp;$G72&amp;P$5,'Detail inputs'!$B$3:$B$193&amp;'Detail inputs'!$G$3:$G$193&amp;'Detail inputs'!$H$3:$H$193,0),MATCH(P$4,'Detail inputs'!$B$3:$K$3,0)),0)</f>
        <v>1.1000000000000001</v>
      </c>
      <c r="Q72" s="226">
        <f t="shared" si="32"/>
        <v>0.79859999999999998</v>
      </c>
      <c r="R72" s="247">
        <f>IFERROR(Q72/Q76,"")</f>
        <v>9.6069868995633193E-3</v>
      </c>
    </row>
    <row r="73" spans="2:22" outlineLevel="1" x14ac:dyDescent="0.35">
      <c r="B73" s="3" t="str">
        <f t="shared" si="27"/>
        <v>Endeavour</v>
      </c>
      <c r="C73" s="3" t="str">
        <f t="shared" si="25"/>
        <v>Residential</v>
      </c>
      <c r="D73" s="3" t="str">
        <f t="shared" si="26"/>
        <v>with CL</v>
      </c>
      <c r="E73" s="3" t="s">
        <v>16</v>
      </c>
      <c r="F73" s="228">
        <f t="array" ref="F73">IFERROR(INDEX(Usage!$B$5:$P$18,MATCH($B73,Usage!$B$5:$B$18,0),MATCH($C73&amp;$D73&amp;$E73,Usage!$B$5:$S$5&amp;Usage!$B$6:$S$6&amp;Usage!$B$7:$S$7,0)),0)</f>
        <v>726</v>
      </c>
      <c r="G73" s="3" t="s">
        <v>68</v>
      </c>
      <c r="H73" s="226"/>
      <c r="I73" s="226">
        <f t="array" ref="I73">IFERROR(INDEX('Detail inputs'!$B$3:$K$193,MATCH($B73&amp;$G73&amp;I$5,'Detail inputs'!$B$3:$B$193&amp;'Detail inputs'!$G$3:$G$193&amp;'Detail inputs'!$H$3:$H$193,0),MATCH(I$4,'Detail inputs'!$B$3:$K$3,0)),0)</f>
        <v>0</v>
      </c>
      <c r="J73" s="226">
        <f t="shared" si="31"/>
        <v>0</v>
      </c>
      <c r="K73" s="247">
        <f>IFERROR(J73/J76,"")</f>
        <v>0</v>
      </c>
      <c r="L73" s="247"/>
      <c r="M73" s="247" t="str">
        <f t="shared" si="28"/>
        <v/>
      </c>
      <c r="N73" s="244"/>
      <c r="O73" s="226"/>
      <c r="P73" s="226">
        <f t="array" ref="P73">IFERROR(INDEX('Detail inputs'!$B$3:$K$193,MATCH($B73&amp;$G73&amp;P$5,'Detail inputs'!$B$3:$B$193&amp;'Detail inputs'!$G$3:$G$193&amp;'Detail inputs'!$H$3:$H$193,0),MATCH(P$4,'Detail inputs'!$B$3:$K$3,0)),0)</f>
        <v>0</v>
      </c>
      <c r="Q73" s="226">
        <f t="shared" si="32"/>
        <v>0</v>
      </c>
      <c r="R73" s="247">
        <f>IFERROR(Q73/Q76,"")</f>
        <v>0</v>
      </c>
    </row>
    <row r="74" spans="2:22" outlineLevel="1" x14ac:dyDescent="0.35">
      <c r="B74" s="3" t="str">
        <f t="shared" si="27"/>
        <v>Endeavour</v>
      </c>
      <c r="C74" s="3" t="str">
        <f t="shared" si="25"/>
        <v>Residential</v>
      </c>
      <c r="D74" s="3" t="str">
        <f t="shared" si="26"/>
        <v>with CL</v>
      </c>
      <c r="E74" s="3" t="s">
        <v>16</v>
      </c>
      <c r="F74" s="228">
        <f t="array" ref="F74">IFERROR(INDEX(Usage!$B$5:$P$18,MATCH($B74,Usage!$B$5:$B$18,0),MATCH($C74&amp;$D74&amp;$E74,Usage!$B$5:$S$5&amp;Usage!$B$6:$S$6&amp;Usage!$B$7:$S$7,0)),0)</f>
        <v>726</v>
      </c>
      <c r="G74" s="3" t="s">
        <v>145</v>
      </c>
      <c r="H74" s="226"/>
      <c r="I74" s="226">
        <f t="array" ref="I74">IFERROR(INDEX('Detail inputs'!$B$3:$K$193,MATCH($B74&amp;$G74&amp;I$5,'Detail inputs'!$B$3:$B$193&amp;'Detail inputs'!$G$3:$G$193&amp;'Detail inputs'!$H$3:$H$193,0),MATCH(I$4,'Detail inputs'!$B$3:$K$3,0)),0)</f>
        <v>1.81</v>
      </c>
      <c r="J74" s="226">
        <f t="shared" si="31"/>
        <v>1.31406</v>
      </c>
      <c r="K74" s="247">
        <f>IFERROR(J74/J76,"")</f>
        <v>2.1731300276143589E-2</v>
      </c>
      <c r="L74" s="247"/>
      <c r="M74" s="247">
        <f t="shared" si="28"/>
        <v>0.41436464088397784</v>
      </c>
      <c r="N74" s="244"/>
      <c r="O74" s="226"/>
      <c r="P74" s="226">
        <f t="array" ref="P74">IFERROR(INDEX('Detail inputs'!$B$3:$K$193,MATCH($B74&amp;$G74&amp;P$5,'Detail inputs'!$B$3:$B$193&amp;'Detail inputs'!$G$3:$G$193&amp;'Detail inputs'!$H$3:$H$193,0),MATCH(P$4,'Detail inputs'!$B$3:$K$3,0)),0)</f>
        <v>2.56</v>
      </c>
      <c r="Q74" s="226">
        <f t="shared" si="32"/>
        <v>1.85856</v>
      </c>
      <c r="R74" s="247">
        <f>IFERROR(Q74/Q76,"")</f>
        <v>2.2358078602620089E-2</v>
      </c>
    </row>
    <row r="75" spans="2:22" outlineLevel="1" x14ac:dyDescent="0.35">
      <c r="B75" s="3" t="str">
        <f t="shared" si="27"/>
        <v>Endeavour</v>
      </c>
      <c r="C75" s="3" t="str">
        <f t="shared" si="25"/>
        <v>Residential</v>
      </c>
      <c r="D75" s="3" t="str">
        <f t="shared" si="26"/>
        <v>with CL</v>
      </c>
      <c r="E75" s="3" t="s">
        <v>16</v>
      </c>
      <c r="F75" s="228">
        <f t="array" ref="F75">IFERROR(INDEX(Usage!$B$5:$P$18,MATCH($B75,Usage!$B$5:$B$18,0),MATCH($C75&amp;$D75&amp;$E75,Usage!$B$5:$S$5&amp;Usage!$B$6:$S$6&amp;Usage!$B$7:$S$7,0)),0)</f>
        <v>726</v>
      </c>
      <c r="G75" s="3" t="s">
        <v>69</v>
      </c>
      <c r="H75" s="226"/>
      <c r="I75" s="224">
        <f t="array" ref="I75">ROUND(IFERROR(INDEX('Detail inputs'!$B$3:$K$193,MATCH($B75&amp;$C75&amp;$E75&amp;$G75&amp;I$5,'Detail inputs'!$B$3:$B$193&amp;'Detail inputs'!$D$3:$D$193&amp;'Detail inputs'!$F$3:$F$193&amp;'Detail inputs'!$G$3:$G$193&amp;'Detail inputs'!$H$3:$H$193,0),MATCH(I$4,'Detail inputs'!$B$3:$K$3,0)),0)*SUM(I70:I74),2)</f>
        <v>4.71</v>
      </c>
      <c r="J75" s="226">
        <f t="shared" si="31"/>
        <v>3.4194599999999999</v>
      </c>
      <c r="K75" s="247">
        <f>IFERROR(J75/J76,"")</f>
        <v>5.6549405690959287E-2</v>
      </c>
      <c r="L75" s="247"/>
      <c r="M75" s="247">
        <f t="shared" si="28"/>
        <v>0.37579617834394918</v>
      </c>
      <c r="N75" s="244"/>
      <c r="O75" s="226"/>
      <c r="P75" s="224">
        <f t="array" ref="P75">ROUND(IFERROR(INDEX('Detail inputs'!$B$3:$K$193,MATCH($B75&amp;$C75&amp;$E75&amp;$G75&amp;P$5,'Detail inputs'!$B$3:$B$193&amp;'Detail inputs'!$D$3:$D$193&amp;'Detail inputs'!$F$3:$F$193&amp;'Detail inputs'!$G$3:$G$193&amp;'Detail inputs'!$H$3:$H$193,0),MATCH(P$4,'Detail inputs'!$B$3:$K$3,0)),0)*SUM(P70:P74),2)</f>
        <v>6.48</v>
      </c>
      <c r="Q75" s="226">
        <f t="shared" si="32"/>
        <v>4.7044800000000002</v>
      </c>
      <c r="R75" s="247">
        <f>IFERROR(Q75/Q76,"")</f>
        <v>5.6593886462882104E-2</v>
      </c>
    </row>
    <row r="76" spans="2:22" outlineLevel="1" x14ac:dyDescent="0.35">
      <c r="B76" s="3" t="str">
        <f t="shared" si="27"/>
        <v>Endeavour</v>
      </c>
      <c r="C76" s="3" t="str">
        <f t="shared" si="25"/>
        <v>Residential</v>
      </c>
      <c r="D76" s="3" t="str">
        <f t="shared" si="26"/>
        <v>with CL</v>
      </c>
      <c r="E76" s="3" t="s">
        <v>16</v>
      </c>
      <c r="F76" s="228">
        <f t="array" ref="F76">IFERROR(INDEX(Usage!$B$5:$P$18,MATCH($B76,Usage!$B$5:$B$18,0),MATCH($C76&amp;$D76&amp;$E76,Usage!$B$5:$S$5&amp;Usage!$B$6:$S$6&amp;Usage!$B$7:$S$7,0)),0)</f>
        <v>726</v>
      </c>
      <c r="G76" s="3" t="s">
        <v>53</v>
      </c>
      <c r="H76" s="226"/>
      <c r="I76" s="226">
        <f t="array" ref="I76">INDEX('Key inputs'!$B$16:$N$40,MATCH($B76&amp;$C76&amp;$E76,'Key inputs'!$B$16:$B$40&amp;'Key inputs'!$C$16:$C$40&amp;'Key inputs'!$D$16:$D$40,0),MATCH($A$2&amp;I$4,'Key inputs'!$B$17:$N$17&amp;'Key inputs'!$B$18:$N$18,0))</f>
        <v>83.29</v>
      </c>
      <c r="J76" s="224">
        <f t="shared" si="31"/>
        <v>60.468540000000012</v>
      </c>
      <c r="K76" s="247"/>
      <c r="L76" s="259"/>
      <c r="M76" s="247">
        <f t="shared" si="28"/>
        <v>0.37471485172289554</v>
      </c>
      <c r="N76" s="253"/>
      <c r="O76" s="226"/>
      <c r="P76" s="226">
        <f t="array" ref="P76">INDEX('Key inputs'!$B$16:$N$40,MATCH($B76&amp;$C76&amp;$E76,'Key inputs'!$B$16:$B$40&amp;'Key inputs'!$C$16:$C$40&amp;'Key inputs'!$D$16:$D$40,0),MATCH($A$2&amp;P$4,'Key inputs'!$B$17:$N$17&amp;'Key inputs'!$B$18:$N$18,0))</f>
        <v>114.5</v>
      </c>
      <c r="Q76" s="224">
        <f t="shared" si="32"/>
        <v>83.126999999999995</v>
      </c>
      <c r="R76" s="247"/>
      <c r="T76" s="97"/>
      <c r="U76" s="97"/>
      <c r="V76" s="97"/>
    </row>
    <row r="77" spans="2:22" s="60" customFormat="1" x14ac:dyDescent="0.35">
      <c r="B77" s="3" t="str">
        <f t="shared" si="27"/>
        <v>Endeavour</v>
      </c>
      <c r="C77" s="3" t="str">
        <f t="shared" si="25"/>
        <v>Residential</v>
      </c>
      <c r="D77" s="3" t="str">
        <f t="shared" si="26"/>
        <v>with CL</v>
      </c>
      <c r="E77" s="60" t="s">
        <v>53</v>
      </c>
      <c r="F77" s="228">
        <f t="array" ref="F77">IFERROR(INDEX(Usage!$B$5:$P$18,MATCH($B77,Usage!$B$5:$B$18,0),MATCH($C77&amp;$D77&amp;$E77,Usage!$B$5:$S$5&amp;Usage!$B$6:$S$6&amp;Usage!$B$7:$S$7,0)),0)</f>
        <v>7400</v>
      </c>
      <c r="G77" s="60" t="s">
        <v>53</v>
      </c>
      <c r="H77" s="226"/>
      <c r="I77" s="226">
        <f>I62+I69+I76</f>
        <v>254.85000000000002</v>
      </c>
      <c r="J77" s="226">
        <f>J62+J69+J76</f>
        <v>642.24199999999996</v>
      </c>
      <c r="K77" s="247"/>
      <c r="L77" s="259"/>
      <c r="M77" s="247">
        <f t="shared" si="28"/>
        <v>0.39822683661299019</v>
      </c>
      <c r="N77" s="253"/>
      <c r="O77" s="226"/>
      <c r="P77" s="226">
        <f>P62+P69+P76</f>
        <v>353.25</v>
      </c>
      <c r="Q77" s="226">
        <f>Q62+Q69+Q76</f>
        <v>898</v>
      </c>
      <c r="R77" s="247"/>
      <c r="S77" s="97"/>
      <c r="T77" s="98"/>
    </row>
    <row r="78" spans="2:22" outlineLevel="1" x14ac:dyDescent="0.35">
      <c r="B78" s="3" t="str">
        <f t="shared" si="27"/>
        <v>Endeavour</v>
      </c>
      <c r="C78" s="3" t="str">
        <f t="shared" si="25"/>
        <v>Residential</v>
      </c>
      <c r="D78" s="3" t="str">
        <f t="shared" si="26"/>
        <v>with CL</v>
      </c>
      <c r="F78" s="228"/>
      <c r="G78" s="60" t="s">
        <v>35</v>
      </c>
      <c r="H78" s="226"/>
      <c r="I78" s="226"/>
      <c r="J78" s="226">
        <f>J77*GST</f>
        <v>64.224199999999996</v>
      </c>
      <c r="K78" s="247"/>
      <c r="L78" s="259"/>
      <c r="M78" s="247"/>
      <c r="N78" s="253"/>
      <c r="O78" s="226"/>
      <c r="P78" s="226"/>
      <c r="Q78" s="226">
        <f>Q77*GST</f>
        <v>89.800000000000011</v>
      </c>
      <c r="R78" s="248"/>
    </row>
    <row r="79" spans="2:22" x14ac:dyDescent="0.35">
      <c r="B79" s="3" t="str">
        <f t="shared" si="27"/>
        <v>Endeavour</v>
      </c>
      <c r="C79" s="3" t="str">
        <f t="shared" si="25"/>
        <v>Residential</v>
      </c>
      <c r="D79" s="3" t="str">
        <f t="shared" si="26"/>
        <v>with CL</v>
      </c>
      <c r="F79" s="228"/>
      <c r="G79" s="5" t="s">
        <v>77</v>
      </c>
      <c r="H79" s="227"/>
      <c r="I79" s="227"/>
      <c r="J79" s="227">
        <f>SUM(J77:J78)</f>
        <v>706.46619999999996</v>
      </c>
      <c r="K79" s="248"/>
      <c r="L79" s="260"/>
      <c r="M79" s="248">
        <f>IF(OR(J79=0,Q79=""),"",Q79/J79-1)</f>
        <v>0.39822683661299019</v>
      </c>
      <c r="N79" s="254"/>
      <c r="O79" s="227"/>
      <c r="P79" s="227"/>
      <c r="Q79" s="227">
        <f>SUM(Q77:Q78)</f>
        <v>987.8</v>
      </c>
      <c r="R79" s="248"/>
    </row>
    <row r="80" spans="2:22" x14ac:dyDescent="0.35">
      <c r="F80" s="228"/>
      <c r="H80" s="224"/>
      <c r="I80" s="224"/>
      <c r="J80" s="224"/>
      <c r="K80" s="246"/>
      <c r="L80" s="261"/>
      <c r="M80" s="246"/>
      <c r="N80" s="252"/>
      <c r="O80" s="224"/>
      <c r="P80" s="224"/>
      <c r="Q80" s="224"/>
      <c r="R80" s="246"/>
    </row>
    <row r="81" spans="2:22" x14ac:dyDescent="0.35">
      <c r="B81" s="5" t="s">
        <v>4</v>
      </c>
      <c r="C81" s="5" t="s">
        <v>14</v>
      </c>
      <c r="D81" s="5" t="s">
        <v>136</v>
      </c>
      <c r="F81" s="228"/>
      <c r="H81" s="224"/>
      <c r="I81" s="224"/>
      <c r="J81" s="224"/>
      <c r="K81" s="246"/>
      <c r="L81" s="261"/>
      <c r="M81" s="246"/>
      <c r="N81" s="252"/>
      <c r="O81" s="224"/>
      <c r="P81" s="224"/>
      <c r="Q81" s="224"/>
      <c r="R81" s="246"/>
    </row>
    <row r="82" spans="2:22" outlineLevel="1" x14ac:dyDescent="0.35">
      <c r="B82" s="3" t="str">
        <f>B81</f>
        <v>Endeavour</v>
      </c>
      <c r="C82" s="3" t="str">
        <f t="shared" ref="C82:C90" si="33">C81</f>
        <v>Small business</v>
      </c>
      <c r="D82" s="3" t="str">
        <f t="shared" ref="D82:D90" si="34">D81</f>
        <v>without CL</v>
      </c>
      <c r="E82" s="3" t="s">
        <v>21</v>
      </c>
      <c r="F82" s="228">
        <f t="array" ref="F82">IFERROR(INDEX(Usage!$B$5:$P$18,MATCH($B82,Usage!$B$5:$B$18,0),MATCH($C82&amp;$D82&amp;$E82,Usage!$B$5:$S$5&amp;Usage!$B$6:$S$6&amp;Usage!$B$7:$S$7,0)),0)</f>
        <v>10000</v>
      </c>
      <c r="G82" s="3" t="s">
        <v>66</v>
      </c>
      <c r="H82" s="224"/>
      <c r="I82" s="224"/>
      <c r="J82" s="224"/>
      <c r="K82" s="246"/>
      <c r="L82" s="246"/>
      <c r="M82" s="246"/>
      <c r="N82" s="243"/>
      <c r="O82" s="224"/>
      <c r="P82" s="224">
        <f t="array" ref="P82">IFERROR(INDEX('Detail inputs'!$B$3:$K$193,MATCH($B82&amp;$C82&amp;$E82&amp;$G82&amp;P$5,'Detail inputs'!$B$3:$B$193&amp;'Detail inputs'!$D$3:$D$193&amp;'Detail inputs'!$F$3:$F$193&amp;'Detail inputs'!$G$3:$G$193&amp;'Detail inputs'!$H$3:$H$193,0),MATCH(P$4,'Detail inputs'!$B$3:$K$3,0)),0)</f>
        <v>113.22</v>
      </c>
      <c r="Q82" s="224">
        <f>IF(AND(O82="",P82=""),"",O82+P82*$F82/1000)</f>
        <v>1132.2</v>
      </c>
      <c r="R82" s="246">
        <f>IFERROR(Q82/Q88,"")</f>
        <v>0.91122736418511074</v>
      </c>
    </row>
    <row r="83" spans="2:22" outlineLevel="1" x14ac:dyDescent="0.35">
      <c r="B83" s="3" t="str">
        <f t="shared" ref="B83:B90" si="35">B82</f>
        <v>Endeavour</v>
      </c>
      <c r="C83" s="3" t="str">
        <f t="shared" si="33"/>
        <v>Small business</v>
      </c>
      <c r="D83" s="3" t="str">
        <f t="shared" si="34"/>
        <v>without CL</v>
      </c>
      <c r="E83" s="3" t="s">
        <v>21</v>
      </c>
      <c r="F83" s="228">
        <f t="array" ref="F83">IFERROR(INDEX(Usage!$B$5:$P$18,MATCH($B83,Usage!$B$5:$B$18,0),MATCH($C83&amp;$D83&amp;$E83,Usage!$B$5:$S$5&amp;Usage!$B$6:$S$6&amp;Usage!$B$7:$S$7,0)),0)</f>
        <v>10000</v>
      </c>
      <c r="G83" s="3" t="s">
        <v>67</v>
      </c>
      <c r="H83" s="224"/>
      <c r="I83" s="224"/>
      <c r="J83" s="224"/>
      <c r="K83" s="246"/>
      <c r="L83" s="246"/>
      <c r="M83" s="246"/>
      <c r="N83" s="243"/>
      <c r="O83" s="224"/>
      <c r="P83" s="224">
        <f t="array" ref="P83">IFERROR(INDEX('Detail inputs'!$B$3:$K$193,MATCH($B83&amp;$G83&amp;P$5,'Detail inputs'!$B$3:$B$193&amp;'Detail inputs'!$G$3:$G$193&amp;'Detail inputs'!$H$3:$H$193,0),MATCH(P$4,'Detail inputs'!$B$3:$K$3,0)),0)</f>
        <v>0.34</v>
      </c>
      <c r="Q83" s="224">
        <f t="shared" ref="Q83:Q88" si="36">IF(AND(O83="",P83=""),"",O83+P83*$F83/1000)</f>
        <v>3.4000000000000004</v>
      </c>
      <c r="R83" s="246">
        <f>IFERROR(Q83/Q88,"")</f>
        <v>2.7364185110663988E-3</v>
      </c>
    </row>
    <row r="84" spans="2:22" outlineLevel="1" x14ac:dyDescent="0.35">
      <c r="B84" s="3" t="str">
        <f t="shared" si="35"/>
        <v>Endeavour</v>
      </c>
      <c r="C84" s="3" t="str">
        <f t="shared" si="33"/>
        <v>Small business</v>
      </c>
      <c r="D84" s="3" t="str">
        <f t="shared" si="34"/>
        <v>without CL</v>
      </c>
      <c r="E84" s="3" t="s">
        <v>21</v>
      </c>
      <c r="F84" s="228">
        <f t="array" ref="F84">IFERROR(INDEX(Usage!$B$5:$P$18,MATCH($B84,Usage!$B$5:$B$18,0),MATCH($C84&amp;$D84&amp;$E84,Usage!$B$5:$S$5&amp;Usage!$B$6:$S$6&amp;Usage!$B$7:$S$7,0)),0)</f>
        <v>10000</v>
      </c>
      <c r="G84" s="3" t="s">
        <v>75</v>
      </c>
      <c r="H84" s="224"/>
      <c r="I84" s="224"/>
      <c r="J84" s="224"/>
      <c r="K84" s="246"/>
      <c r="L84" s="246"/>
      <c r="M84" s="246"/>
      <c r="N84" s="243"/>
      <c r="O84" s="224"/>
      <c r="P84" s="224">
        <f t="array" ref="P84">IFERROR(INDEX('Detail inputs'!$B$3:$K$193,MATCH($B84&amp;$G84&amp;P$5,'Detail inputs'!$B$3:$B$193&amp;'Detail inputs'!$G$3:$G$193&amp;'Detail inputs'!$H$3:$H$193,0),MATCH(P$4,'Detail inputs'!$B$3:$K$3,0)),0)</f>
        <v>1.1000000000000001</v>
      </c>
      <c r="Q84" s="224">
        <f t="shared" si="36"/>
        <v>11</v>
      </c>
      <c r="R84" s="246">
        <f>IFERROR(Q84/Q88,"")</f>
        <v>8.8531187122736412E-3</v>
      </c>
    </row>
    <row r="85" spans="2:22" outlineLevel="1" x14ac:dyDescent="0.35">
      <c r="B85" s="3" t="str">
        <f t="shared" si="35"/>
        <v>Endeavour</v>
      </c>
      <c r="C85" s="3" t="str">
        <f t="shared" si="33"/>
        <v>Small business</v>
      </c>
      <c r="D85" s="3" t="str">
        <f t="shared" si="34"/>
        <v>without CL</v>
      </c>
      <c r="E85" s="3" t="s">
        <v>21</v>
      </c>
      <c r="F85" s="228">
        <f t="array" ref="F85">IFERROR(INDEX(Usage!$B$5:$P$18,MATCH($B85,Usage!$B$5:$B$18,0),MATCH($C85&amp;$D85&amp;$E85,Usage!$B$5:$S$5&amp;Usage!$B$6:$S$6&amp;Usage!$B$7:$S$7,0)),0)</f>
        <v>10000</v>
      </c>
      <c r="G85" s="3" t="s">
        <v>68</v>
      </c>
      <c r="H85" s="224"/>
      <c r="I85" s="224"/>
      <c r="J85" s="224"/>
      <c r="K85" s="246"/>
      <c r="L85" s="246"/>
      <c r="M85" s="246"/>
      <c r="N85" s="243"/>
      <c r="O85" s="224"/>
      <c r="P85" s="224">
        <f t="array" ref="P85">IFERROR(INDEX('Detail inputs'!$B$3:$K$193,MATCH($B85&amp;$G85&amp;P$5,'Detail inputs'!$B$3:$B$193&amp;'Detail inputs'!$G$3:$G$193&amp;'Detail inputs'!$H$3:$H$193,0),MATCH(P$4,'Detail inputs'!$B$3:$K$3,0)),0)</f>
        <v>0</v>
      </c>
      <c r="Q85" s="224">
        <f t="shared" si="36"/>
        <v>0</v>
      </c>
      <c r="R85" s="246">
        <f>IFERROR(Q85/Q88,"")</f>
        <v>0</v>
      </c>
    </row>
    <row r="86" spans="2:22" outlineLevel="1" x14ac:dyDescent="0.35">
      <c r="B86" s="3" t="str">
        <f t="shared" si="35"/>
        <v>Endeavour</v>
      </c>
      <c r="C86" s="3" t="str">
        <f t="shared" si="33"/>
        <v>Small business</v>
      </c>
      <c r="D86" s="3" t="str">
        <f t="shared" si="34"/>
        <v>without CL</v>
      </c>
      <c r="E86" s="3" t="s">
        <v>21</v>
      </c>
      <c r="F86" s="228">
        <f t="array" ref="F86">IFERROR(INDEX(Usage!$B$5:$P$18,MATCH($B86,Usage!$B$5:$B$18,0),MATCH($C86&amp;$D86&amp;$E86,Usage!$B$5:$S$5&amp;Usage!$B$6:$S$6&amp;Usage!$B$7:$S$7,0)),0)</f>
        <v>10000</v>
      </c>
      <c r="G86" s="3" t="s">
        <v>145</v>
      </c>
      <c r="H86" s="224"/>
      <c r="I86" s="224"/>
      <c r="J86" s="224"/>
      <c r="K86" s="246"/>
      <c r="L86" s="246"/>
      <c r="M86" s="246"/>
      <c r="N86" s="243"/>
      <c r="O86" s="224"/>
      <c r="P86" s="224">
        <f t="array" ref="P86">IFERROR(INDEX('Detail inputs'!$B$3:$K$193,MATCH($B86&amp;$G86&amp;P$5,'Detail inputs'!$B$3:$B$193&amp;'Detail inputs'!$G$3:$G$193&amp;'Detail inputs'!$H$3:$H$193,0),MATCH(P$4,'Detail inputs'!$B$3:$K$3,0)),0)</f>
        <v>2.56</v>
      </c>
      <c r="Q86" s="224">
        <f t="shared" si="36"/>
        <v>25.6</v>
      </c>
      <c r="R86" s="246">
        <f>IFERROR(Q86/Q88,"")</f>
        <v>2.0603621730382295E-2</v>
      </c>
    </row>
    <row r="87" spans="2:22" outlineLevel="1" x14ac:dyDescent="0.35">
      <c r="B87" s="3" t="str">
        <f t="shared" si="35"/>
        <v>Endeavour</v>
      </c>
      <c r="C87" s="3" t="str">
        <f t="shared" si="33"/>
        <v>Small business</v>
      </c>
      <c r="D87" s="3" t="str">
        <f t="shared" si="34"/>
        <v>without CL</v>
      </c>
      <c r="E87" s="3" t="s">
        <v>21</v>
      </c>
      <c r="F87" s="228">
        <f t="array" ref="F87">IFERROR(INDEX(Usage!$B$5:$P$18,MATCH($B87,Usage!$B$5:$B$18,0),MATCH($C87&amp;$D87&amp;$E87,Usage!$B$5:$S$5&amp;Usage!$B$6:$S$6&amp;Usage!$B$7:$S$7,0)),0)</f>
        <v>10000</v>
      </c>
      <c r="G87" s="3" t="s">
        <v>69</v>
      </c>
      <c r="H87" s="224"/>
      <c r="I87" s="224"/>
      <c r="J87" s="224"/>
      <c r="K87" s="246"/>
      <c r="L87" s="246"/>
      <c r="M87" s="246"/>
      <c r="N87" s="243"/>
      <c r="O87" s="224"/>
      <c r="P87" s="224">
        <f t="array" ref="P87">ROUND(IFERROR(INDEX('Detail inputs'!$B$3:$K$193,MATCH($B87&amp;$C87&amp;$E87&amp;$G87&amp;P$5,'Detail inputs'!$B$3:$B$193&amp;'Detail inputs'!$D$3:$D$193&amp;'Detail inputs'!$F$3:$F$193&amp;'Detail inputs'!$G$3:$G$193&amp;'Detail inputs'!$H$3:$H$193,0),MATCH(P$4,'Detail inputs'!$B$3:$K$3,0)),0)*SUM(P82:P86),2)</f>
        <v>7.03</v>
      </c>
      <c r="Q87" s="224">
        <f t="shared" si="36"/>
        <v>70.3</v>
      </c>
      <c r="R87" s="246">
        <f>IFERROR(Q87/Q88,"")</f>
        <v>5.6579476861167002E-2</v>
      </c>
    </row>
    <row r="88" spans="2:22" s="60" customFormat="1" x14ac:dyDescent="0.35">
      <c r="B88" s="3" t="str">
        <f t="shared" si="35"/>
        <v>Endeavour</v>
      </c>
      <c r="C88" s="3" t="str">
        <f t="shared" si="33"/>
        <v>Small business</v>
      </c>
      <c r="D88" s="3" t="str">
        <f t="shared" si="34"/>
        <v>without CL</v>
      </c>
      <c r="E88" s="3" t="s">
        <v>21</v>
      </c>
      <c r="F88" s="228">
        <f t="array" ref="F88">IFERROR(INDEX(Usage!$B$5:$P$18,MATCH($B88,Usage!$B$5:$B$18,0),MATCH($C88&amp;$D88&amp;$E88,Usage!$B$5:$S$5&amp;Usage!$B$6:$S$6&amp;Usage!$B$7:$S$7,0)),0)</f>
        <v>10000</v>
      </c>
      <c r="G88" s="60" t="s">
        <v>53</v>
      </c>
      <c r="H88" s="226"/>
      <c r="I88" s="226"/>
      <c r="J88" s="224"/>
      <c r="K88" s="247"/>
      <c r="L88" s="259"/>
      <c r="M88" s="247"/>
      <c r="N88" s="253"/>
      <c r="O88" s="226"/>
      <c r="P88" s="226">
        <f t="array" ref="P88">INDEX('Key inputs'!$B$16:$N$40,MATCH($B88&amp;$C88&amp;$E88,'Key inputs'!$B$16:$B$40&amp;'Key inputs'!$C$16:$C$40&amp;'Key inputs'!$D$16:$D$40,0),MATCH($A$2&amp;P$4,'Key inputs'!$B$17:$N$17&amp;'Key inputs'!$B$18:$N$18,0))</f>
        <v>124.25</v>
      </c>
      <c r="Q88" s="224">
        <f t="shared" si="36"/>
        <v>1242.5</v>
      </c>
      <c r="R88" s="247"/>
      <c r="S88" s="97"/>
      <c r="T88" s="97"/>
      <c r="U88" s="97"/>
      <c r="V88" s="97"/>
    </row>
    <row r="89" spans="2:22" outlineLevel="1" x14ac:dyDescent="0.35">
      <c r="B89" s="3" t="str">
        <f t="shared" si="35"/>
        <v>Endeavour</v>
      </c>
      <c r="C89" s="3" t="str">
        <f t="shared" si="33"/>
        <v>Small business</v>
      </c>
      <c r="D89" s="3" t="str">
        <f t="shared" si="34"/>
        <v>without CL</v>
      </c>
      <c r="F89" s="228"/>
      <c r="G89" s="60" t="s">
        <v>35</v>
      </c>
      <c r="H89" s="226"/>
      <c r="I89" s="226"/>
      <c r="J89" s="226"/>
      <c r="K89" s="247"/>
      <c r="L89" s="259"/>
      <c r="M89" s="247"/>
      <c r="N89" s="253"/>
      <c r="O89" s="226"/>
      <c r="P89" s="226"/>
      <c r="Q89" s="226">
        <f>Q88*GST</f>
        <v>124.25</v>
      </c>
      <c r="R89" s="248"/>
    </row>
    <row r="90" spans="2:22" x14ac:dyDescent="0.35">
      <c r="B90" s="3" t="str">
        <f t="shared" si="35"/>
        <v>Endeavour</v>
      </c>
      <c r="C90" s="3" t="str">
        <f t="shared" si="33"/>
        <v>Small business</v>
      </c>
      <c r="D90" s="3" t="str">
        <f t="shared" si="34"/>
        <v>without CL</v>
      </c>
      <c r="F90" s="228"/>
      <c r="G90" s="5" t="s">
        <v>77</v>
      </c>
      <c r="H90" s="227"/>
      <c r="I90" s="227"/>
      <c r="J90" s="227"/>
      <c r="K90" s="248"/>
      <c r="L90" s="260"/>
      <c r="M90" s="248"/>
      <c r="N90" s="254"/>
      <c r="O90" s="227"/>
      <c r="P90" s="227"/>
      <c r="Q90" s="227">
        <f>SUM(Q88:Q89)</f>
        <v>1366.75</v>
      </c>
      <c r="R90" s="248"/>
    </row>
    <row r="91" spans="2:22" x14ac:dyDescent="0.35">
      <c r="F91" s="228"/>
      <c r="H91" s="224"/>
      <c r="I91" s="224"/>
      <c r="J91" s="224"/>
      <c r="K91" s="246"/>
      <c r="L91" s="261"/>
      <c r="M91" s="246"/>
      <c r="N91" s="252"/>
      <c r="O91" s="224"/>
      <c r="P91" s="224"/>
      <c r="Q91" s="224"/>
      <c r="R91" s="246"/>
    </row>
    <row r="92" spans="2:22" x14ac:dyDescent="0.35">
      <c r="B92" s="5" t="s">
        <v>3</v>
      </c>
      <c r="C92" s="5" t="s">
        <v>6</v>
      </c>
      <c r="D92" s="5" t="s">
        <v>136</v>
      </c>
      <c r="F92" s="228"/>
      <c r="H92" s="224"/>
      <c r="I92" s="224"/>
      <c r="J92" s="224"/>
      <c r="K92" s="246"/>
      <c r="L92" s="261"/>
      <c r="M92" s="246"/>
      <c r="N92" s="252"/>
      <c r="O92" s="224"/>
      <c r="P92" s="224"/>
      <c r="Q92" s="224"/>
      <c r="R92" s="246"/>
    </row>
    <row r="93" spans="2:22" outlineLevel="1" x14ac:dyDescent="0.35">
      <c r="B93" s="3" t="str">
        <f>B92</f>
        <v>Essential</v>
      </c>
      <c r="C93" s="3" t="str">
        <f t="shared" ref="C93:C101" si="37">C92</f>
        <v>Residential</v>
      </c>
      <c r="D93" s="3" t="str">
        <f t="shared" ref="D93:D101" si="38">D92</f>
        <v>without CL</v>
      </c>
      <c r="E93" s="3" t="s">
        <v>21</v>
      </c>
      <c r="F93" s="228">
        <f t="array" ref="F93">IFERROR(INDEX(Usage!$B$5:$P$18,MATCH($B93,Usage!$B$5:$B$18,0),MATCH($C93&amp;$D93&amp;$E93&amp;"Total",Usage!$B$5:$S$5&amp;Usage!$B$6:$S$6&amp;Usage!$B$7:$S$7&amp;Usage!$B$13:$S$13,0)),0)</f>
        <v>4600</v>
      </c>
      <c r="G93" s="3" t="s">
        <v>66</v>
      </c>
      <c r="H93" s="224"/>
      <c r="I93" s="224">
        <f t="array" ref="I93">IFERROR(INDEX('Detail inputs'!$B$3:$K$193,MATCH($B93&amp;$C93&amp;$E93&amp;$G93&amp;I$5,'Detail inputs'!$B$3:$B$193&amp;'Detail inputs'!$D$3:$D$193&amp;'Detail inputs'!$F$3:$F$193&amp;'Detail inputs'!$G$3:$G$193&amp;'Detail inputs'!$H$3:$H$193,0),MATCH(I$4,'Detail inputs'!$B$3:$K$3,0)),0)</f>
        <v>74.52</v>
      </c>
      <c r="J93" s="224">
        <f>IF(AND(H93="",I93=""),"",H93+I93*$F93/1000)</f>
        <v>342.79199999999997</v>
      </c>
      <c r="K93" s="246">
        <f>IFERROR(J93/J99,"")</f>
        <v>0.92755787901418951</v>
      </c>
      <c r="L93" s="246"/>
      <c r="M93" s="246">
        <f t="shared" ref="M93:M99" si="39">IF(OR(J93=0,Q93=""),"",Q93/J93-1)</f>
        <v>0.44457863660762231</v>
      </c>
      <c r="N93" s="243"/>
      <c r="O93" s="224"/>
      <c r="P93" s="224">
        <f t="array" ref="P93">IFERROR(INDEX('Detail inputs'!$B$3:$K$193,MATCH($B93&amp;$C93&amp;$E93&amp;$G93&amp;P$5,'Detail inputs'!$B$3:$B$193&amp;'Detail inputs'!$D$3:$D$193&amp;'Detail inputs'!$F$3:$F$193&amp;'Detail inputs'!$G$3:$G$193&amp;'Detail inputs'!$H$3:$H$193,0),MATCH(P$4,'Detail inputs'!$B$3:$K$3,0)),0)</f>
        <v>107.65</v>
      </c>
      <c r="Q93" s="224">
        <f>IF(AND(O93="",P93=""),"",O93+P93*$F93/1000)</f>
        <v>495.19</v>
      </c>
      <c r="R93" s="246">
        <f>IFERROR(Q93/Q99,"")</f>
        <v>0.92825730792446326</v>
      </c>
    </row>
    <row r="94" spans="2:22" outlineLevel="1" x14ac:dyDescent="0.35">
      <c r="B94" s="3" t="str">
        <f t="shared" ref="B94:B101" si="40">B93</f>
        <v>Essential</v>
      </c>
      <c r="C94" s="3" t="str">
        <f t="shared" si="37"/>
        <v>Residential</v>
      </c>
      <c r="D94" s="3" t="str">
        <f t="shared" si="38"/>
        <v>without CL</v>
      </c>
      <c r="E94" s="3" t="s">
        <v>21</v>
      </c>
      <c r="F94" s="228">
        <f t="array" ref="F94">IFERROR(INDEX(Usage!$B$5:$P$18,MATCH($B94,Usage!$B$5:$B$18,0),MATCH($C94&amp;$D94&amp;$E94&amp;"Total",Usage!$B$5:$S$5&amp;Usage!$B$6:$S$6&amp;Usage!$B$7:$S$7&amp;Usage!$B$13:$S$13,0)),0)</f>
        <v>4600</v>
      </c>
      <c r="G94" s="3" t="s">
        <v>67</v>
      </c>
      <c r="H94" s="224"/>
      <c r="I94" s="224">
        <f t="array" ref="I94">IFERROR(INDEX('Detail inputs'!$B$3:$K$193,MATCH($B94&amp;$G94&amp;I$5,'Detail inputs'!$B$3:$B$193&amp;'Detail inputs'!$G$3:$G$193&amp;'Detail inputs'!$H$3:$H$193,0),MATCH(I$4,'Detail inputs'!$B$3:$K$3,0)),0)</f>
        <v>0.28000000000000003</v>
      </c>
      <c r="J94" s="224">
        <f t="shared" ref="J94:J99" si="41">IF(AND(H94="",I94=""),"",H94+I94*$F94/1000)</f>
        <v>1.2880000000000003</v>
      </c>
      <c r="K94" s="246">
        <f>IFERROR(J94/J99,"")</f>
        <v>3.4851879512073692E-3</v>
      </c>
      <c r="L94" s="246"/>
      <c r="M94" s="246">
        <f t="shared" si="39"/>
        <v>0.21428571428571419</v>
      </c>
      <c r="N94" s="243"/>
      <c r="O94" s="224"/>
      <c r="P94" s="224">
        <f t="array" ref="P94">IFERROR(INDEX('Detail inputs'!$B$3:$K$193,MATCH($B94&amp;$G94&amp;P$5,'Detail inputs'!$B$3:$B$193&amp;'Detail inputs'!$G$3:$G$193&amp;'Detail inputs'!$H$3:$H$193,0),MATCH(P$4,'Detail inputs'!$B$3:$K$3,0)),0)</f>
        <v>0.34</v>
      </c>
      <c r="Q94" s="224">
        <f t="shared" ref="Q94:Q99" si="42">IF(AND(O94="",P94=""),"",O94+P94*$F94/1000)</f>
        <v>1.5640000000000001</v>
      </c>
      <c r="R94" s="246">
        <f>IFERROR(Q94/Q99,"")</f>
        <v>2.9317927050099167E-3</v>
      </c>
    </row>
    <row r="95" spans="2:22" outlineLevel="1" x14ac:dyDescent="0.35">
      <c r="B95" s="3" t="str">
        <f t="shared" si="40"/>
        <v>Essential</v>
      </c>
      <c r="C95" s="3" t="str">
        <f t="shared" si="37"/>
        <v>Residential</v>
      </c>
      <c r="D95" s="3" t="str">
        <f t="shared" si="38"/>
        <v>without CL</v>
      </c>
      <c r="E95" s="3" t="s">
        <v>21</v>
      </c>
      <c r="F95" s="228">
        <f t="array" ref="F95">IFERROR(INDEX(Usage!$B$5:$P$18,MATCH($B95,Usage!$B$5:$B$18,0),MATCH($C95&amp;$D95&amp;$E95&amp;"Total",Usage!$B$5:$S$5&amp;Usage!$B$6:$S$6&amp;Usage!$B$7:$S$7&amp;Usage!$B$13:$S$13,0)),0)</f>
        <v>4600</v>
      </c>
      <c r="G95" s="3" t="s">
        <v>75</v>
      </c>
      <c r="H95" s="224"/>
      <c r="I95" s="224">
        <f t="array" ref="I95">IFERROR(INDEX('Detail inputs'!$B$3:$K$193,MATCH($B95&amp;$G95&amp;I$5,'Detail inputs'!$B$3:$B$193&amp;'Detail inputs'!$G$3:$G$193&amp;'Detail inputs'!$H$3:$H$193,0),MATCH(I$4,'Detail inputs'!$B$3:$K$3,0)),0)</f>
        <v>0.49</v>
      </c>
      <c r="J95" s="224">
        <f t="shared" si="41"/>
        <v>2.254</v>
      </c>
      <c r="K95" s="246">
        <f>IFERROR(J95/J99,"")</f>
        <v>6.0990789146128949E-3</v>
      </c>
      <c r="L95" s="246"/>
      <c r="M95" s="246">
        <f t="shared" si="39"/>
        <v>1.2448979591836733</v>
      </c>
      <c r="N95" s="243"/>
      <c r="O95" s="224"/>
      <c r="P95" s="224">
        <f t="array" ref="P95">IFERROR(INDEX('Detail inputs'!$B$3:$K$193,MATCH($B95&amp;$G95&amp;P$5,'Detail inputs'!$B$3:$B$193&amp;'Detail inputs'!$G$3:$G$193&amp;'Detail inputs'!$H$3:$H$193,0),MATCH(P$4,'Detail inputs'!$B$3:$K$3,0)),0)</f>
        <v>1.1000000000000001</v>
      </c>
      <c r="Q95" s="224">
        <f t="shared" si="42"/>
        <v>5.0599999999999996</v>
      </c>
      <c r="R95" s="246">
        <f>IFERROR(Q95/Q99,"")</f>
        <v>9.4852116926791401E-3</v>
      </c>
    </row>
    <row r="96" spans="2:22" outlineLevel="1" x14ac:dyDescent="0.35">
      <c r="B96" s="3" t="str">
        <f t="shared" si="40"/>
        <v>Essential</v>
      </c>
      <c r="C96" s="3" t="str">
        <f t="shared" si="37"/>
        <v>Residential</v>
      </c>
      <c r="D96" s="3" t="str">
        <f t="shared" si="38"/>
        <v>without CL</v>
      </c>
      <c r="E96" s="3" t="s">
        <v>21</v>
      </c>
      <c r="F96" s="228">
        <f t="array" ref="F96">IFERROR(INDEX(Usage!$B$5:$P$18,MATCH($B96,Usage!$B$5:$B$18,0),MATCH($C96&amp;$D96&amp;$E96&amp;"Total",Usage!$B$5:$S$5&amp;Usage!$B$6:$S$6&amp;Usage!$B$7:$S$7&amp;Usage!$B$13:$S$13,0)),0)</f>
        <v>4600</v>
      </c>
      <c r="G96" s="3" t="s">
        <v>68</v>
      </c>
      <c r="H96" s="224"/>
      <c r="I96" s="224">
        <f t="array" ref="I96">IFERROR(INDEX('Detail inputs'!$B$3:$K$193,MATCH($B96&amp;$G96&amp;I$5,'Detail inputs'!$B$3:$B$193&amp;'Detail inputs'!$G$3:$G$193&amp;'Detail inputs'!$H$3:$H$193,0),MATCH(I$4,'Detail inputs'!$B$3:$K$3,0)),0)</f>
        <v>0</v>
      </c>
      <c r="J96" s="224">
        <f t="shared" si="41"/>
        <v>0</v>
      </c>
      <c r="K96" s="246">
        <f>IFERROR(J96/J99,"")</f>
        <v>0</v>
      </c>
      <c r="L96" s="246"/>
      <c r="M96" s="246" t="str">
        <f t="shared" si="39"/>
        <v/>
      </c>
      <c r="N96" s="243"/>
      <c r="O96" s="224"/>
      <c r="P96" s="224">
        <f t="array" ref="P96">IFERROR(INDEX('Detail inputs'!$B$3:$K$193,MATCH($B96&amp;$G96&amp;P$5,'Detail inputs'!$B$3:$B$193&amp;'Detail inputs'!$G$3:$G$193&amp;'Detail inputs'!$H$3:$H$193,0),MATCH(P$4,'Detail inputs'!$B$3:$K$3,0)),0)</f>
        <v>0</v>
      </c>
      <c r="Q96" s="224">
        <f t="shared" si="42"/>
        <v>0</v>
      </c>
      <c r="R96" s="246">
        <f>IFERROR(Q96/Q99,"")</f>
        <v>0</v>
      </c>
    </row>
    <row r="97" spans="2:22" outlineLevel="1" x14ac:dyDescent="0.35">
      <c r="B97" s="3" t="str">
        <f t="shared" si="40"/>
        <v>Essential</v>
      </c>
      <c r="C97" s="3" t="str">
        <f t="shared" si="37"/>
        <v>Residential</v>
      </c>
      <c r="D97" s="3" t="str">
        <f t="shared" si="38"/>
        <v>without CL</v>
      </c>
      <c r="E97" s="3" t="s">
        <v>21</v>
      </c>
      <c r="F97" s="228">
        <f t="array" ref="F97">IFERROR(INDEX(Usage!$B$5:$P$18,MATCH($B97,Usage!$B$5:$B$18,0),MATCH($C97&amp;$D97&amp;$E97&amp;"Total",Usage!$B$5:$S$5&amp;Usage!$B$6:$S$6&amp;Usage!$B$7:$S$7&amp;Usage!$B$13:$S$13,0)),0)</f>
        <v>4600</v>
      </c>
      <c r="G97" s="3" t="s">
        <v>145</v>
      </c>
      <c r="H97" s="224"/>
      <c r="I97" s="224">
        <f t="array" ref="I97">IFERROR(INDEX('Detail inputs'!$B$3:$K$193,MATCH($B97&amp;$G97&amp;I$5,'Detail inputs'!$B$3:$B$193&amp;'Detail inputs'!$G$3:$G$193&amp;'Detail inputs'!$H$3:$H$193,0),MATCH(I$4,'Detail inputs'!$B$3:$K$3,0)),0)</f>
        <v>1.59</v>
      </c>
      <c r="J97" s="224">
        <f t="shared" si="41"/>
        <v>7.3140000000000001</v>
      </c>
      <c r="K97" s="246">
        <f>IFERROR(J97/J99,"")</f>
        <v>1.9790888722927558E-2</v>
      </c>
      <c r="L97" s="246"/>
      <c r="M97" s="246">
        <f t="shared" si="39"/>
        <v>0.45283018867924518</v>
      </c>
      <c r="N97" s="243"/>
      <c r="O97" s="224"/>
      <c r="P97" s="224">
        <f t="array" ref="P97">IFERROR(INDEX('Detail inputs'!$B$3:$K$193,MATCH($B97&amp;$G97&amp;P$5,'Detail inputs'!$B$3:$B$193&amp;'Detail inputs'!$G$3:$G$193&amp;'Detail inputs'!$H$3:$H$193,0),MATCH(P$4,'Detail inputs'!$B$3:$K$3,0)),0)</f>
        <v>2.31</v>
      </c>
      <c r="Q97" s="224">
        <f t="shared" si="42"/>
        <v>10.625999999999999</v>
      </c>
      <c r="R97" s="246">
        <f>IFERROR(Q97/Q99,"")</f>
        <v>1.9918944554626197E-2</v>
      </c>
    </row>
    <row r="98" spans="2:22" outlineLevel="1" x14ac:dyDescent="0.35">
      <c r="B98" s="3" t="str">
        <f t="shared" si="40"/>
        <v>Essential</v>
      </c>
      <c r="C98" s="3" t="str">
        <f t="shared" si="37"/>
        <v>Residential</v>
      </c>
      <c r="D98" s="3" t="str">
        <f t="shared" si="38"/>
        <v>without CL</v>
      </c>
      <c r="E98" s="3" t="s">
        <v>21</v>
      </c>
      <c r="F98" s="228">
        <f t="array" ref="F98">IFERROR(INDEX(Usage!$B$5:$P$18,MATCH($B98,Usage!$B$5:$B$18,0),MATCH($C98&amp;$D98&amp;$E98&amp;"Total",Usage!$B$5:$S$5&amp;Usage!$B$6:$S$6&amp;Usage!$B$7:$S$7&amp;Usage!$B$13:$S$13,0)),0)</f>
        <v>4600</v>
      </c>
      <c r="G98" s="3" t="s">
        <v>69</v>
      </c>
      <c r="H98" s="224"/>
      <c r="I98" s="224">
        <f t="array" ref="I98">ROUND(IFERROR(INDEX('Detail inputs'!$B$3:$K$193,MATCH($B98&amp;$C98&amp;$E98&amp;$G98&amp;I$5,'Detail inputs'!$B$3:$B$193&amp;'Detail inputs'!$D$3:$D$193&amp;'Detail inputs'!$F$3:$F$193&amp;'Detail inputs'!$G$3:$G$193&amp;'Detail inputs'!$H$3:$H$193,0),MATCH(I$4,'Detail inputs'!$B$3:$K$3,0)),0)*SUM(I93:I97),2)</f>
        <v>3.46</v>
      </c>
      <c r="J98" s="224">
        <f t="shared" si="41"/>
        <v>15.916</v>
      </c>
      <c r="K98" s="246">
        <f>IFERROR(J98/J99,"")</f>
        <v>4.3066965397062486E-2</v>
      </c>
      <c r="L98" s="246"/>
      <c r="M98" s="246">
        <f t="shared" si="39"/>
        <v>0.32080924855491322</v>
      </c>
      <c r="N98" s="243"/>
      <c r="O98" s="224"/>
      <c r="P98" s="224">
        <f t="array" ref="P98">ROUND(IFERROR(INDEX('Detail inputs'!$B$3:$K$193,MATCH($B98&amp;$C98&amp;$E98&amp;$G98&amp;P$5,'Detail inputs'!$B$3:$B$193&amp;'Detail inputs'!$D$3:$D$193&amp;'Detail inputs'!$F$3:$F$193&amp;'Detail inputs'!$G$3:$G$193&amp;'Detail inputs'!$H$3:$H$193,0),MATCH(P$4,'Detail inputs'!$B$3:$K$3,0)),0)*SUM(P93:P97),2)</f>
        <v>4.57</v>
      </c>
      <c r="Q98" s="224">
        <f t="shared" si="42"/>
        <v>21.021999999999998</v>
      </c>
      <c r="R98" s="246">
        <f>IFERROR(Q98/Q99,"")</f>
        <v>3.9406743123221517E-2</v>
      </c>
    </row>
    <row r="99" spans="2:22" s="60" customFormat="1" x14ac:dyDescent="0.35">
      <c r="B99" s="3" t="str">
        <f t="shared" si="40"/>
        <v>Essential</v>
      </c>
      <c r="C99" s="3" t="str">
        <f t="shared" si="37"/>
        <v>Residential</v>
      </c>
      <c r="D99" s="3" t="str">
        <f t="shared" si="38"/>
        <v>without CL</v>
      </c>
      <c r="E99" s="3" t="s">
        <v>21</v>
      </c>
      <c r="F99" s="228">
        <f t="array" ref="F99">IFERROR(INDEX(Usage!$B$5:$P$18,MATCH($B99,Usage!$B$5:$B$18,0),MATCH($C99&amp;$D99&amp;$E99&amp;"Total",Usage!$B$5:$S$5&amp;Usage!$B$6:$S$6&amp;Usage!$B$7:$S$7&amp;Usage!$B$13:$S$13,0)),0)</f>
        <v>4600</v>
      </c>
      <c r="G99" s="60" t="s">
        <v>53</v>
      </c>
      <c r="H99" s="226"/>
      <c r="I99" s="226">
        <f t="array" ref="I99">INDEX('Key inputs'!$B$16:$N$40,MATCH($B99&amp;$C99&amp;$E99,'Key inputs'!$B$16:$B$40&amp;'Key inputs'!$C$16:$C$40&amp;'Key inputs'!$D$16:$D$40,0),MATCH($A$2&amp;I$4,'Key inputs'!$B$17:$N$17&amp;'Key inputs'!$B$18:$N$18,0))</f>
        <v>80.34</v>
      </c>
      <c r="J99" s="224">
        <f t="shared" si="41"/>
        <v>369.56400000000002</v>
      </c>
      <c r="K99" s="247"/>
      <c r="L99" s="259"/>
      <c r="M99" s="247">
        <f t="shared" si="39"/>
        <v>0.44349016679113751</v>
      </c>
      <c r="N99" s="253"/>
      <c r="O99" s="226"/>
      <c r="P99" s="226">
        <f t="array" ref="P99">INDEX('Key inputs'!$B$16:$N$40,MATCH($B99&amp;$C99&amp;$E99,'Key inputs'!$B$16:$B$40&amp;'Key inputs'!$C$16:$C$40&amp;'Key inputs'!$D$16:$D$40,0),MATCH($A$2&amp;P$4,'Key inputs'!$B$17:$N$17&amp;'Key inputs'!$B$18:$N$18,0))</f>
        <v>115.97</v>
      </c>
      <c r="Q99" s="224">
        <f t="shared" si="42"/>
        <v>533.46199999999999</v>
      </c>
      <c r="R99" s="247"/>
      <c r="S99" s="97"/>
      <c r="T99" s="97"/>
      <c r="U99" s="97"/>
      <c r="V99" s="97"/>
    </row>
    <row r="100" spans="2:22" outlineLevel="1" x14ac:dyDescent="0.35">
      <c r="B100" s="3" t="str">
        <f t="shared" si="40"/>
        <v>Essential</v>
      </c>
      <c r="C100" s="3" t="str">
        <f t="shared" si="37"/>
        <v>Residential</v>
      </c>
      <c r="D100" s="3" t="str">
        <f t="shared" si="38"/>
        <v>without CL</v>
      </c>
      <c r="F100" s="228"/>
      <c r="G100" s="60" t="s">
        <v>35</v>
      </c>
      <c r="H100" s="226"/>
      <c r="I100" s="226"/>
      <c r="J100" s="226">
        <f>J99*GST</f>
        <v>36.956400000000002</v>
      </c>
      <c r="K100" s="247"/>
      <c r="L100" s="259"/>
      <c r="M100" s="247"/>
      <c r="N100" s="253"/>
      <c r="O100" s="226"/>
      <c r="P100" s="226"/>
      <c r="Q100" s="226">
        <f>Q99*GST</f>
        <v>53.346200000000003</v>
      </c>
      <c r="R100" s="248"/>
    </row>
    <row r="101" spans="2:22" x14ac:dyDescent="0.35">
      <c r="B101" s="3" t="str">
        <f t="shared" si="40"/>
        <v>Essential</v>
      </c>
      <c r="C101" s="3" t="str">
        <f t="shared" si="37"/>
        <v>Residential</v>
      </c>
      <c r="D101" s="3" t="str">
        <f t="shared" si="38"/>
        <v>without CL</v>
      </c>
      <c r="F101" s="228"/>
      <c r="G101" s="5" t="s">
        <v>77</v>
      </c>
      <c r="H101" s="227"/>
      <c r="I101" s="227"/>
      <c r="J101" s="227">
        <f>SUM(J99:J100)</f>
        <v>406.5204</v>
      </c>
      <c r="K101" s="248"/>
      <c r="L101" s="260"/>
      <c r="M101" s="248">
        <f>IF(OR(J101=0,Q101=""),"",Q101/J101-1)</f>
        <v>0.44349016679113751</v>
      </c>
      <c r="N101" s="254"/>
      <c r="O101" s="227"/>
      <c r="P101" s="227"/>
      <c r="Q101" s="227">
        <f>SUM(Q99:Q100)</f>
        <v>586.80819999999994</v>
      </c>
      <c r="R101" s="248"/>
    </row>
    <row r="102" spans="2:22" x14ac:dyDescent="0.35">
      <c r="F102" s="228"/>
      <c r="H102" s="224"/>
      <c r="I102" s="224"/>
      <c r="J102" s="224"/>
      <c r="K102" s="246"/>
      <c r="L102" s="261"/>
      <c r="M102" s="246"/>
      <c r="N102" s="252"/>
      <c r="O102" s="224"/>
      <c r="P102" s="224"/>
      <c r="Q102" s="224"/>
      <c r="R102" s="246"/>
    </row>
    <row r="103" spans="2:22" x14ac:dyDescent="0.35">
      <c r="B103" s="5" t="s">
        <v>3</v>
      </c>
      <c r="C103" s="5" t="s">
        <v>6</v>
      </c>
      <c r="D103" s="5" t="s">
        <v>137</v>
      </c>
      <c r="F103" s="228"/>
      <c r="H103" s="224"/>
      <c r="I103" s="224"/>
      <c r="J103" s="224"/>
      <c r="K103" s="246"/>
      <c r="L103" s="261"/>
      <c r="M103" s="246"/>
      <c r="N103" s="252"/>
      <c r="O103" s="224"/>
      <c r="P103" s="224"/>
      <c r="Q103" s="224"/>
      <c r="R103" s="246"/>
    </row>
    <row r="104" spans="2:22" outlineLevel="1" x14ac:dyDescent="0.35">
      <c r="B104" s="3" t="str">
        <f>B103</f>
        <v>Essential</v>
      </c>
      <c r="C104" s="3" t="str">
        <f t="shared" ref="C104:C121" si="43">C103</f>
        <v>Residential</v>
      </c>
      <c r="D104" s="3" t="str">
        <f t="shared" ref="D104:D121" si="44">D103</f>
        <v>with CL</v>
      </c>
      <c r="E104" s="3" t="s">
        <v>21</v>
      </c>
      <c r="F104" s="228">
        <f t="array" ref="F104">IFERROR(INDEX(Usage!$B$5:$P$18,MATCH($B104,Usage!$B$5:$B$18,0),MATCH($C104&amp;$D104&amp;$E104&amp;"Total",Usage!$B$5:$S$5&amp;Usage!$B$6:$S$6&amp;Usage!$B$7:$S$7&amp;Usage!$B$13:$S$13,0)),0)</f>
        <v>4600</v>
      </c>
      <c r="G104" s="3" t="s">
        <v>53</v>
      </c>
      <c r="H104" s="224"/>
      <c r="I104" s="226">
        <f t="array" ref="I104">INDEX('Key inputs'!$B$16:$N$40,MATCH($B104&amp;$C104&amp;$E104,'Key inputs'!$B$16:$B$40&amp;'Key inputs'!$C$16:$C$40&amp;'Key inputs'!$D$16:$D$40,0),MATCH($A$2&amp;I$4,'Key inputs'!$B$17:$N$17&amp;'Key inputs'!$B$18:$N$18,0))</f>
        <v>80.34</v>
      </c>
      <c r="J104" s="224">
        <f>IF(AND(H104="",I104=""),"",H104+I104*$F104/1000)</f>
        <v>369.56400000000002</v>
      </c>
      <c r="K104" s="246"/>
      <c r="L104" s="261"/>
      <c r="M104" s="246">
        <f>IF(OR(J104=0,Q104=""),"",Q104/J104-1)</f>
        <v>0.44349016679113751</v>
      </c>
      <c r="N104" s="252"/>
      <c r="O104" s="224"/>
      <c r="P104" s="226">
        <f t="array" ref="P104">INDEX('Key inputs'!$B$16:$N$40,MATCH($B104&amp;$C104&amp;$E104,'Key inputs'!$B$16:$B$40&amp;'Key inputs'!$C$16:$C$40&amp;'Key inputs'!$D$16:$D$40,0),MATCH($A$2&amp;P$4,'Key inputs'!$B$17:$N$17&amp;'Key inputs'!$B$18:$N$18,0))</f>
        <v>115.97</v>
      </c>
      <c r="Q104" s="224">
        <f>IF(AND(O104="",P104=""),"",O104+P104*$F104/1000)</f>
        <v>533.46199999999999</v>
      </c>
      <c r="R104" s="246"/>
    </row>
    <row r="105" spans="2:22" outlineLevel="1" x14ac:dyDescent="0.35">
      <c r="B105" s="3" t="str">
        <f t="shared" ref="B105:B121" si="45">B104</f>
        <v>Essential</v>
      </c>
      <c r="C105" s="3" t="str">
        <f t="shared" si="43"/>
        <v>Residential</v>
      </c>
      <c r="D105" s="3" t="str">
        <f t="shared" si="44"/>
        <v>with CL</v>
      </c>
      <c r="E105" s="3" t="s">
        <v>15</v>
      </c>
      <c r="F105" s="228">
        <f t="array" ref="F105">IFERROR(INDEX(Usage!$B$5:$P$18,MATCH($B105,Usage!$B$5:$B$18,0),MATCH($C105&amp;$D105&amp;$E105,Usage!$B$5:$S$5&amp;Usage!$B$6:$S$6&amp;Usage!$B$7:$S$7,0)),0)</f>
        <v>1540</v>
      </c>
      <c r="G105" s="3" t="s">
        <v>66</v>
      </c>
      <c r="H105" s="224"/>
      <c r="I105" s="224">
        <f t="array" ref="I105">IFERROR(INDEX('Detail inputs'!$B$3:$K$193,MATCH($B105&amp;$C105&amp;$E105&amp;$G105&amp;I$5,'Detail inputs'!$B$3:$B$193&amp;'Detail inputs'!$D$3:$D$193&amp;'Detail inputs'!$F$3:$F$193&amp;'Detail inputs'!$G$3:$G$193&amp;'Detail inputs'!$H$3:$H$193,0),MATCH(I$4,'Detail inputs'!$B$3:$K$3,0)),0)</f>
        <v>62.04</v>
      </c>
      <c r="J105" s="224">
        <f>IF(AND(H105="",I105=""),"",H105+I105*$F105/1000)</f>
        <v>95.541600000000003</v>
      </c>
      <c r="K105" s="246">
        <f>IFERROR(J105/J111,"")</f>
        <v>0.9218424962852898</v>
      </c>
      <c r="L105" s="246"/>
      <c r="M105" s="246">
        <f t="shared" ref="M105:M119" si="46">IF(OR(J105=0,Q105=""),"",Q105/J105-1)</f>
        <v>0.29400386847195348</v>
      </c>
      <c r="N105" s="243"/>
      <c r="O105" s="224"/>
      <c r="P105" s="224">
        <f t="array" ref="P105">IFERROR(INDEX('Detail inputs'!$B$3:$K$193,MATCH($B105&amp;$C105&amp;$E105&amp;$G105&amp;P$5,'Detail inputs'!$B$3:$B$193&amp;'Detail inputs'!$D$3:$D$193&amp;'Detail inputs'!$F$3:$F$193&amp;'Detail inputs'!$G$3:$G$193&amp;'Detail inputs'!$H$3:$H$193,0),MATCH(P$4,'Detail inputs'!$B$3:$K$3,0)),0)</f>
        <v>80.28</v>
      </c>
      <c r="Q105" s="224">
        <f>IF(AND(O105="",P105=""),"",O105+P105*$F105/1000)</f>
        <v>123.63119999999999</v>
      </c>
      <c r="R105" s="246">
        <f>IFERROR(Q105/Q111,"")</f>
        <v>0.91769547325102874</v>
      </c>
    </row>
    <row r="106" spans="2:22" outlineLevel="1" x14ac:dyDescent="0.35">
      <c r="B106" s="3" t="str">
        <f t="shared" si="45"/>
        <v>Essential</v>
      </c>
      <c r="C106" s="3" t="str">
        <f t="shared" si="43"/>
        <v>Residential</v>
      </c>
      <c r="D106" s="3" t="str">
        <f t="shared" si="44"/>
        <v>with CL</v>
      </c>
      <c r="E106" s="3" t="s">
        <v>15</v>
      </c>
      <c r="F106" s="228">
        <f t="array" ref="F106">IFERROR(INDEX(Usage!$B$5:$P$18,MATCH($B106,Usage!$B$5:$B$18,0),MATCH($C106&amp;$D106&amp;$E106,Usage!$B$5:$S$5&amp;Usage!$B$6:$S$6&amp;Usage!$B$7:$S$7,0)),0)</f>
        <v>1540</v>
      </c>
      <c r="G106" s="3" t="s">
        <v>67</v>
      </c>
      <c r="H106" s="224"/>
      <c r="I106" s="224">
        <f t="array" ref="I106">IFERROR(INDEX('Detail inputs'!$B$3:$K$193,MATCH($B106&amp;$G106&amp;I$5,'Detail inputs'!$B$3:$B$193&amp;'Detail inputs'!$G$3:$G$193&amp;'Detail inputs'!$H$3:$H$193,0),MATCH(I$4,'Detail inputs'!$B$3:$K$3,0)),0)</f>
        <v>0.28000000000000003</v>
      </c>
      <c r="J106" s="224">
        <f t="shared" ref="J106:J111" si="47">IF(AND(H106="",I106=""),"",H106+I106*$F106/1000)</f>
        <v>0.43120000000000003</v>
      </c>
      <c r="K106" s="246">
        <f>IFERROR(J106/J111,"")</f>
        <v>4.1604754829123337E-3</v>
      </c>
      <c r="L106" s="246"/>
      <c r="M106" s="246">
        <f t="shared" si="46"/>
        <v>0.21428571428571441</v>
      </c>
      <c r="N106" s="243"/>
      <c r="O106" s="224"/>
      <c r="P106" s="224">
        <f t="array" ref="P106">IFERROR(INDEX('Detail inputs'!$B$3:$K$193,MATCH($B106&amp;$G106&amp;P$5,'Detail inputs'!$B$3:$B$193&amp;'Detail inputs'!$G$3:$G$193&amp;'Detail inputs'!$H$3:$H$193,0),MATCH(P$4,'Detail inputs'!$B$3:$K$3,0)),0)</f>
        <v>0.34</v>
      </c>
      <c r="Q106" s="224">
        <f t="shared" ref="Q106:Q111" si="48">IF(AND(O106="",P106=""),"",O106+P106*$F106/1000)</f>
        <v>0.52360000000000007</v>
      </c>
      <c r="R106" s="246">
        <f>IFERROR(Q106/Q111,"")</f>
        <v>3.8866026520347511E-3</v>
      </c>
    </row>
    <row r="107" spans="2:22" outlineLevel="1" x14ac:dyDescent="0.35">
      <c r="B107" s="3" t="str">
        <f t="shared" si="45"/>
        <v>Essential</v>
      </c>
      <c r="C107" s="3" t="str">
        <f t="shared" si="43"/>
        <v>Residential</v>
      </c>
      <c r="D107" s="3" t="str">
        <f t="shared" si="44"/>
        <v>with CL</v>
      </c>
      <c r="E107" s="3" t="s">
        <v>15</v>
      </c>
      <c r="F107" s="228">
        <f t="array" ref="F107">IFERROR(INDEX(Usage!$B$5:$P$18,MATCH($B107,Usage!$B$5:$B$18,0),MATCH($C107&amp;$D107&amp;$E107,Usage!$B$5:$S$5&amp;Usage!$B$6:$S$6&amp;Usage!$B$7:$S$7,0)),0)</f>
        <v>1540</v>
      </c>
      <c r="G107" s="3" t="s">
        <v>75</v>
      </c>
      <c r="H107" s="224"/>
      <c r="I107" s="224">
        <f t="array" ref="I107">IFERROR(INDEX('Detail inputs'!$B$3:$K$193,MATCH($B107&amp;$G107&amp;I$5,'Detail inputs'!$B$3:$B$193&amp;'Detail inputs'!$G$3:$G$193&amp;'Detail inputs'!$H$3:$H$193,0),MATCH(I$4,'Detail inputs'!$B$3:$K$3,0)),0)</f>
        <v>0.49</v>
      </c>
      <c r="J107" s="224">
        <f t="shared" si="47"/>
        <v>0.75460000000000005</v>
      </c>
      <c r="K107" s="246">
        <f>IFERROR(J107/J111,"")</f>
        <v>7.2808320950965835E-3</v>
      </c>
      <c r="L107" s="246"/>
      <c r="M107" s="246">
        <f t="shared" si="46"/>
        <v>1.2448979591836737</v>
      </c>
      <c r="N107" s="243"/>
      <c r="O107" s="224"/>
      <c r="P107" s="224">
        <f t="array" ref="P107">IFERROR(INDEX('Detail inputs'!$B$3:$K$193,MATCH($B107&amp;$G107&amp;P$5,'Detail inputs'!$B$3:$B$193&amp;'Detail inputs'!$G$3:$G$193&amp;'Detail inputs'!$H$3:$H$193,0),MATCH(P$4,'Detail inputs'!$B$3:$K$3,0)),0)</f>
        <v>1.1000000000000001</v>
      </c>
      <c r="Q107" s="224">
        <f t="shared" si="48"/>
        <v>1.6940000000000002</v>
      </c>
      <c r="R107" s="246">
        <f>IFERROR(Q107/Q111,"")</f>
        <v>1.257430269775949E-2</v>
      </c>
    </row>
    <row r="108" spans="2:22" outlineLevel="1" x14ac:dyDescent="0.35">
      <c r="B108" s="3" t="str">
        <f t="shared" si="45"/>
        <v>Essential</v>
      </c>
      <c r="C108" s="3" t="str">
        <f t="shared" si="43"/>
        <v>Residential</v>
      </c>
      <c r="D108" s="3" t="str">
        <f t="shared" si="44"/>
        <v>with CL</v>
      </c>
      <c r="E108" s="3" t="s">
        <v>15</v>
      </c>
      <c r="F108" s="228">
        <f t="array" ref="F108">IFERROR(INDEX(Usage!$B$5:$P$18,MATCH($B108,Usage!$B$5:$B$18,0),MATCH($C108&amp;$D108&amp;$E108,Usage!$B$5:$S$5&amp;Usage!$B$6:$S$6&amp;Usage!$B$7:$S$7,0)),0)</f>
        <v>1540</v>
      </c>
      <c r="G108" s="3" t="s">
        <v>68</v>
      </c>
      <c r="H108" s="224"/>
      <c r="I108" s="224">
        <f t="array" ref="I108">IFERROR(INDEX('Detail inputs'!$B$3:$K$193,MATCH($B108&amp;$G108&amp;I$5,'Detail inputs'!$B$3:$B$193&amp;'Detail inputs'!$G$3:$G$193&amp;'Detail inputs'!$H$3:$H$193,0),MATCH(I$4,'Detail inputs'!$B$3:$K$3,0)),0)</f>
        <v>0</v>
      </c>
      <c r="J108" s="224">
        <f t="shared" si="47"/>
        <v>0</v>
      </c>
      <c r="K108" s="246">
        <f>IFERROR(J108/J111,"")</f>
        <v>0</v>
      </c>
      <c r="L108" s="246"/>
      <c r="M108" s="246" t="str">
        <f t="shared" si="46"/>
        <v/>
      </c>
      <c r="N108" s="243"/>
      <c r="O108" s="224"/>
      <c r="P108" s="224">
        <f t="array" ref="P108">IFERROR(INDEX('Detail inputs'!$B$3:$K$193,MATCH($B108&amp;$G108&amp;P$5,'Detail inputs'!$B$3:$B$193&amp;'Detail inputs'!$G$3:$G$193&amp;'Detail inputs'!$H$3:$H$193,0),MATCH(P$4,'Detail inputs'!$B$3:$K$3,0)),0)</f>
        <v>0</v>
      </c>
      <c r="Q108" s="224">
        <f t="shared" si="48"/>
        <v>0</v>
      </c>
      <c r="R108" s="246">
        <f>IFERROR(Q108/Q111,"")</f>
        <v>0</v>
      </c>
    </row>
    <row r="109" spans="2:22" outlineLevel="1" x14ac:dyDescent="0.35">
      <c r="B109" s="3" t="str">
        <f t="shared" si="45"/>
        <v>Essential</v>
      </c>
      <c r="C109" s="3" t="str">
        <f t="shared" si="43"/>
        <v>Residential</v>
      </c>
      <c r="D109" s="3" t="str">
        <f t="shared" si="44"/>
        <v>with CL</v>
      </c>
      <c r="E109" s="3" t="s">
        <v>15</v>
      </c>
      <c r="F109" s="228">
        <f t="array" ref="F109">IFERROR(INDEX(Usage!$B$5:$P$18,MATCH($B109,Usage!$B$5:$B$18,0),MATCH($C109&amp;$D109&amp;$E109,Usage!$B$5:$S$5&amp;Usage!$B$6:$S$6&amp;Usage!$B$7:$S$7,0)),0)</f>
        <v>1540</v>
      </c>
      <c r="G109" s="3" t="s">
        <v>145</v>
      </c>
      <c r="H109" s="224"/>
      <c r="I109" s="224">
        <f t="array" ref="I109">IFERROR(INDEX('Detail inputs'!$B$3:$K$193,MATCH($B109&amp;$G109&amp;I$5,'Detail inputs'!$B$3:$B$193&amp;'Detail inputs'!$G$3:$G$193&amp;'Detail inputs'!$H$3:$H$193,0),MATCH(I$4,'Detail inputs'!$B$3:$K$3,0)),0)</f>
        <v>1.59</v>
      </c>
      <c r="J109" s="224">
        <f t="shared" si="47"/>
        <v>2.4485999999999999</v>
      </c>
      <c r="K109" s="246">
        <f>IFERROR(J109/J111,"")</f>
        <v>2.3625557206537889E-2</v>
      </c>
      <c r="L109" s="246"/>
      <c r="M109" s="246">
        <f t="shared" si="46"/>
        <v>0.4528301886792454</v>
      </c>
      <c r="N109" s="243"/>
      <c r="O109" s="224"/>
      <c r="P109" s="224">
        <f t="array" ref="P109">IFERROR(INDEX('Detail inputs'!$B$3:$K$193,MATCH($B109&amp;$G109&amp;P$5,'Detail inputs'!$B$3:$B$193&amp;'Detail inputs'!$G$3:$G$193&amp;'Detail inputs'!$H$3:$H$193,0),MATCH(P$4,'Detail inputs'!$B$3:$K$3,0)),0)</f>
        <v>2.31</v>
      </c>
      <c r="Q109" s="224">
        <f t="shared" si="48"/>
        <v>3.5573999999999999</v>
      </c>
      <c r="R109" s="246">
        <f>IFERROR(Q109/Q111,"")</f>
        <v>2.6406035665294925E-2</v>
      </c>
    </row>
    <row r="110" spans="2:22" outlineLevel="1" x14ac:dyDescent="0.35">
      <c r="B110" s="3" t="str">
        <f t="shared" si="45"/>
        <v>Essential</v>
      </c>
      <c r="C110" s="3" t="str">
        <f t="shared" si="43"/>
        <v>Residential</v>
      </c>
      <c r="D110" s="3" t="str">
        <f t="shared" si="44"/>
        <v>with CL</v>
      </c>
      <c r="E110" s="3" t="s">
        <v>15</v>
      </c>
      <c r="F110" s="228">
        <f t="array" ref="F110">IFERROR(INDEX(Usage!$B$5:$P$18,MATCH($B110,Usage!$B$5:$B$18,0),MATCH($C110&amp;$D110&amp;$E110,Usage!$B$5:$S$5&amp;Usage!$B$6:$S$6&amp;Usage!$B$7:$S$7,0)),0)</f>
        <v>1540</v>
      </c>
      <c r="G110" s="3" t="s">
        <v>69</v>
      </c>
      <c r="H110" s="224"/>
      <c r="I110" s="224">
        <f t="array" ref="I110">ROUND(IFERROR(INDEX('Detail inputs'!$B$3:$K$193,MATCH($B110&amp;$C110&amp;$E110&amp;$G110&amp;I$5,'Detail inputs'!$B$3:$B$193&amp;'Detail inputs'!$D$3:$D$193&amp;'Detail inputs'!$F$3:$F$193&amp;'Detail inputs'!$G$3:$G$193&amp;'Detail inputs'!$H$3:$H$193,0),MATCH(I$4,'Detail inputs'!$B$3:$K$3,0)),0)*SUM(I105:I109),2)</f>
        <v>2.9</v>
      </c>
      <c r="J110" s="224">
        <f t="shared" si="47"/>
        <v>4.4660000000000002</v>
      </c>
      <c r="K110" s="246">
        <f>IFERROR(J110/J111,"")</f>
        <v>4.3090638930163454E-2</v>
      </c>
      <c r="L110" s="246"/>
      <c r="M110" s="246">
        <f t="shared" si="46"/>
        <v>0.18965517241379293</v>
      </c>
      <c r="N110" s="243"/>
      <c r="O110" s="224"/>
      <c r="P110" s="224">
        <f t="array" ref="P110">ROUND(IFERROR(INDEX('Detail inputs'!$B$3:$K$193,MATCH($B110&amp;$C110&amp;$E110&amp;$G110&amp;P$5,'Detail inputs'!$B$3:$B$193&amp;'Detail inputs'!$D$3:$D$193&amp;'Detail inputs'!$F$3:$F$193&amp;'Detail inputs'!$G$3:$G$193&amp;'Detail inputs'!$H$3:$H$193,0),MATCH(P$4,'Detail inputs'!$B$3:$K$3,0)),0)*SUM(P105:P109),2)</f>
        <v>3.45</v>
      </c>
      <c r="Q110" s="224">
        <f t="shared" si="48"/>
        <v>5.3129999999999997</v>
      </c>
      <c r="R110" s="246">
        <f>IFERROR(Q110/Q111,"")</f>
        <v>3.9437585733882029E-2</v>
      </c>
    </row>
    <row r="111" spans="2:22" outlineLevel="1" x14ac:dyDescent="0.35">
      <c r="B111" s="3" t="str">
        <f t="shared" si="45"/>
        <v>Essential</v>
      </c>
      <c r="C111" s="3" t="str">
        <f t="shared" si="43"/>
        <v>Residential</v>
      </c>
      <c r="D111" s="3" t="str">
        <f t="shared" si="44"/>
        <v>with CL</v>
      </c>
      <c r="E111" s="3" t="s">
        <v>15</v>
      </c>
      <c r="F111" s="228">
        <f t="array" ref="F111">IFERROR(INDEX(Usage!$B$5:$P$18,MATCH($B111,Usage!$B$5:$B$18,0),MATCH($C111&amp;$D111&amp;$E111,Usage!$B$5:$S$5&amp;Usage!$B$6:$S$6&amp;Usage!$B$7:$S$7,0)),0)</f>
        <v>1540</v>
      </c>
      <c r="G111" s="3" t="s">
        <v>53</v>
      </c>
      <c r="H111" s="226"/>
      <c r="I111" s="226">
        <f t="array" ref="I111">INDEX('Key inputs'!$B$16:$N$40,MATCH($B111&amp;$C111&amp;$E111,'Key inputs'!$B$16:$B$40&amp;'Key inputs'!$C$16:$C$40&amp;'Key inputs'!$D$16:$D$40,0),MATCH($A$2&amp;I$4,'Key inputs'!$B$17:$N$17&amp;'Key inputs'!$B$18:$N$18,0))</f>
        <v>67.3</v>
      </c>
      <c r="J111" s="224">
        <f t="shared" si="47"/>
        <v>103.642</v>
      </c>
      <c r="K111" s="247"/>
      <c r="L111" s="259"/>
      <c r="M111" s="247">
        <f t="shared" si="46"/>
        <v>0.29985141158989603</v>
      </c>
      <c r="N111" s="253"/>
      <c r="O111" s="226"/>
      <c r="P111" s="226">
        <f t="array" ref="P111">INDEX('Key inputs'!$B$16:$N$40,MATCH($B111&amp;$C111&amp;$E111,'Key inputs'!$B$16:$B$40&amp;'Key inputs'!$C$16:$C$40&amp;'Key inputs'!$D$16:$D$40,0),MATCH($A$2&amp;P$4,'Key inputs'!$B$17:$N$17&amp;'Key inputs'!$B$18:$N$18,0))</f>
        <v>87.48</v>
      </c>
      <c r="Q111" s="224">
        <f t="shared" si="48"/>
        <v>134.7192</v>
      </c>
      <c r="R111" s="247"/>
      <c r="T111" s="97"/>
      <c r="U111" s="97"/>
      <c r="V111" s="97"/>
    </row>
    <row r="112" spans="2:22" outlineLevel="1" x14ac:dyDescent="0.35">
      <c r="B112" s="3" t="str">
        <f t="shared" si="45"/>
        <v>Essential</v>
      </c>
      <c r="C112" s="3" t="str">
        <f t="shared" si="43"/>
        <v>Residential</v>
      </c>
      <c r="D112" s="3" t="str">
        <f t="shared" si="44"/>
        <v>with CL</v>
      </c>
      <c r="E112" s="3" t="s">
        <v>16</v>
      </c>
      <c r="F112" s="228">
        <f t="array" ref="F112">IFERROR(INDEX(Usage!$B$5:$P$18,MATCH($B112,Usage!$B$5:$B$18,0),MATCH($C112&amp;$D112&amp;$E112,Usage!$B$5:$S$5&amp;Usage!$B$6:$S$6&amp;Usage!$B$7:$S$7,0)),0)</f>
        <v>460</v>
      </c>
      <c r="G112" s="3" t="s">
        <v>66</v>
      </c>
      <c r="H112" s="226"/>
      <c r="I112" s="226">
        <f t="array" ref="I112">IFERROR(INDEX('Detail inputs'!$B$3:$K$193,MATCH($B112&amp;$C112&amp;$E112&amp;$G112&amp;I$5,'Detail inputs'!$B$3:$B$193&amp;'Detail inputs'!$D$3:$D$193&amp;'Detail inputs'!$F$3:$F$193&amp;'Detail inputs'!$G$3:$G$193&amp;'Detail inputs'!$H$3:$H$193,0),MATCH(I$4,'Detail inputs'!$B$3:$K$3,0)),0)</f>
        <v>62.04</v>
      </c>
      <c r="J112" s="226">
        <f>IF(AND(H112="",I112=""),"",H112+I112*$F112/1000)</f>
        <v>28.538399999999999</v>
      </c>
      <c r="K112" s="247">
        <f>IFERROR(J112/J118,"")</f>
        <v>0.9218424962852898</v>
      </c>
      <c r="L112" s="247"/>
      <c r="M112" s="247">
        <f t="shared" si="46"/>
        <v>0.2940038684719537</v>
      </c>
      <c r="N112" s="244"/>
      <c r="O112" s="226"/>
      <c r="P112" s="226">
        <f t="array" ref="P112">IFERROR(INDEX('Detail inputs'!$B$3:$K$193,MATCH($B112&amp;$C112&amp;$E112&amp;$G112&amp;P$5,'Detail inputs'!$B$3:$B$193&amp;'Detail inputs'!$D$3:$D$193&amp;'Detail inputs'!$F$3:$F$193&amp;'Detail inputs'!$G$3:$G$193&amp;'Detail inputs'!$H$3:$H$193,0),MATCH(P$4,'Detail inputs'!$B$3:$K$3,0)),0)</f>
        <v>80.28</v>
      </c>
      <c r="Q112" s="226">
        <f>IF(AND(O112="",P112=""),"",O112+P112*$F112/1000)</f>
        <v>36.928800000000003</v>
      </c>
      <c r="R112" s="247">
        <f>IFERROR(Q112/Q118,"")</f>
        <v>0.91769547325102885</v>
      </c>
    </row>
    <row r="113" spans="2:22" outlineLevel="1" x14ac:dyDescent="0.35">
      <c r="B113" s="3" t="str">
        <f t="shared" si="45"/>
        <v>Essential</v>
      </c>
      <c r="C113" s="3" t="str">
        <f t="shared" si="43"/>
        <v>Residential</v>
      </c>
      <c r="D113" s="3" t="str">
        <f t="shared" si="44"/>
        <v>with CL</v>
      </c>
      <c r="E113" s="3" t="s">
        <v>16</v>
      </c>
      <c r="F113" s="228">
        <f t="array" ref="F113">IFERROR(INDEX(Usage!$B$5:$P$18,MATCH($B113,Usage!$B$5:$B$18,0),MATCH($C113&amp;$D113&amp;$E113,Usage!$B$5:$S$5&amp;Usage!$B$6:$S$6&amp;Usage!$B$7:$S$7,0)),0)</f>
        <v>460</v>
      </c>
      <c r="G113" s="3" t="s">
        <v>67</v>
      </c>
      <c r="H113" s="226"/>
      <c r="I113" s="226">
        <f t="array" ref="I113">IFERROR(INDEX('Detail inputs'!$B$3:$K$193,MATCH($B113&amp;$G113&amp;I$5,'Detail inputs'!$B$3:$B$193&amp;'Detail inputs'!$G$3:$G$193&amp;'Detail inputs'!$H$3:$H$193,0),MATCH(I$4,'Detail inputs'!$B$3:$K$3,0)),0)</f>
        <v>0.28000000000000003</v>
      </c>
      <c r="J113" s="226">
        <f t="shared" ref="J113:J118" si="49">IF(AND(H113="",I113=""),"",H113+I113*$F113/1000)</f>
        <v>0.1288</v>
      </c>
      <c r="K113" s="247">
        <f>IFERROR(J113/J118,"")</f>
        <v>4.1604754829123328E-3</v>
      </c>
      <c r="L113" s="247"/>
      <c r="M113" s="247">
        <f t="shared" si="46"/>
        <v>0.21428571428571441</v>
      </c>
      <c r="N113" s="244"/>
      <c r="O113" s="226"/>
      <c r="P113" s="226">
        <f t="array" ref="P113">IFERROR(INDEX('Detail inputs'!$B$3:$K$193,MATCH($B113&amp;$G113&amp;P$5,'Detail inputs'!$B$3:$B$193&amp;'Detail inputs'!$G$3:$G$193&amp;'Detail inputs'!$H$3:$H$193,0),MATCH(P$4,'Detail inputs'!$B$3:$K$3,0)),0)</f>
        <v>0.34</v>
      </c>
      <c r="Q113" s="226">
        <f t="shared" ref="Q113:Q118" si="50">IF(AND(O113="",P113=""),"",O113+P113*$F113/1000)</f>
        <v>0.15640000000000001</v>
      </c>
      <c r="R113" s="247">
        <f>IFERROR(Q113/Q118,"")</f>
        <v>3.8866026520347511E-3</v>
      </c>
    </row>
    <row r="114" spans="2:22" outlineLevel="1" x14ac:dyDescent="0.35">
      <c r="B114" s="3" t="str">
        <f t="shared" si="45"/>
        <v>Essential</v>
      </c>
      <c r="C114" s="3" t="str">
        <f t="shared" si="43"/>
        <v>Residential</v>
      </c>
      <c r="D114" s="3" t="str">
        <f t="shared" si="44"/>
        <v>with CL</v>
      </c>
      <c r="E114" s="3" t="s">
        <v>16</v>
      </c>
      <c r="F114" s="228">
        <f t="array" ref="F114">IFERROR(INDEX(Usage!$B$5:$P$18,MATCH($B114,Usage!$B$5:$B$18,0),MATCH($C114&amp;$D114&amp;$E114,Usage!$B$5:$S$5&amp;Usage!$B$6:$S$6&amp;Usage!$B$7:$S$7,0)),0)</f>
        <v>460</v>
      </c>
      <c r="G114" s="3" t="s">
        <v>75</v>
      </c>
      <c r="H114" s="226"/>
      <c r="I114" s="226">
        <f t="array" ref="I114">IFERROR(INDEX('Detail inputs'!$B$3:$K$193,MATCH($B114&amp;$G114&amp;I$5,'Detail inputs'!$B$3:$B$193&amp;'Detail inputs'!$G$3:$G$193&amp;'Detail inputs'!$H$3:$H$193,0),MATCH(I$4,'Detail inputs'!$B$3:$K$3,0)),0)</f>
        <v>0.49</v>
      </c>
      <c r="J114" s="226">
        <f t="shared" si="49"/>
        <v>0.22540000000000002</v>
      </c>
      <c r="K114" s="247">
        <f>IFERROR(J114/J118,"")</f>
        <v>7.2808320950965835E-3</v>
      </c>
      <c r="L114" s="247"/>
      <c r="M114" s="247">
        <f t="shared" si="46"/>
        <v>1.2448979591836733</v>
      </c>
      <c r="N114" s="244"/>
      <c r="O114" s="226"/>
      <c r="P114" s="226">
        <f t="array" ref="P114">IFERROR(INDEX('Detail inputs'!$B$3:$K$193,MATCH($B114&amp;$G114&amp;P$5,'Detail inputs'!$B$3:$B$193&amp;'Detail inputs'!$G$3:$G$193&amp;'Detail inputs'!$H$3:$H$193,0),MATCH(P$4,'Detail inputs'!$B$3:$K$3,0)),0)</f>
        <v>1.1000000000000001</v>
      </c>
      <c r="Q114" s="226">
        <f t="shared" si="50"/>
        <v>0.50600000000000001</v>
      </c>
      <c r="R114" s="247">
        <f>IFERROR(Q114/Q118,"")</f>
        <v>1.2574302697759488E-2</v>
      </c>
    </row>
    <row r="115" spans="2:22" outlineLevel="1" x14ac:dyDescent="0.35">
      <c r="B115" s="3" t="str">
        <f t="shared" si="45"/>
        <v>Essential</v>
      </c>
      <c r="C115" s="3" t="str">
        <f t="shared" si="43"/>
        <v>Residential</v>
      </c>
      <c r="D115" s="3" t="str">
        <f t="shared" si="44"/>
        <v>with CL</v>
      </c>
      <c r="E115" s="3" t="s">
        <v>16</v>
      </c>
      <c r="F115" s="228">
        <f t="array" ref="F115">IFERROR(INDEX(Usage!$B$5:$P$18,MATCH($B115,Usage!$B$5:$B$18,0),MATCH($C115&amp;$D115&amp;$E115,Usage!$B$5:$S$5&amp;Usage!$B$6:$S$6&amp;Usage!$B$7:$S$7,0)),0)</f>
        <v>460</v>
      </c>
      <c r="G115" s="3" t="s">
        <v>68</v>
      </c>
      <c r="H115" s="226"/>
      <c r="I115" s="226">
        <f t="array" ref="I115">IFERROR(INDEX('Detail inputs'!$B$3:$K$193,MATCH($B115&amp;$G115&amp;I$5,'Detail inputs'!$B$3:$B$193&amp;'Detail inputs'!$G$3:$G$193&amp;'Detail inputs'!$H$3:$H$193,0),MATCH(I$4,'Detail inputs'!$B$3:$K$3,0)),0)</f>
        <v>0</v>
      </c>
      <c r="J115" s="226">
        <f t="shared" si="49"/>
        <v>0</v>
      </c>
      <c r="K115" s="247">
        <f>IFERROR(J115/J118,"")</f>
        <v>0</v>
      </c>
      <c r="L115" s="247"/>
      <c r="M115" s="247" t="str">
        <f t="shared" si="46"/>
        <v/>
      </c>
      <c r="N115" s="244"/>
      <c r="O115" s="226"/>
      <c r="P115" s="226">
        <f t="array" ref="P115">IFERROR(INDEX('Detail inputs'!$B$3:$K$193,MATCH($B115&amp;$G115&amp;P$5,'Detail inputs'!$B$3:$B$193&amp;'Detail inputs'!$G$3:$G$193&amp;'Detail inputs'!$H$3:$H$193,0),MATCH(P$4,'Detail inputs'!$B$3:$K$3,0)),0)</f>
        <v>0</v>
      </c>
      <c r="Q115" s="226">
        <f t="shared" si="50"/>
        <v>0</v>
      </c>
      <c r="R115" s="247">
        <f>IFERROR(Q115/Q118,"")</f>
        <v>0</v>
      </c>
    </row>
    <row r="116" spans="2:22" outlineLevel="1" x14ac:dyDescent="0.35">
      <c r="B116" s="3" t="str">
        <f t="shared" si="45"/>
        <v>Essential</v>
      </c>
      <c r="C116" s="3" t="str">
        <f t="shared" si="43"/>
        <v>Residential</v>
      </c>
      <c r="D116" s="3" t="str">
        <f t="shared" si="44"/>
        <v>with CL</v>
      </c>
      <c r="E116" s="3" t="s">
        <v>16</v>
      </c>
      <c r="F116" s="228">
        <f t="array" ref="F116">IFERROR(INDEX(Usage!$B$5:$P$18,MATCH($B116,Usage!$B$5:$B$18,0),MATCH($C116&amp;$D116&amp;$E116,Usage!$B$5:$S$5&amp;Usage!$B$6:$S$6&amp;Usage!$B$7:$S$7,0)),0)</f>
        <v>460</v>
      </c>
      <c r="G116" s="3" t="s">
        <v>145</v>
      </c>
      <c r="H116" s="226"/>
      <c r="I116" s="226">
        <f t="array" ref="I116">IFERROR(INDEX('Detail inputs'!$B$3:$K$193,MATCH($B116&amp;$G116&amp;I$5,'Detail inputs'!$B$3:$B$193&amp;'Detail inputs'!$G$3:$G$193&amp;'Detail inputs'!$H$3:$H$193,0),MATCH(I$4,'Detail inputs'!$B$3:$K$3,0)),0)</f>
        <v>1.59</v>
      </c>
      <c r="J116" s="226">
        <f t="shared" si="49"/>
        <v>0.73140000000000005</v>
      </c>
      <c r="K116" s="247">
        <f>IFERROR(J116/J118,"")</f>
        <v>2.3625557206537893E-2</v>
      </c>
      <c r="L116" s="247"/>
      <c r="M116" s="247">
        <f t="shared" si="46"/>
        <v>0.4528301886792454</v>
      </c>
      <c r="N116" s="244"/>
      <c r="O116" s="226"/>
      <c r="P116" s="226">
        <f t="array" ref="P116">IFERROR(INDEX('Detail inputs'!$B$3:$K$193,MATCH($B116&amp;$G116&amp;P$5,'Detail inputs'!$B$3:$B$193&amp;'Detail inputs'!$G$3:$G$193&amp;'Detail inputs'!$H$3:$H$193,0),MATCH(P$4,'Detail inputs'!$B$3:$K$3,0)),0)</f>
        <v>2.31</v>
      </c>
      <c r="Q116" s="226">
        <f t="shared" si="50"/>
        <v>1.0626000000000002</v>
      </c>
      <c r="R116" s="247">
        <f>IFERROR(Q116/Q118,"")</f>
        <v>2.6406035665294928E-2</v>
      </c>
    </row>
    <row r="117" spans="2:22" outlineLevel="1" x14ac:dyDescent="0.35">
      <c r="B117" s="3" t="str">
        <f t="shared" si="45"/>
        <v>Essential</v>
      </c>
      <c r="C117" s="3" t="str">
        <f t="shared" si="43"/>
        <v>Residential</v>
      </c>
      <c r="D117" s="3" t="str">
        <f t="shared" si="44"/>
        <v>with CL</v>
      </c>
      <c r="E117" s="3" t="s">
        <v>16</v>
      </c>
      <c r="F117" s="228">
        <f t="array" ref="F117">IFERROR(INDEX(Usage!$B$5:$P$18,MATCH($B117,Usage!$B$5:$B$18,0),MATCH($C117&amp;$D117&amp;$E117,Usage!$B$5:$S$5&amp;Usage!$B$6:$S$6&amp;Usage!$B$7:$S$7,0)),0)</f>
        <v>460</v>
      </c>
      <c r="G117" s="3" t="s">
        <v>69</v>
      </c>
      <c r="H117" s="226"/>
      <c r="I117" s="224">
        <f t="array" ref="I117">ROUND(IFERROR(INDEX('Detail inputs'!$B$3:$K$193,MATCH($B117&amp;$C117&amp;$E117&amp;$G117&amp;I$5,'Detail inputs'!$B$3:$B$193&amp;'Detail inputs'!$D$3:$D$193&amp;'Detail inputs'!$F$3:$F$193&amp;'Detail inputs'!$G$3:$G$193&amp;'Detail inputs'!$H$3:$H$193,0),MATCH(I$4,'Detail inputs'!$B$3:$K$3,0)),0)*SUM(I112:I116),2)</f>
        <v>2.9</v>
      </c>
      <c r="J117" s="226">
        <f t="shared" si="49"/>
        <v>1.3340000000000001</v>
      </c>
      <c r="K117" s="247">
        <f>IFERROR(J117/J118,"")</f>
        <v>4.3090638930163454E-2</v>
      </c>
      <c r="L117" s="247"/>
      <c r="M117" s="247">
        <f t="shared" si="46"/>
        <v>0.18965517241379293</v>
      </c>
      <c r="N117" s="244"/>
      <c r="O117" s="226"/>
      <c r="P117" s="224">
        <f t="array" ref="P117">ROUND(IFERROR(INDEX('Detail inputs'!$B$3:$K$193,MATCH($B117&amp;$C117&amp;$E117&amp;$G117&amp;P$5,'Detail inputs'!$B$3:$B$193&amp;'Detail inputs'!$D$3:$D$193&amp;'Detail inputs'!$F$3:$F$193&amp;'Detail inputs'!$G$3:$G$193&amp;'Detail inputs'!$H$3:$H$193,0),MATCH(P$4,'Detail inputs'!$B$3:$K$3,0)),0)*SUM(P112:P116),2)</f>
        <v>3.45</v>
      </c>
      <c r="Q117" s="226">
        <f t="shared" si="50"/>
        <v>1.587</v>
      </c>
      <c r="R117" s="247">
        <f>IFERROR(Q117/Q118,"")</f>
        <v>3.9437585733882029E-2</v>
      </c>
    </row>
    <row r="118" spans="2:22" outlineLevel="1" x14ac:dyDescent="0.35">
      <c r="B118" s="3" t="str">
        <f t="shared" si="45"/>
        <v>Essential</v>
      </c>
      <c r="C118" s="3" t="str">
        <f t="shared" si="43"/>
        <v>Residential</v>
      </c>
      <c r="D118" s="3" t="str">
        <f t="shared" si="44"/>
        <v>with CL</v>
      </c>
      <c r="E118" s="3" t="s">
        <v>16</v>
      </c>
      <c r="F118" s="228">
        <f t="array" ref="F118">IFERROR(INDEX(Usage!$B$5:$P$18,MATCH($B118,Usage!$B$5:$B$18,0),MATCH($C118&amp;$D118&amp;$E118,Usage!$B$5:$S$5&amp;Usage!$B$6:$S$6&amp;Usage!$B$7:$S$7,0)),0)</f>
        <v>460</v>
      </c>
      <c r="G118" s="3" t="s">
        <v>53</v>
      </c>
      <c r="H118" s="226"/>
      <c r="I118" s="226">
        <f t="array" ref="I118">INDEX('Key inputs'!$B$16:$N$40,MATCH($B118&amp;$C118&amp;$E118,'Key inputs'!$B$16:$B$40&amp;'Key inputs'!$C$16:$C$40&amp;'Key inputs'!$D$16:$D$40,0),MATCH($A$2&amp;I$4,'Key inputs'!$B$17:$N$17&amp;'Key inputs'!$B$18:$N$18,0))</f>
        <v>67.3</v>
      </c>
      <c r="J118" s="224">
        <f t="shared" si="49"/>
        <v>30.957999999999998</v>
      </c>
      <c r="K118" s="247"/>
      <c r="L118" s="259"/>
      <c r="M118" s="247">
        <f t="shared" si="46"/>
        <v>0.29985141158989603</v>
      </c>
      <c r="N118" s="253"/>
      <c r="O118" s="226"/>
      <c r="P118" s="226">
        <f t="array" ref="P118">INDEX('Key inputs'!$B$16:$N$40,MATCH($B118&amp;$C118&amp;$E118,'Key inputs'!$B$16:$B$40&amp;'Key inputs'!$C$16:$C$40&amp;'Key inputs'!$D$16:$D$40,0),MATCH($A$2&amp;P$4,'Key inputs'!$B$17:$N$17&amp;'Key inputs'!$B$18:$N$18,0))</f>
        <v>87.48</v>
      </c>
      <c r="Q118" s="224">
        <f t="shared" si="50"/>
        <v>40.2408</v>
      </c>
      <c r="R118" s="247"/>
      <c r="T118" s="97"/>
      <c r="U118" s="97"/>
      <c r="V118" s="97"/>
    </row>
    <row r="119" spans="2:22" s="60" customFormat="1" x14ac:dyDescent="0.35">
      <c r="B119" s="3" t="str">
        <f t="shared" si="45"/>
        <v>Essential</v>
      </c>
      <c r="C119" s="3" t="str">
        <f t="shared" si="43"/>
        <v>Residential</v>
      </c>
      <c r="D119" s="3" t="str">
        <f t="shared" si="44"/>
        <v>with CL</v>
      </c>
      <c r="E119" s="60" t="s">
        <v>53</v>
      </c>
      <c r="F119" s="228">
        <f t="array" ref="F119">IFERROR(INDEX(Usage!$B$5:$P$18,MATCH($B119,Usage!$B$5:$B$18,0),MATCH($C119&amp;$D119&amp;$E119,Usage!$B$5:$S$5&amp;Usage!$B$6:$S$6&amp;Usage!$B$7:$S$7,0)),0)</f>
        <v>6600</v>
      </c>
      <c r="G119" s="60" t="s">
        <v>53</v>
      </c>
      <c r="H119" s="226"/>
      <c r="I119" s="226">
        <f>I104+I111+I118</f>
        <v>214.94</v>
      </c>
      <c r="J119" s="226">
        <f>J104+J111+J118</f>
        <v>504.16399999999999</v>
      </c>
      <c r="K119" s="247"/>
      <c r="L119" s="259"/>
      <c r="M119" s="247">
        <f t="shared" si="46"/>
        <v>0.40514197761046011</v>
      </c>
      <c r="N119" s="253"/>
      <c r="O119" s="226"/>
      <c r="P119" s="226">
        <f>P104+P111+P118</f>
        <v>290.93</v>
      </c>
      <c r="Q119" s="226">
        <f>Q104+Q111+Q118</f>
        <v>708.42200000000003</v>
      </c>
      <c r="R119" s="247"/>
      <c r="S119" s="97"/>
      <c r="T119" s="98"/>
    </row>
    <row r="120" spans="2:22" outlineLevel="1" x14ac:dyDescent="0.35">
      <c r="B120" s="3" t="str">
        <f t="shared" si="45"/>
        <v>Essential</v>
      </c>
      <c r="C120" s="3" t="str">
        <f t="shared" si="43"/>
        <v>Residential</v>
      </c>
      <c r="D120" s="3" t="str">
        <f t="shared" si="44"/>
        <v>with CL</v>
      </c>
      <c r="F120" s="228"/>
      <c r="G120" s="60" t="s">
        <v>35</v>
      </c>
      <c r="H120" s="226"/>
      <c r="I120" s="226"/>
      <c r="J120" s="226">
        <f>J119*GST</f>
        <v>50.416400000000003</v>
      </c>
      <c r="K120" s="247"/>
      <c r="L120" s="259"/>
      <c r="M120" s="247"/>
      <c r="N120" s="253"/>
      <c r="O120" s="226"/>
      <c r="P120" s="226"/>
      <c r="Q120" s="226">
        <f>Q119*GST</f>
        <v>70.842200000000005</v>
      </c>
      <c r="R120" s="248"/>
    </row>
    <row r="121" spans="2:22" x14ac:dyDescent="0.35">
      <c r="B121" s="3" t="str">
        <f t="shared" si="45"/>
        <v>Essential</v>
      </c>
      <c r="C121" s="3" t="str">
        <f t="shared" si="43"/>
        <v>Residential</v>
      </c>
      <c r="D121" s="3" t="str">
        <f t="shared" si="44"/>
        <v>with CL</v>
      </c>
      <c r="F121" s="228"/>
      <c r="G121" s="5" t="s">
        <v>77</v>
      </c>
      <c r="H121" s="227"/>
      <c r="I121" s="227"/>
      <c r="J121" s="227">
        <f>SUM(J119:J120)</f>
        <v>554.58039999999994</v>
      </c>
      <c r="K121" s="248"/>
      <c r="L121" s="260"/>
      <c r="M121" s="248">
        <f>IF(OR(J121=0,Q121=""),"",Q121/J121-1)</f>
        <v>0.40514197761046034</v>
      </c>
      <c r="N121" s="254"/>
      <c r="O121" s="227"/>
      <c r="P121" s="227"/>
      <c r="Q121" s="227">
        <f>SUM(Q119:Q120)</f>
        <v>779.26420000000007</v>
      </c>
      <c r="R121" s="248"/>
    </row>
    <row r="122" spans="2:22" x14ac:dyDescent="0.35">
      <c r="F122" s="228"/>
      <c r="H122" s="224"/>
      <c r="I122" s="224"/>
      <c r="J122" s="224"/>
      <c r="K122" s="246"/>
      <c r="L122" s="261"/>
      <c r="M122" s="246"/>
      <c r="N122" s="252"/>
      <c r="O122" s="224"/>
      <c r="P122" s="224"/>
      <c r="Q122" s="224"/>
      <c r="R122" s="246"/>
    </row>
    <row r="123" spans="2:22" x14ac:dyDescent="0.35">
      <c r="B123" s="5" t="s">
        <v>3</v>
      </c>
      <c r="C123" s="5" t="s">
        <v>14</v>
      </c>
      <c r="D123" s="5" t="s">
        <v>136</v>
      </c>
      <c r="F123" s="228"/>
      <c r="H123" s="224"/>
      <c r="I123" s="224"/>
      <c r="J123" s="224"/>
      <c r="K123" s="246"/>
      <c r="L123" s="261"/>
      <c r="M123" s="246"/>
      <c r="N123" s="252"/>
      <c r="O123" s="224"/>
      <c r="P123" s="224"/>
      <c r="Q123" s="224"/>
      <c r="R123" s="246"/>
    </row>
    <row r="124" spans="2:22" outlineLevel="1" x14ac:dyDescent="0.35">
      <c r="B124" s="3" t="str">
        <f>B123</f>
        <v>Essential</v>
      </c>
      <c r="C124" s="3" t="str">
        <f t="shared" ref="C124:C132" si="51">C123</f>
        <v>Small business</v>
      </c>
      <c r="D124" s="3" t="str">
        <f t="shared" ref="D124:D132" si="52">D123</f>
        <v>without CL</v>
      </c>
      <c r="E124" s="3" t="s">
        <v>21</v>
      </c>
      <c r="F124" s="228">
        <f t="array" ref="F124">IFERROR(INDEX(Usage!$B$5:$P$18,MATCH($B124,Usage!$B$5:$B$18,0),MATCH($C124&amp;$D124&amp;$E124,Usage!$B$5:$S$5&amp;Usage!$B$6:$S$6&amp;Usage!$B$7:$S$7,0)),0)</f>
        <v>10000</v>
      </c>
      <c r="G124" s="3" t="s">
        <v>66</v>
      </c>
      <c r="H124" s="224"/>
      <c r="I124" s="224"/>
      <c r="J124" s="224"/>
      <c r="K124" s="246"/>
      <c r="L124" s="246"/>
      <c r="M124" s="246"/>
      <c r="N124" s="243"/>
      <c r="O124" s="224"/>
      <c r="P124" s="224">
        <f t="array" ref="P124">IFERROR(INDEX('Detail inputs'!$B$3:$K$193,MATCH($B124&amp;$C124&amp;$E124&amp;$G124&amp;P$5,'Detail inputs'!$B$3:$B$193&amp;'Detail inputs'!$D$3:$D$193&amp;'Detail inputs'!$F$3:$F$193&amp;'Detail inputs'!$G$3:$G$193&amp;'Detail inputs'!$H$3:$H$193,0),MATCH(P$4,'Detail inputs'!$B$3:$K$3,0)),0)</f>
        <v>107.65</v>
      </c>
      <c r="Q124" s="224">
        <f>IF(AND(O124="",P124=""),"",O124+P124*$F124/1000)</f>
        <v>1076.5</v>
      </c>
      <c r="R124" s="246">
        <f>IFERROR(Q124/Q130,"")</f>
        <v>0.92825730792446315</v>
      </c>
    </row>
    <row r="125" spans="2:22" outlineLevel="1" x14ac:dyDescent="0.35">
      <c r="B125" s="3" t="str">
        <f t="shared" ref="B125:B132" si="53">B124</f>
        <v>Essential</v>
      </c>
      <c r="C125" s="3" t="str">
        <f t="shared" si="51"/>
        <v>Small business</v>
      </c>
      <c r="D125" s="3" t="str">
        <f t="shared" si="52"/>
        <v>without CL</v>
      </c>
      <c r="E125" s="3" t="s">
        <v>21</v>
      </c>
      <c r="F125" s="228">
        <f t="array" ref="F125">IFERROR(INDEX(Usage!$B$5:$P$18,MATCH($B125,Usage!$B$5:$B$18,0),MATCH($C125&amp;$D125&amp;$E125,Usage!$B$5:$S$5&amp;Usage!$B$6:$S$6&amp;Usage!$B$7:$S$7,0)),0)</f>
        <v>10000</v>
      </c>
      <c r="G125" s="3" t="s">
        <v>67</v>
      </c>
      <c r="H125" s="224"/>
      <c r="I125" s="224"/>
      <c r="J125" s="224"/>
      <c r="K125" s="246"/>
      <c r="L125" s="246"/>
      <c r="M125" s="246"/>
      <c r="N125" s="243"/>
      <c r="O125" s="224"/>
      <c r="P125" s="224">
        <f t="array" ref="P125">IFERROR(INDEX('Detail inputs'!$B$3:$K$193,MATCH($B125&amp;$G125&amp;P$5,'Detail inputs'!$B$3:$B$193&amp;'Detail inputs'!$G$3:$G$193&amp;'Detail inputs'!$H$3:$H$193,0),MATCH(P$4,'Detail inputs'!$B$3:$K$3,0)),0)</f>
        <v>0.34</v>
      </c>
      <c r="Q125" s="224">
        <f t="shared" ref="Q125:Q130" si="54">IF(AND(O125="",P125=""),"",O125+P125*$F125/1000)</f>
        <v>3.4000000000000004</v>
      </c>
      <c r="R125" s="246">
        <f>IFERROR(Q125/Q130,"")</f>
        <v>2.9317927050099167E-3</v>
      </c>
    </row>
    <row r="126" spans="2:22" outlineLevel="1" x14ac:dyDescent="0.35">
      <c r="B126" s="3" t="str">
        <f t="shared" si="53"/>
        <v>Essential</v>
      </c>
      <c r="C126" s="3" t="str">
        <f t="shared" si="51"/>
        <v>Small business</v>
      </c>
      <c r="D126" s="3" t="str">
        <f t="shared" si="52"/>
        <v>without CL</v>
      </c>
      <c r="E126" s="3" t="s">
        <v>21</v>
      </c>
      <c r="F126" s="228">
        <f t="array" ref="F126">IFERROR(INDEX(Usage!$B$5:$P$18,MATCH($B126,Usage!$B$5:$B$18,0),MATCH($C126&amp;$D126&amp;$E126,Usage!$B$5:$S$5&amp;Usage!$B$6:$S$6&amp;Usage!$B$7:$S$7,0)),0)</f>
        <v>10000</v>
      </c>
      <c r="G126" s="3" t="s">
        <v>75</v>
      </c>
      <c r="H126" s="224"/>
      <c r="I126" s="224"/>
      <c r="J126" s="224"/>
      <c r="K126" s="246"/>
      <c r="L126" s="246"/>
      <c r="M126" s="246"/>
      <c r="N126" s="243"/>
      <c r="O126" s="224"/>
      <c r="P126" s="224">
        <f t="array" ref="P126">IFERROR(INDEX('Detail inputs'!$B$3:$K$193,MATCH($B126&amp;$G126&amp;P$5,'Detail inputs'!$B$3:$B$193&amp;'Detail inputs'!$G$3:$G$193&amp;'Detail inputs'!$H$3:$H$193,0),MATCH(P$4,'Detail inputs'!$B$3:$K$3,0)),0)</f>
        <v>1.1000000000000001</v>
      </c>
      <c r="Q126" s="224">
        <f t="shared" si="54"/>
        <v>11</v>
      </c>
      <c r="R126" s="246">
        <f>IFERROR(Q126/Q130,"")</f>
        <v>9.4852116926791401E-3</v>
      </c>
    </row>
    <row r="127" spans="2:22" outlineLevel="1" x14ac:dyDescent="0.35">
      <c r="B127" s="3" t="str">
        <f t="shared" si="53"/>
        <v>Essential</v>
      </c>
      <c r="C127" s="3" t="str">
        <f t="shared" si="51"/>
        <v>Small business</v>
      </c>
      <c r="D127" s="3" t="str">
        <f t="shared" si="52"/>
        <v>without CL</v>
      </c>
      <c r="E127" s="3" t="s">
        <v>21</v>
      </c>
      <c r="F127" s="228">
        <f t="array" ref="F127">IFERROR(INDEX(Usage!$B$5:$P$18,MATCH($B127,Usage!$B$5:$B$18,0),MATCH($C127&amp;$D127&amp;$E127,Usage!$B$5:$S$5&amp;Usage!$B$6:$S$6&amp;Usage!$B$7:$S$7,0)),0)</f>
        <v>10000</v>
      </c>
      <c r="G127" s="3" t="s">
        <v>68</v>
      </c>
      <c r="H127" s="224"/>
      <c r="I127" s="224"/>
      <c r="J127" s="224"/>
      <c r="K127" s="246"/>
      <c r="L127" s="246"/>
      <c r="M127" s="246"/>
      <c r="N127" s="243"/>
      <c r="O127" s="224"/>
      <c r="P127" s="224">
        <f t="array" ref="P127">IFERROR(INDEX('Detail inputs'!$B$3:$K$193,MATCH($B127&amp;$G127&amp;P$5,'Detail inputs'!$B$3:$B$193&amp;'Detail inputs'!$G$3:$G$193&amp;'Detail inputs'!$H$3:$H$193,0),MATCH(P$4,'Detail inputs'!$B$3:$K$3,0)),0)</f>
        <v>0</v>
      </c>
      <c r="Q127" s="224">
        <f t="shared" si="54"/>
        <v>0</v>
      </c>
      <c r="R127" s="246">
        <f>IFERROR(Q127/Q130,"")</f>
        <v>0</v>
      </c>
    </row>
    <row r="128" spans="2:22" outlineLevel="1" x14ac:dyDescent="0.35">
      <c r="B128" s="3" t="str">
        <f t="shared" si="53"/>
        <v>Essential</v>
      </c>
      <c r="C128" s="3" t="str">
        <f t="shared" si="51"/>
        <v>Small business</v>
      </c>
      <c r="D128" s="3" t="str">
        <f t="shared" si="52"/>
        <v>without CL</v>
      </c>
      <c r="E128" s="3" t="s">
        <v>21</v>
      </c>
      <c r="F128" s="228">
        <f t="array" ref="F128">IFERROR(INDEX(Usage!$B$5:$P$18,MATCH($B128,Usage!$B$5:$B$18,0),MATCH($C128&amp;$D128&amp;$E128,Usage!$B$5:$S$5&amp;Usage!$B$6:$S$6&amp;Usage!$B$7:$S$7,0)),0)</f>
        <v>10000</v>
      </c>
      <c r="G128" s="3" t="s">
        <v>145</v>
      </c>
      <c r="H128" s="224"/>
      <c r="I128" s="224"/>
      <c r="J128" s="224"/>
      <c r="K128" s="246"/>
      <c r="L128" s="246"/>
      <c r="M128" s="246"/>
      <c r="N128" s="243"/>
      <c r="O128" s="224"/>
      <c r="P128" s="224">
        <f t="array" ref="P128">IFERROR(INDEX('Detail inputs'!$B$3:$K$193,MATCH($B128&amp;$G128&amp;P$5,'Detail inputs'!$B$3:$B$193&amp;'Detail inputs'!$G$3:$G$193&amp;'Detail inputs'!$H$3:$H$193,0),MATCH(P$4,'Detail inputs'!$B$3:$K$3,0)),0)</f>
        <v>2.31</v>
      </c>
      <c r="Q128" s="224">
        <f t="shared" si="54"/>
        <v>23.1</v>
      </c>
      <c r="R128" s="246">
        <f>IFERROR(Q128/Q130,"")</f>
        <v>1.9918944554626197E-2</v>
      </c>
    </row>
    <row r="129" spans="2:22" outlineLevel="1" x14ac:dyDescent="0.35">
      <c r="B129" s="3" t="str">
        <f t="shared" si="53"/>
        <v>Essential</v>
      </c>
      <c r="C129" s="3" t="str">
        <f t="shared" si="51"/>
        <v>Small business</v>
      </c>
      <c r="D129" s="3" t="str">
        <f t="shared" si="52"/>
        <v>without CL</v>
      </c>
      <c r="E129" s="3" t="s">
        <v>21</v>
      </c>
      <c r="F129" s="228">
        <f t="array" ref="F129">IFERROR(INDEX(Usage!$B$5:$P$18,MATCH($B129,Usage!$B$5:$B$18,0),MATCH($C129&amp;$D129&amp;$E129,Usage!$B$5:$S$5&amp;Usage!$B$6:$S$6&amp;Usage!$B$7:$S$7,0)),0)</f>
        <v>10000</v>
      </c>
      <c r="G129" s="3" t="s">
        <v>69</v>
      </c>
      <c r="H129" s="224"/>
      <c r="I129" s="224"/>
      <c r="J129" s="224"/>
      <c r="K129" s="246"/>
      <c r="L129" s="246"/>
      <c r="M129" s="246"/>
      <c r="N129" s="243"/>
      <c r="O129" s="224"/>
      <c r="P129" s="224">
        <f t="array" ref="P129">ROUND(IFERROR(INDEX('Detail inputs'!$B$3:$K$193,MATCH($B129&amp;$C129&amp;$E129&amp;$G129&amp;P$5,'Detail inputs'!$B$3:$B$193&amp;'Detail inputs'!$D$3:$D$193&amp;'Detail inputs'!$F$3:$F$193&amp;'Detail inputs'!$G$3:$G$193&amp;'Detail inputs'!$H$3:$H$193,0),MATCH(P$4,'Detail inputs'!$B$3:$K$3,0)),0)*SUM(P124:P128),2)</f>
        <v>4.57</v>
      </c>
      <c r="Q129" s="224">
        <f t="shared" si="54"/>
        <v>45.7</v>
      </c>
      <c r="R129" s="246">
        <f>IFERROR(Q129/Q130,"")</f>
        <v>3.9406743123221524E-2</v>
      </c>
    </row>
    <row r="130" spans="2:22" s="60" customFormat="1" x14ac:dyDescent="0.35">
      <c r="B130" s="3" t="str">
        <f t="shared" si="53"/>
        <v>Essential</v>
      </c>
      <c r="C130" s="3" t="str">
        <f t="shared" si="51"/>
        <v>Small business</v>
      </c>
      <c r="D130" s="3" t="str">
        <f t="shared" si="52"/>
        <v>without CL</v>
      </c>
      <c r="E130" s="3" t="s">
        <v>21</v>
      </c>
      <c r="F130" s="228">
        <f t="array" ref="F130">IFERROR(INDEX(Usage!$B$5:$P$18,MATCH($B130,Usage!$B$5:$B$18,0),MATCH($C130&amp;$D130&amp;$E130,Usage!$B$5:$S$5&amp;Usage!$B$6:$S$6&amp;Usage!$B$7:$S$7,0)),0)</f>
        <v>10000</v>
      </c>
      <c r="G130" s="60" t="s">
        <v>53</v>
      </c>
      <c r="H130" s="226"/>
      <c r="I130" s="226"/>
      <c r="J130" s="224"/>
      <c r="K130" s="247"/>
      <c r="L130" s="259"/>
      <c r="M130" s="247"/>
      <c r="N130" s="253"/>
      <c r="O130" s="226"/>
      <c r="P130" s="226">
        <f t="array" ref="P130">INDEX('Key inputs'!$B$16:$N$40,MATCH($B130&amp;$C130&amp;$E130,'Key inputs'!$B$16:$B$40&amp;'Key inputs'!$C$16:$C$40&amp;'Key inputs'!$D$16:$D$40,0),MATCH($A$2&amp;P$4,'Key inputs'!$B$17:$N$17&amp;'Key inputs'!$B$18:$N$18,0))</f>
        <v>115.97</v>
      </c>
      <c r="Q130" s="224">
        <f t="shared" si="54"/>
        <v>1159.7</v>
      </c>
      <c r="R130" s="247"/>
      <c r="S130" s="97"/>
      <c r="T130" s="97"/>
      <c r="U130" s="97"/>
      <c r="V130" s="97"/>
    </row>
    <row r="131" spans="2:22" x14ac:dyDescent="0.35">
      <c r="B131" s="3" t="str">
        <f t="shared" si="53"/>
        <v>Essential</v>
      </c>
      <c r="C131" s="3" t="str">
        <f t="shared" si="51"/>
        <v>Small business</v>
      </c>
      <c r="D131" s="3" t="str">
        <f t="shared" si="52"/>
        <v>without CL</v>
      </c>
      <c r="F131" s="228"/>
      <c r="G131" s="60" t="s">
        <v>35</v>
      </c>
      <c r="H131" s="226"/>
      <c r="I131" s="226"/>
      <c r="J131" s="226"/>
      <c r="K131" s="247"/>
      <c r="L131" s="259"/>
      <c r="M131" s="247"/>
      <c r="N131" s="253"/>
      <c r="O131" s="226"/>
      <c r="P131" s="226"/>
      <c r="Q131" s="226">
        <f>Q130*GST</f>
        <v>115.97000000000001</v>
      </c>
      <c r="R131" s="248"/>
    </row>
    <row r="132" spans="2:22" x14ac:dyDescent="0.35">
      <c r="B132" s="3" t="str">
        <f t="shared" si="53"/>
        <v>Essential</v>
      </c>
      <c r="C132" s="3" t="str">
        <f t="shared" si="51"/>
        <v>Small business</v>
      </c>
      <c r="D132" s="3" t="str">
        <f t="shared" si="52"/>
        <v>without CL</v>
      </c>
      <c r="F132" s="228"/>
      <c r="G132" s="5" t="s">
        <v>77</v>
      </c>
      <c r="H132" s="227"/>
      <c r="I132" s="227"/>
      <c r="J132" s="227"/>
      <c r="K132" s="248"/>
      <c r="L132" s="260"/>
      <c r="M132" s="248"/>
      <c r="N132" s="254"/>
      <c r="O132" s="227"/>
      <c r="P132" s="227"/>
      <c r="Q132" s="227">
        <f>SUM(Q130:Q131)</f>
        <v>1275.67</v>
      </c>
      <c r="R132" s="248"/>
    </row>
    <row r="133" spans="2:22" x14ac:dyDescent="0.35">
      <c r="F133" s="228"/>
      <c r="H133" s="224"/>
      <c r="I133" s="224"/>
      <c r="J133" s="224"/>
      <c r="K133" s="246"/>
      <c r="L133" s="261"/>
      <c r="M133" s="246"/>
      <c r="N133" s="252"/>
      <c r="O133" s="224"/>
      <c r="P133" s="224"/>
      <c r="Q133" s="224"/>
      <c r="R133" s="246"/>
    </row>
    <row r="134" spans="2:22" x14ac:dyDescent="0.35">
      <c r="B134" s="5" t="s">
        <v>0</v>
      </c>
      <c r="C134" s="5" t="s">
        <v>6</v>
      </c>
      <c r="D134" s="5" t="s">
        <v>136</v>
      </c>
      <c r="F134" s="228"/>
      <c r="H134" s="224"/>
      <c r="I134" s="224"/>
      <c r="J134" s="224"/>
      <c r="K134" s="246"/>
      <c r="L134" s="261"/>
      <c r="M134" s="246"/>
      <c r="N134" s="252"/>
      <c r="O134" s="224"/>
      <c r="P134" s="224"/>
      <c r="Q134" s="224"/>
      <c r="R134" s="246"/>
    </row>
    <row r="135" spans="2:22" outlineLevel="1" x14ac:dyDescent="0.35">
      <c r="B135" s="3" t="str">
        <f>B134</f>
        <v>Energex</v>
      </c>
      <c r="C135" s="3" t="str">
        <f t="shared" ref="C135:C143" si="55">C134</f>
        <v>Residential</v>
      </c>
      <c r="D135" s="3" t="str">
        <f t="shared" ref="D135:D143" si="56">D134</f>
        <v>without CL</v>
      </c>
      <c r="E135" s="3" t="s">
        <v>21</v>
      </c>
      <c r="F135" s="228">
        <f t="array" ref="F135">IFERROR(INDEX(Usage!$B$5:$P$18,MATCH($B135,Usage!$B$5:$B$18,0),MATCH($C135&amp;$D135&amp;$E135&amp;"Total",Usage!$B$5:$S$5&amp;Usage!$B$6:$S$6&amp;Usage!$B$7:$S$7&amp;Usage!$B$13:$S$13,0)),0)</f>
        <v>4600</v>
      </c>
      <c r="G135" s="3" t="s">
        <v>66</v>
      </c>
      <c r="H135" s="224"/>
      <c r="I135" s="224">
        <f t="array" ref="I135">IFERROR(INDEX('Detail inputs'!$B$3:$K$193,MATCH($B135&amp;$C135&amp;$E135&amp;$G135&amp;I$5,'Detail inputs'!$B$3:$B$193&amp;'Detail inputs'!$D$3:$D$193&amp;'Detail inputs'!$F$3:$F$193&amp;'Detail inputs'!$G$3:$G$193&amp;'Detail inputs'!$H$3:$H$193,0),MATCH(I$4,'Detail inputs'!$B$3:$K$3,0)),0)</f>
        <v>67.010000000000005</v>
      </c>
      <c r="J135" s="224">
        <f>IF(AND(H135="",I135=""),"",H135+I135*$F135/1000)</f>
        <v>308.24599999999998</v>
      </c>
      <c r="K135" s="246">
        <f>IFERROR(J135/J141,"")</f>
        <v>0.90517357827907596</v>
      </c>
      <c r="L135" s="246"/>
      <c r="M135" s="246">
        <f t="shared" ref="M135:M141" si="57">IF(OR(J135=0,Q135=""),"",Q135/J135-1)</f>
        <v>0.45426055812565291</v>
      </c>
      <c r="N135" s="243"/>
      <c r="O135" s="224"/>
      <c r="P135" s="224">
        <f t="array" ref="P135">IFERROR(INDEX('Detail inputs'!$B$3:$K$193,MATCH($B135&amp;$C135&amp;$E135&amp;$G135&amp;P$5,'Detail inputs'!$B$3:$B$193&amp;'Detail inputs'!$D$3:$D$193&amp;'Detail inputs'!$F$3:$F$193&amp;'Detail inputs'!$G$3:$G$193&amp;'Detail inputs'!$H$3:$H$193,0),MATCH(P$4,'Detail inputs'!$B$3:$K$3,0)),0)</f>
        <v>97.45</v>
      </c>
      <c r="Q135" s="224">
        <f>IF(AND(O135="",P135=""),"",O135+P135*$F135/1000)</f>
        <v>448.27</v>
      </c>
      <c r="R135" s="246">
        <f>IFERROR(Q135/Q141,"")</f>
        <v>0.88166108748755989</v>
      </c>
    </row>
    <row r="136" spans="2:22" outlineLevel="1" x14ac:dyDescent="0.35">
      <c r="B136" s="3" t="str">
        <f t="shared" ref="B136:B143" si="58">B135</f>
        <v>Energex</v>
      </c>
      <c r="C136" s="3" t="str">
        <f t="shared" si="55"/>
        <v>Residential</v>
      </c>
      <c r="D136" s="3" t="str">
        <f t="shared" si="56"/>
        <v>without CL</v>
      </c>
      <c r="E136" s="3" t="s">
        <v>21</v>
      </c>
      <c r="F136" s="228">
        <f t="array" ref="F136">IFERROR(INDEX(Usage!$B$5:$P$18,MATCH($B136,Usage!$B$5:$B$18,0),MATCH($C136&amp;$D136&amp;$E136&amp;"Total",Usage!$B$5:$S$5&amp;Usage!$B$6:$S$6&amp;Usage!$B$7:$S$7&amp;Usage!$B$13:$S$13,0)),0)</f>
        <v>4600</v>
      </c>
      <c r="G136" s="3" t="s">
        <v>67</v>
      </c>
      <c r="H136" s="224"/>
      <c r="I136" s="224">
        <f t="array" ref="I136">IFERROR(INDEX('Detail inputs'!$B$3:$K$193,MATCH($B136&amp;$G136&amp;I$5,'Detail inputs'!$B$3:$B$193&amp;'Detail inputs'!$G$3:$G$193&amp;'Detail inputs'!$H$3:$H$193,0),MATCH(I$4,'Detail inputs'!$B$3:$K$3,0)),0)</f>
        <v>0.42</v>
      </c>
      <c r="J136" s="224">
        <f t="shared" ref="J136:J141" si="59">IF(AND(H136="",I136=""),"",H136+I136*$F136/1000)</f>
        <v>1.9319999999999999</v>
      </c>
      <c r="K136" s="246">
        <f>IFERROR(J136/J141,"")</f>
        <v>5.6733756585168171E-3</v>
      </c>
      <c r="L136" s="246"/>
      <c r="M136" s="246">
        <f t="shared" si="57"/>
        <v>2.3809523809523809</v>
      </c>
      <c r="N136" s="243"/>
      <c r="O136" s="224"/>
      <c r="P136" s="224">
        <f t="array" ref="P136">IFERROR(INDEX('Detail inputs'!$B$3:$K$193,MATCH($B136&amp;$G136&amp;P$5,'Detail inputs'!$B$3:$B$193&amp;'Detail inputs'!$G$3:$G$193&amp;'Detail inputs'!$H$3:$H$193,0),MATCH(P$4,'Detail inputs'!$B$3:$K$3,0)),0)</f>
        <v>1.42</v>
      </c>
      <c r="Q136" s="224">
        <f t="shared" ref="Q136:Q141" si="60">IF(AND(O136="",P136=""),"",O136+P136*$F136/1000)</f>
        <v>6.532</v>
      </c>
      <c r="R136" s="246">
        <f>IFERROR(Q136/Q141,"")</f>
        <v>1.284719080792545E-2</v>
      </c>
    </row>
    <row r="137" spans="2:22" outlineLevel="1" x14ac:dyDescent="0.35">
      <c r="B137" s="3" t="str">
        <f t="shared" si="58"/>
        <v>Energex</v>
      </c>
      <c r="C137" s="3" t="str">
        <f t="shared" si="55"/>
        <v>Residential</v>
      </c>
      <c r="D137" s="3" t="str">
        <f t="shared" si="56"/>
        <v>without CL</v>
      </c>
      <c r="E137" s="3" t="s">
        <v>21</v>
      </c>
      <c r="F137" s="228">
        <f t="array" ref="F137">IFERROR(INDEX(Usage!$B$5:$P$18,MATCH($B137,Usage!$B$5:$B$18,0),MATCH($C137&amp;$D137&amp;$E137&amp;"Total",Usage!$B$5:$S$5&amp;Usage!$B$6:$S$6&amp;Usage!$B$7:$S$7&amp;Usage!$B$13:$S$13,0)),0)</f>
        <v>4600</v>
      </c>
      <c r="G137" s="3" t="s">
        <v>75</v>
      </c>
      <c r="H137" s="224"/>
      <c r="I137" s="224">
        <f t="array" ref="I137">IFERROR(INDEX('Detail inputs'!$B$3:$K$193,MATCH($B137&amp;$G137&amp;I$5,'Detail inputs'!$B$3:$B$193&amp;'Detail inputs'!$G$3:$G$193&amp;'Detail inputs'!$H$3:$H$193,0),MATCH(I$4,'Detail inputs'!$B$3:$K$3,0)),0)</f>
        <v>0.49</v>
      </c>
      <c r="J137" s="224">
        <f t="shared" si="59"/>
        <v>2.254</v>
      </c>
      <c r="K137" s="246">
        <f>IFERROR(J137/J141,"")</f>
        <v>6.6189382682696205E-3</v>
      </c>
      <c r="L137" s="246"/>
      <c r="M137" s="246">
        <f t="shared" si="57"/>
        <v>1.2448979591836733</v>
      </c>
      <c r="N137" s="243"/>
      <c r="O137" s="224"/>
      <c r="P137" s="224">
        <f t="array" ref="P137">IFERROR(INDEX('Detail inputs'!$B$3:$K$193,MATCH($B137&amp;$G137&amp;P$5,'Detail inputs'!$B$3:$B$193&amp;'Detail inputs'!$G$3:$G$193&amp;'Detail inputs'!$H$3:$H$193,0),MATCH(P$4,'Detail inputs'!$B$3:$K$3,0)),0)</f>
        <v>1.1000000000000001</v>
      </c>
      <c r="Q137" s="224">
        <f t="shared" si="60"/>
        <v>5.0599999999999996</v>
      </c>
      <c r="R137" s="246">
        <f>IFERROR(Q137/Q141,"")</f>
        <v>9.9520492174070378E-3</v>
      </c>
    </row>
    <row r="138" spans="2:22" outlineLevel="1" x14ac:dyDescent="0.35">
      <c r="B138" s="3" t="str">
        <f t="shared" si="58"/>
        <v>Energex</v>
      </c>
      <c r="C138" s="3" t="str">
        <f t="shared" si="55"/>
        <v>Residential</v>
      </c>
      <c r="D138" s="3" t="str">
        <f t="shared" si="56"/>
        <v>without CL</v>
      </c>
      <c r="E138" s="3" t="s">
        <v>21</v>
      </c>
      <c r="F138" s="228">
        <f t="array" ref="F138">IFERROR(INDEX(Usage!$B$5:$P$18,MATCH($B138,Usage!$B$5:$B$18,0),MATCH($C138&amp;$D138&amp;$E138&amp;"Total",Usage!$B$5:$S$5&amp;Usage!$B$6:$S$6&amp;Usage!$B$7:$S$7&amp;Usage!$B$13:$S$13,0)),0)</f>
        <v>4600</v>
      </c>
      <c r="G138" s="3" t="s">
        <v>68</v>
      </c>
      <c r="H138" s="224"/>
      <c r="I138" s="224">
        <f t="array" ref="I138">IFERROR(INDEX('Detail inputs'!$B$3:$K$193,MATCH($B138&amp;$G138&amp;I$5,'Detail inputs'!$B$3:$B$193&amp;'Detail inputs'!$G$3:$G$193&amp;'Detail inputs'!$H$3:$H$193,0),MATCH(I$4,'Detail inputs'!$B$3:$K$3,0)),0)</f>
        <v>0</v>
      </c>
      <c r="J138" s="224">
        <f t="shared" si="59"/>
        <v>0</v>
      </c>
      <c r="K138" s="246">
        <f>IFERROR(J138/J141,"")</f>
        <v>0</v>
      </c>
      <c r="L138" s="246"/>
      <c r="M138" s="246" t="str">
        <f t="shared" si="57"/>
        <v/>
      </c>
      <c r="N138" s="243"/>
      <c r="O138" s="224"/>
      <c r="P138" s="224">
        <f t="array" ref="P138">IFERROR(INDEX('Detail inputs'!$B$3:$K$193,MATCH($B138&amp;$G138&amp;P$5,'Detail inputs'!$B$3:$B$193&amp;'Detail inputs'!$G$3:$G$193&amp;'Detail inputs'!$H$3:$H$193,0),MATCH(P$4,'Detail inputs'!$B$3:$K$3,0)),0)</f>
        <v>1.01</v>
      </c>
      <c r="Q138" s="224">
        <f t="shared" si="60"/>
        <v>4.6459999999999999</v>
      </c>
      <c r="R138" s="246">
        <f>IFERROR(Q138/Q141,"")</f>
        <v>9.1377906450737355E-3</v>
      </c>
    </row>
    <row r="139" spans="2:22" outlineLevel="1" x14ac:dyDescent="0.35">
      <c r="B139" s="3" t="str">
        <f t="shared" si="58"/>
        <v>Energex</v>
      </c>
      <c r="C139" s="3" t="str">
        <f t="shared" si="55"/>
        <v>Residential</v>
      </c>
      <c r="D139" s="3" t="str">
        <f t="shared" si="56"/>
        <v>without CL</v>
      </c>
      <c r="E139" s="3" t="s">
        <v>21</v>
      </c>
      <c r="F139" s="228">
        <f t="array" ref="F139">IFERROR(INDEX(Usage!$B$5:$P$18,MATCH($B139,Usage!$B$5:$B$18,0),MATCH($C139&amp;$D139&amp;$E139&amp;"Total",Usage!$B$5:$S$5&amp;Usage!$B$6:$S$6&amp;Usage!$B$7:$S$7&amp;Usage!$B$13:$S$13,0)),0)</f>
        <v>4600</v>
      </c>
      <c r="G139" s="3" t="s">
        <v>145</v>
      </c>
      <c r="H139" s="224"/>
      <c r="I139" s="224">
        <f t="array" ref="I139">IFERROR(INDEX('Detail inputs'!$B$3:$K$193,MATCH($B139&amp;$G139&amp;I$5,'Detail inputs'!$B$3:$B$193&amp;'Detail inputs'!$G$3:$G$193&amp;'Detail inputs'!$H$3:$H$193,0),MATCH(I$4,'Detail inputs'!$B$3:$K$3,0)),0)</f>
        <v>1.66</v>
      </c>
      <c r="J139" s="224">
        <f t="shared" si="59"/>
        <v>7.6360000000000001</v>
      </c>
      <c r="K139" s="246">
        <f>IFERROR(J139/J141,"")</f>
        <v>2.2423341888423612E-2</v>
      </c>
      <c r="L139" s="246"/>
      <c r="M139" s="246">
        <f t="shared" si="57"/>
        <v>0.57228915662650603</v>
      </c>
      <c r="N139" s="243"/>
      <c r="O139" s="224"/>
      <c r="P139" s="224">
        <f t="array" ref="P139">IFERROR(INDEX('Detail inputs'!$B$3:$K$193,MATCH($B139&amp;$G139&amp;P$5,'Detail inputs'!$B$3:$B$193&amp;'Detail inputs'!$G$3:$G$193&amp;'Detail inputs'!$H$3:$H$193,0),MATCH(P$4,'Detail inputs'!$B$3:$K$3,0)),0)</f>
        <v>2.61</v>
      </c>
      <c r="Q139" s="224">
        <f t="shared" si="60"/>
        <v>12.006</v>
      </c>
      <c r="R139" s="246">
        <f>IFERROR(Q139/Q141,"")</f>
        <v>2.3613498597665792E-2</v>
      </c>
    </row>
    <row r="140" spans="2:22" outlineLevel="1" x14ac:dyDescent="0.35">
      <c r="B140" s="3" t="str">
        <f t="shared" si="58"/>
        <v>Energex</v>
      </c>
      <c r="C140" s="3" t="str">
        <f t="shared" si="55"/>
        <v>Residential</v>
      </c>
      <c r="D140" s="3" t="str">
        <f t="shared" si="56"/>
        <v>without CL</v>
      </c>
      <c r="E140" s="3" t="s">
        <v>21</v>
      </c>
      <c r="F140" s="228">
        <f t="array" ref="F140">IFERROR(INDEX(Usage!$B$5:$P$18,MATCH($B140,Usage!$B$5:$B$18,0),MATCH($C140&amp;$D140&amp;$E140&amp;"Total",Usage!$B$5:$S$5&amp;Usage!$B$6:$S$6&amp;Usage!$B$7:$S$7&amp;Usage!$B$13:$S$13,0)),0)</f>
        <v>4600</v>
      </c>
      <c r="G140" s="3" t="s">
        <v>69</v>
      </c>
      <c r="H140" s="224"/>
      <c r="I140" s="224">
        <f t="array" ref="I140">ROUND(IFERROR(INDEX('Detail inputs'!$B$3:$K$193,MATCH($B140&amp;$C140&amp;$E140&amp;$G140&amp;I$5,'Detail inputs'!$B$3:$B$193&amp;'Detail inputs'!$D$3:$D$193&amp;'Detail inputs'!$F$3:$F$193&amp;'Detail inputs'!$G$3:$G$193&amp;'Detail inputs'!$H$3:$H$193,0),MATCH(I$4,'Detail inputs'!$B$3:$K$3,0)),0)*SUM(I135:I139),2)</f>
        <v>4.45</v>
      </c>
      <c r="J140" s="224">
        <f t="shared" si="59"/>
        <v>20.47</v>
      </c>
      <c r="K140" s="246">
        <f>IFERROR(J140/J141,"")</f>
        <v>6.0110765905713896E-2</v>
      </c>
      <c r="L140" s="246"/>
      <c r="M140" s="246">
        <f t="shared" si="57"/>
        <v>0.55955056179775298</v>
      </c>
      <c r="N140" s="243"/>
      <c r="O140" s="224"/>
      <c r="P140" s="224">
        <f t="array" ref="P140">ROUND(IFERROR(INDEX('Detail inputs'!$B$3:$K$193,MATCH($B140&amp;$C140&amp;$E140&amp;$G140&amp;P$5,'Detail inputs'!$B$3:$B$193&amp;'Detail inputs'!$D$3:$D$193&amp;'Detail inputs'!$F$3:$F$193&amp;'Detail inputs'!$G$3:$G$193&amp;'Detail inputs'!$H$3:$H$193,0),MATCH(P$4,'Detail inputs'!$B$3:$K$3,0)),0)*SUM(P135:P139),2)</f>
        <v>6.94</v>
      </c>
      <c r="Q140" s="224">
        <f t="shared" si="60"/>
        <v>31.923999999999999</v>
      </c>
      <c r="R140" s="246">
        <f>IFERROR(Q140/Q141,"")</f>
        <v>6.2788383244368043E-2</v>
      </c>
    </row>
    <row r="141" spans="2:22" s="60" customFormat="1" x14ac:dyDescent="0.35">
      <c r="B141" s="3" t="str">
        <f t="shared" si="58"/>
        <v>Energex</v>
      </c>
      <c r="C141" s="3" t="str">
        <f t="shared" si="55"/>
        <v>Residential</v>
      </c>
      <c r="D141" s="3" t="str">
        <f t="shared" si="56"/>
        <v>without CL</v>
      </c>
      <c r="E141" s="3" t="s">
        <v>21</v>
      </c>
      <c r="F141" s="228">
        <f t="array" ref="F141">IFERROR(INDEX(Usage!$B$5:$P$18,MATCH($B141,Usage!$B$5:$B$18,0),MATCH($C141&amp;$D141&amp;$E141&amp;"Total",Usage!$B$5:$S$5&amp;Usage!$B$6:$S$6&amp;Usage!$B$7:$S$7&amp;Usage!$B$13:$S$13,0)),0)</f>
        <v>4600</v>
      </c>
      <c r="G141" s="60" t="s">
        <v>53</v>
      </c>
      <c r="H141" s="226"/>
      <c r="I141" s="226">
        <f t="array" ref="I141">INDEX('Key inputs'!$B$16:$N$40,MATCH($B141&amp;$C141&amp;$E141,'Key inputs'!$B$16:$B$40&amp;'Key inputs'!$C$16:$C$40&amp;'Key inputs'!$D$16:$D$40,0),MATCH($A$2&amp;I$4,'Key inputs'!$B$17:$N$17&amp;'Key inputs'!$B$18:$N$18,0))</f>
        <v>74.03</v>
      </c>
      <c r="J141" s="224">
        <f t="shared" si="59"/>
        <v>340.53800000000001</v>
      </c>
      <c r="K141" s="247"/>
      <c r="L141" s="259"/>
      <c r="M141" s="247">
        <f t="shared" si="57"/>
        <v>0.49304336079967581</v>
      </c>
      <c r="N141" s="253"/>
      <c r="O141" s="226"/>
      <c r="P141" s="226">
        <f t="array" ref="P141">INDEX('Key inputs'!$B$16:$N$40,MATCH($B141&amp;$C141&amp;$E141,'Key inputs'!$B$16:$B$40&amp;'Key inputs'!$C$16:$C$40&amp;'Key inputs'!$D$16:$D$40,0),MATCH($A$2&amp;P$4,'Key inputs'!$B$17:$N$17&amp;'Key inputs'!$B$18:$N$18,0))</f>
        <v>110.53</v>
      </c>
      <c r="Q141" s="224">
        <f t="shared" si="60"/>
        <v>508.43799999999999</v>
      </c>
      <c r="R141" s="247"/>
      <c r="S141" s="97"/>
      <c r="T141" s="97"/>
      <c r="U141" s="97"/>
      <c r="V141" s="97"/>
    </row>
    <row r="142" spans="2:22" outlineLevel="1" x14ac:dyDescent="0.35">
      <c r="B142" s="3" t="str">
        <f t="shared" si="58"/>
        <v>Energex</v>
      </c>
      <c r="C142" s="3" t="str">
        <f t="shared" si="55"/>
        <v>Residential</v>
      </c>
      <c r="D142" s="3" t="str">
        <f t="shared" si="56"/>
        <v>without CL</v>
      </c>
      <c r="F142" s="228"/>
      <c r="G142" s="60" t="s">
        <v>35</v>
      </c>
      <c r="H142" s="226"/>
      <c r="I142" s="226"/>
      <c r="J142" s="226">
        <f>J141*GST</f>
        <v>34.053800000000003</v>
      </c>
      <c r="K142" s="247"/>
      <c r="L142" s="259"/>
      <c r="M142" s="247"/>
      <c r="N142" s="253"/>
      <c r="O142" s="226"/>
      <c r="P142" s="226"/>
      <c r="Q142" s="226">
        <f>Q141*GST</f>
        <v>50.843800000000002</v>
      </c>
      <c r="R142" s="248"/>
    </row>
    <row r="143" spans="2:22" x14ac:dyDescent="0.35">
      <c r="B143" s="3" t="str">
        <f t="shared" si="58"/>
        <v>Energex</v>
      </c>
      <c r="C143" s="3" t="str">
        <f t="shared" si="55"/>
        <v>Residential</v>
      </c>
      <c r="D143" s="3" t="str">
        <f t="shared" si="56"/>
        <v>without CL</v>
      </c>
      <c r="F143" s="228"/>
      <c r="G143" s="5" t="s">
        <v>77</v>
      </c>
      <c r="H143" s="227"/>
      <c r="I143" s="227"/>
      <c r="J143" s="227">
        <f>SUM(J141:J142)</f>
        <v>374.59180000000003</v>
      </c>
      <c r="K143" s="248"/>
      <c r="L143" s="260"/>
      <c r="M143" s="248">
        <f>IF(OR(J143=0,Q143=""),"",Q143/J143-1)</f>
        <v>0.49304336079967559</v>
      </c>
      <c r="N143" s="254"/>
      <c r="O143" s="227"/>
      <c r="P143" s="227"/>
      <c r="Q143" s="227">
        <f>SUM(Q141:Q142)</f>
        <v>559.28179999999998</v>
      </c>
      <c r="R143" s="248"/>
    </row>
    <row r="144" spans="2:22" x14ac:dyDescent="0.35">
      <c r="F144" s="228"/>
      <c r="H144" s="224"/>
      <c r="I144" s="224"/>
      <c r="J144" s="224"/>
      <c r="K144" s="246"/>
      <c r="L144" s="261"/>
      <c r="M144" s="246"/>
      <c r="N144" s="252"/>
      <c r="O144" s="224"/>
      <c r="P144" s="224"/>
      <c r="Q144" s="224"/>
      <c r="R144" s="246"/>
    </row>
    <row r="145" spans="2:22" x14ac:dyDescent="0.35">
      <c r="B145" s="5" t="s">
        <v>0</v>
      </c>
      <c r="C145" s="5" t="s">
        <v>6</v>
      </c>
      <c r="D145" s="5" t="s">
        <v>137</v>
      </c>
      <c r="F145" s="228"/>
      <c r="H145" s="224"/>
      <c r="I145" s="224"/>
      <c r="J145" s="224"/>
      <c r="K145" s="246"/>
      <c r="L145" s="261"/>
      <c r="M145" s="246"/>
      <c r="N145" s="252"/>
      <c r="O145" s="224"/>
      <c r="P145" s="224"/>
      <c r="Q145" s="224"/>
      <c r="R145" s="246"/>
    </row>
    <row r="146" spans="2:22" outlineLevel="1" x14ac:dyDescent="0.35">
      <c r="B146" s="3" t="str">
        <f>B145</f>
        <v>Energex</v>
      </c>
      <c r="C146" s="3" t="str">
        <f t="shared" ref="C146:C163" si="61">C145</f>
        <v>Residential</v>
      </c>
      <c r="D146" s="3" t="str">
        <f t="shared" ref="D146:D163" si="62">D145</f>
        <v>with CL</v>
      </c>
      <c r="E146" s="3" t="s">
        <v>21</v>
      </c>
      <c r="F146" s="228">
        <f t="array" ref="F146">IFERROR(INDEX(Usage!$B$5:$P$18,MATCH($B146,Usage!$B$5:$B$18,0),MATCH($C146&amp;$D146&amp;$E146&amp;"Total",Usage!$B$5:$S$5&amp;Usage!$B$6:$S$6&amp;Usage!$B$7:$S$7&amp;Usage!$B$13:$S$13,0)),0)</f>
        <v>4400</v>
      </c>
      <c r="G146" s="3" t="s">
        <v>53</v>
      </c>
      <c r="H146" s="224"/>
      <c r="I146" s="226">
        <f t="array" ref="I146">INDEX('Key inputs'!$B$16:$N$40,MATCH($B146&amp;$C146&amp;$E146,'Key inputs'!$B$16:$B$40&amp;'Key inputs'!$C$16:$C$40&amp;'Key inputs'!$D$16:$D$40,0),MATCH($A$2&amp;I$4,'Key inputs'!$B$17:$N$17&amp;'Key inputs'!$B$18:$N$18,0))</f>
        <v>74.03</v>
      </c>
      <c r="J146" s="224">
        <f t="shared" ref="J146:J154" si="63">IF(AND(H146="",I146=""),"",H146+I146*$F146/1000)</f>
        <v>325.73200000000003</v>
      </c>
      <c r="K146" s="246"/>
      <c r="L146" s="261"/>
      <c r="M146" s="246">
        <f t="shared" ref="M146:M155" si="64">IF(OR(J146=0,Q146=""),"",Q146/J146-1)</f>
        <v>0.49304336079967559</v>
      </c>
      <c r="N146" s="252"/>
      <c r="O146" s="224"/>
      <c r="P146" s="226">
        <f t="array" ref="P146">INDEX('Key inputs'!$B$16:$N$40,MATCH($B146&amp;$C146&amp;$E146,'Key inputs'!$B$16:$B$40&amp;'Key inputs'!$C$16:$C$40&amp;'Key inputs'!$D$16:$D$40,0),MATCH($A$2&amp;P$4,'Key inputs'!$B$17:$N$17&amp;'Key inputs'!$B$18:$N$18,0))</f>
        <v>110.53</v>
      </c>
      <c r="Q146" s="224">
        <f t="shared" ref="Q146:Q153" si="65">IF(AND(O146="",P146=""),"",O146+P146*$F146/1000)</f>
        <v>486.33199999999999</v>
      </c>
      <c r="R146" s="246"/>
    </row>
    <row r="147" spans="2:22" outlineLevel="1" x14ac:dyDescent="0.35">
      <c r="B147" s="3" t="str">
        <f t="shared" ref="B147:B163" si="66">B146</f>
        <v>Energex</v>
      </c>
      <c r="C147" s="3" t="str">
        <f t="shared" si="61"/>
        <v>Residential</v>
      </c>
      <c r="D147" s="3" t="str">
        <f t="shared" si="62"/>
        <v>with CL</v>
      </c>
      <c r="E147" s="3" t="s">
        <v>15</v>
      </c>
      <c r="F147" s="228">
        <f t="array" ref="F147">IFERROR(INDEX(Usage!$B$5:$P$18,MATCH($B147,Usage!$B$5:$B$18,0),MATCH($C147&amp;$D147&amp;$E147,Usage!$B$5:$S$5&amp;Usage!$B$6:$S$6&amp;Usage!$B$7:$S$7,0)),0)</f>
        <v>551</v>
      </c>
      <c r="G147" s="3" t="s">
        <v>66</v>
      </c>
      <c r="H147" s="224"/>
      <c r="I147" s="224">
        <f t="array" ref="I147">IFERROR(INDEX('Detail inputs'!$B$3:$K$193,MATCH($B147&amp;$C147&amp;$E147&amp;$G147&amp;I$5,'Detail inputs'!$B$3:$B$193&amp;'Detail inputs'!$D$3:$D$193&amp;'Detail inputs'!$F$3:$F$193&amp;'Detail inputs'!$G$3:$G$193&amp;'Detail inputs'!$H$3:$H$193,0),MATCH(I$4,'Detail inputs'!$B$3:$K$3,0)),0)</f>
        <v>52.73</v>
      </c>
      <c r="J147" s="224">
        <f t="shared" si="63"/>
        <v>29.05423</v>
      </c>
      <c r="K147" s="246">
        <f>IFERROR(J147/J153,"")</f>
        <v>0.89615907545887152</v>
      </c>
      <c r="L147" s="246"/>
      <c r="M147" s="246">
        <f t="shared" si="64"/>
        <v>0.42366774132372464</v>
      </c>
      <c r="N147" s="243"/>
      <c r="O147" s="224"/>
      <c r="P147" s="224">
        <f t="array" ref="P147">IFERROR(INDEX('Detail inputs'!$B$3:$K$193,MATCH($B147&amp;$C147&amp;$E147&amp;$G147&amp;P$5,'Detail inputs'!$B$3:$B$193&amp;'Detail inputs'!$D$3:$D$193&amp;'Detail inputs'!$F$3:$F$193&amp;'Detail inputs'!$G$3:$G$193&amp;'Detail inputs'!$H$3:$H$193,0),MATCH(P$4,'Detail inputs'!$B$3:$K$3,0)),0)</f>
        <v>75.069999999999993</v>
      </c>
      <c r="Q147" s="224">
        <f t="shared" si="65"/>
        <v>41.363570000000003</v>
      </c>
      <c r="R147" s="246">
        <f>IFERROR(Q147/Q153,"")</f>
        <v>0.86635891517599539</v>
      </c>
    </row>
    <row r="148" spans="2:22" outlineLevel="1" x14ac:dyDescent="0.35">
      <c r="B148" s="3" t="str">
        <f t="shared" si="66"/>
        <v>Energex</v>
      </c>
      <c r="C148" s="3" t="str">
        <f t="shared" si="61"/>
        <v>Residential</v>
      </c>
      <c r="D148" s="3" t="str">
        <f t="shared" si="62"/>
        <v>with CL</v>
      </c>
      <c r="E148" s="3" t="s">
        <v>15</v>
      </c>
      <c r="F148" s="228">
        <f t="array" ref="F148">IFERROR(INDEX(Usage!$B$5:$P$18,MATCH($B148,Usage!$B$5:$B$18,0),MATCH($C148&amp;$D148&amp;$E148,Usage!$B$5:$S$5&amp;Usage!$B$6:$S$6&amp;Usage!$B$7:$S$7,0)),0)</f>
        <v>551</v>
      </c>
      <c r="G148" s="3" t="s">
        <v>67</v>
      </c>
      <c r="H148" s="224"/>
      <c r="I148" s="224">
        <f t="array" ref="I148">IFERROR(INDEX('Detail inputs'!$B$3:$K$193,MATCH($B148&amp;$G148&amp;I$5,'Detail inputs'!$B$3:$B$193&amp;'Detail inputs'!$G$3:$G$193&amp;'Detail inputs'!$H$3:$H$193,0),MATCH(I$4,'Detail inputs'!$B$3:$K$3,0)),0)</f>
        <v>0.42</v>
      </c>
      <c r="J148" s="224">
        <f t="shared" si="63"/>
        <v>0.23141999999999999</v>
      </c>
      <c r="K148" s="246">
        <f>IFERROR(J148/J153,"")</f>
        <v>7.1380013596193063E-3</v>
      </c>
      <c r="L148" s="246"/>
      <c r="M148" s="246">
        <f t="shared" si="64"/>
        <v>2.3809523809523814</v>
      </c>
      <c r="N148" s="243"/>
      <c r="O148" s="224"/>
      <c r="P148" s="224">
        <f t="array" ref="P148">IFERROR(INDEX('Detail inputs'!$B$3:$K$193,MATCH($B148&amp;$G148&amp;P$5,'Detail inputs'!$B$3:$B$193&amp;'Detail inputs'!$G$3:$G$193&amp;'Detail inputs'!$H$3:$H$193,0),MATCH(P$4,'Detail inputs'!$B$3:$K$3,0)),0)</f>
        <v>1.42</v>
      </c>
      <c r="Q148" s="224">
        <f t="shared" si="65"/>
        <v>0.78242</v>
      </c>
      <c r="R148" s="246">
        <f>IFERROR(Q148/Q153,"")</f>
        <v>1.6387766878245814E-2</v>
      </c>
    </row>
    <row r="149" spans="2:22" outlineLevel="1" x14ac:dyDescent="0.35">
      <c r="B149" s="3" t="str">
        <f t="shared" si="66"/>
        <v>Energex</v>
      </c>
      <c r="C149" s="3" t="str">
        <f t="shared" si="61"/>
        <v>Residential</v>
      </c>
      <c r="D149" s="3" t="str">
        <f t="shared" si="62"/>
        <v>with CL</v>
      </c>
      <c r="E149" s="3" t="s">
        <v>15</v>
      </c>
      <c r="F149" s="228">
        <f t="array" ref="F149">IFERROR(INDEX(Usage!$B$5:$P$18,MATCH($B149,Usage!$B$5:$B$18,0),MATCH($C149&amp;$D149&amp;$E149,Usage!$B$5:$S$5&amp;Usage!$B$6:$S$6&amp;Usage!$B$7:$S$7,0)),0)</f>
        <v>551</v>
      </c>
      <c r="G149" s="3" t="s">
        <v>75</v>
      </c>
      <c r="H149" s="224"/>
      <c r="I149" s="224">
        <f t="array" ref="I149">IFERROR(INDEX('Detail inputs'!$B$3:$K$193,MATCH($B149&amp;$G149&amp;I$5,'Detail inputs'!$B$3:$B$193&amp;'Detail inputs'!$G$3:$G$193&amp;'Detail inputs'!$H$3:$H$193,0),MATCH(I$4,'Detail inputs'!$B$3:$K$3,0)),0)</f>
        <v>0.49</v>
      </c>
      <c r="J149" s="224">
        <f t="shared" si="63"/>
        <v>0.26999000000000001</v>
      </c>
      <c r="K149" s="246">
        <f>IFERROR(J149/J153,"")</f>
        <v>8.3276682528891921E-3</v>
      </c>
      <c r="L149" s="246"/>
      <c r="M149" s="246">
        <f t="shared" si="64"/>
        <v>1.2448979591836733</v>
      </c>
      <c r="N149" s="243"/>
      <c r="O149" s="224"/>
      <c r="P149" s="224">
        <f t="array" ref="P149">IFERROR(INDEX('Detail inputs'!$B$3:$K$193,MATCH($B149&amp;$G149&amp;P$5,'Detail inputs'!$B$3:$B$193&amp;'Detail inputs'!$G$3:$G$193&amp;'Detail inputs'!$H$3:$H$193,0),MATCH(P$4,'Detail inputs'!$B$3:$K$3,0)),0)</f>
        <v>1.1000000000000001</v>
      </c>
      <c r="Q149" s="224">
        <f t="shared" si="65"/>
        <v>0.60609999999999997</v>
      </c>
      <c r="R149" s="246">
        <f>IFERROR(Q149/Q153,"")</f>
        <v>1.269474899019042E-2</v>
      </c>
    </row>
    <row r="150" spans="2:22" outlineLevel="1" x14ac:dyDescent="0.35">
      <c r="B150" s="3" t="str">
        <f t="shared" si="66"/>
        <v>Energex</v>
      </c>
      <c r="C150" s="3" t="str">
        <f t="shared" si="61"/>
        <v>Residential</v>
      </c>
      <c r="D150" s="3" t="str">
        <f t="shared" si="62"/>
        <v>with CL</v>
      </c>
      <c r="E150" s="3" t="s">
        <v>15</v>
      </c>
      <c r="F150" s="228">
        <f t="array" ref="F150">IFERROR(INDEX(Usage!$B$5:$P$18,MATCH($B150,Usage!$B$5:$B$18,0),MATCH($C150&amp;$D150&amp;$E150,Usage!$B$5:$S$5&amp;Usage!$B$6:$S$6&amp;Usage!$B$7:$S$7,0)),0)</f>
        <v>551</v>
      </c>
      <c r="G150" s="3" t="s">
        <v>68</v>
      </c>
      <c r="H150" s="224"/>
      <c r="I150" s="224">
        <f t="array" ref="I150">IFERROR(INDEX('Detail inputs'!$B$3:$K$193,MATCH($B150&amp;$G150&amp;I$5,'Detail inputs'!$B$3:$B$193&amp;'Detail inputs'!$G$3:$G$193&amp;'Detail inputs'!$H$3:$H$193,0),MATCH(I$4,'Detail inputs'!$B$3:$K$3,0)),0)</f>
        <v>0</v>
      </c>
      <c r="J150" s="224">
        <f t="shared" si="63"/>
        <v>0</v>
      </c>
      <c r="K150" s="246">
        <f>IFERROR(J150/J153,"")</f>
        <v>0</v>
      </c>
      <c r="L150" s="246"/>
      <c r="M150" s="246" t="str">
        <f t="shared" si="64"/>
        <v/>
      </c>
      <c r="N150" s="243"/>
      <c r="O150" s="224"/>
      <c r="P150" s="224">
        <f t="array" ref="P150">IFERROR(INDEX('Detail inputs'!$B$3:$K$193,MATCH($B150&amp;$G150&amp;P$5,'Detail inputs'!$B$3:$B$193&amp;'Detail inputs'!$G$3:$G$193&amp;'Detail inputs'!$H$3:$H$193,0),MATCH(P$4,'Detail inputs'!$B$3:$K$3,0)),0)</f>
        <v>1.01</v>
      </c>
      <c r="Q150" s="224">
        <f t="shared" si="65"/>
        <v>0.55650999999999995</v>
      </c>
      <c r="R150" s="246">
        <f>IFERROR(Q150/Q153,"")</f>
        <v>1.1656087709174839E-2</v>
      </c>
    </row>
    <row r="151" spans="2:22" outlineLevel="1" x14ac:dyDescent="0.35">
      <c r="B151" s="3" t="str">
        <f t="shared" si="66"/>
        <v>Energex</v>
      </c>
      <c r="C151" s="3" t="str">
        <f t="shared" si="61"/>
        <v>Residential</v>
      </c>
      <c r="D151" s="3" t="str">
        <f t="shared" si="62"/>
        <v>with CL</v>
      </c>
      <c r="E151" s="3" t="s">
        <v>15</v>
      </c>
      <c r="F151" s="228">
        <f t="array" ref="F151">IFERROR(INDEX(Usage!$B$5:$P$18,MATCH($B151,Usage!$B$5:$B$18,0),MATCH($C151&amp;$D151&amp;$E151,Usage!$B$5:$S$5&amp;Usage!$B$6:$S$6&amp;Usage!$B$7:$S$7,0)),0)</f>
        <v>551</v>
      </c>
      <c r="G151" s="3" t="s">
        <v>145</v>
      </c>
      <c r="H151" s="224"/>
      <c r="I151" s="224">
        <f t="array" ref="I151">IFERROR(INDEX('Detail inputs'!$B$3:$K$193,MATCH($B151&amp;$G151&amp;I$5,'Detail inputs'!$B$3:$B$193&amp;'Detail inputs'!$G$3:$G$193&amp;'Detail inputs'!$H$3:$H$193,0),MATCH(I$4,'Detail inputs'!$B$3:$K$3,0)),0)</f>
        <v>1.66</v>
      </c>
      <c r="J151" s="224">
        <f t="shared" si="63"/>
        <v>0.91465999999999992</v>
      </c>
      <c r="K151" s="246">
        <f>IFERROR(J151/J153,"")</f>
        <v>2.8212100611828685E-2</v>
      </c>
      <c r="L151" s="246"/>
      <c r="M151" s="246">
        <f t="shared" si="64"/>
        <v>0.57228915662650626</v>
      </c>
      <c r="N151" s="243"/>
      <c r="O151" s="224"/>
      <c r="P151" s="224">
        <f t="array" ref="P151">IFERROR(INDEX('Detail inputs'!$B$3:$K$193,MATCH($B151&amp;$G151&amp;P$5,'Detail inputs'!$B$3:$B$193&amp;'Detail inputs'!$G$3:$G$193&amp;'Detail inputs'!$H$3:$H$193,0),MATCH(P$4,'Detail inputs'!$B$3:$K$3,0)),0)</f>
        <v>2.61</v>
      </c>
      <c r="Q151" s="224">
        <f t="shared" si="65"/>
        <v>1.43811</v>
      </c>
      <c r="R151" s="246">
        <f>IFERROR(Q151/Q153,"")</f>
        <v>3.0121177149451814E-2</v>
      </c>
    </row>
    <row r="152" spans="2:22" outlineLevel="1" x14ac:dyDescent="0.35">
      <c r="B152" s="3" t="str">
        <f t="shared" si="66"/>
        <v>Energex</v>
      </c>
      <c r="C152" s="3" t="str">
        <f t="shared" si="61"/>
        <v>Residential</v>
      </c>
      <c r="D152" s="3" t="str">
        <f t="shared" si="62"/>
        <v>with CL</v>
      </c>
      <c r="E152" s="3" t="s">
        <v>15</v>
      </c>
      <c r="F152" s="228">
        <f t="array" ref="F152">IFERROR(INDEX(Usage!$B$5:$P$18,MATCH($B152,Usage!$B$5:$B$18,0),MATCH($C152&amp;$D152&amp;$E152,Usage!$B$5:$S$5&amp;Usage!$B$6:$S$6&amp;Usage!$B$7:$S$7,0)),0)</f>
        <v>551</v>
      </c>
      <c r="G152" s="3" t="s">
        <v>69</v>
      </c>
      <c r="H152" s="224"/>
      <c r="I152" s="224">
        <f t="array" ref="I152">ROUND(IFERROR(INDEX('Detail inputs'!$B$3:$K$193,MATCH($B152&amp;$C152&amp;$E152&amp;$G152&amp;I$5,'Detail inputs'!$B$3:$B$193&amp;'Detail inputs'!$D$3:$D$193&amp;'Detail inputs'!$F$3:$F$193&amp;'Detail inputs'!$G$3:$G$193&amp;'Detail inputs'!$H$3:$H$193,0),MATCH(I$4,'Detail inputs'!$B$3:$K$3,0)),0)*SUM(I147:I151),2)</f>
        <v>3.54</v>
      </c>
      <c r="J152" s="224">
        <f t="shared" si="63"/>
        <v>1.9505399999999999</v>
      </c>
      <c r="K152" s="246">
        <f>IFERROR(J152/J153,"")</f>
        <v>6.0163154316791298E-2</v>
      </c>
      <c r="L152" s="246"/>
      <c r="M152" s="246">
        <f t="shared" si="64"/>
        <v>0.53672316384180796</v>
      </c>
      <c r="N152" s="243"/>
      <c r="O152" s="224"/>
      <c r="P152" s="224">
        <f t="array" ref="P152">ROUND(IFERROR(INDEX('Detail inputs'!$B$3:$K$193,MATCH($B152&amp;$C152&amp;$E152&amp;$G152&amp;P$5,'Detail inputs'!$B$3:$B$193&amp;'Detail inputs'!$D$3:$D$193&amp;'Detail inputs'!$F$3:$F$193&amp;'Detail inputs'!$G$3:$G$193&amp;'Detail inputs'!$H$3:$H$193,0),MATCH(P$4,'Detail inputs'!$B$3:$K$3,0)),0)*SUM(P147:P151),2)</f>
        <v>5.44</v>
      </c>
      <c r="Q152" s="224">
        <f t="shared" si="65"/>
        <v>2.9974400000000001</v>
      </c>
      <c r="R152" s="246">
        <f>IFERROR(Q152/Q153,"")</f>
        <v>6.2781304096941715E-2</v>
      </c>
    </row>
    <row r="153" spans="2:22" outlineLevel="1" x14ac:dyDescent="0.35">
      <c r="B153" s="3" t="str">
        <f t="shared" si="66"/>
        <v>Energex</v>
      </c>
      <c r="C153" s="3" t="str">
        <f t="shared" si="61"/>
        <v>Residential</v>
      </c>
      <c r="D153" s="3" t="str">
        <f t="shared" si="62"/>
        <v>with CL</v>
      </c>
      <c r="E153" s="3" t="s">
        <v>15</v>
      </c>
      <c r="F153" s="228">
        <f t="array" ref="F153">IFERROR(INDEX(Usage!$B$5:$P$18,MATCH($B153,Usage!$B$5:$B$18,0),MATCH($C153&amp;$D153&amp;$E153,Usage!$B$5:$S$5&amp;Usage!$B$6:$S$6&amp;Usage!$B$7:$S$7,0)),0)</f>
        <v>551</v>
      </c>
      <c r="G153" s="3" t="s">
        <v>53</v>
      </c>
      <c r="H153" s="226"/>
      <c r="I153" s="226">
        <f t="array" ref="I153">INDEX('Key inputs'!$B$16:$N$40,MATCH($B153&amp;$C153&amp;$E153,'Key inputs'!$B$16:$B$40&amp;'Key inputs'!$C$16:$C$40&amp;'Key inputs'!$D$16:$D$40,0),MATCH($A$2&amp;I$4,'Key inputs'!$B$17:$N$17&amp;'Key inputs'!$B$18:$N$18,0))</f>
        <v>58.84</v>
      </c>
      <c r="J153" s="224">
        <f t="shared" si="63"/>
        <v>32.420839999999998</v>
      </c>
      <c r="K153" s="247"/>
      <c r="L153" s="259"/>
      <c r="M153" s="247">
        <f t="shared" si="64"/>
        <v>0.47263766145479291</v>
      </c>
      <c r="N153" s="253"/>
      <c r="O153" s="226"/>
      <c r="P153" s="226">
        <f t="array" ref="P153">INDEX('Key inputs'!$B$16:$N$40,MATCH($B153&amp;$C153&amp;$E153,'Key inputs'!$B$16:$B$40&amp;'Key inputs'!$C$16:$C$40&amp;'Key inputs'!$D$16:$D$40,0),MATCH($A$2&amp;P$4,'Key inputs'!$B$17:$N$17&amp;'Key inputs'!$B$18:$N$18,0))</f>
        <v>86.65</v>
      </c>
      <c r="Q153" s="224">
        <f t="shared" si="65"/>
        <v>47.744150000000005</v>
      </c>
      <c r="R153" s="247"/>
      <c r="T153" s="97"/>
      <c r="U153" s="97"/>
      <c r="V153" s="97"/>
    </row>
    <row r="154" spans="2:22" outlineLevel="1" x14ac:dyDescent="0.35">
      <c r="B154" s="3" t="str">
        <f t="shared" si="66"/>
        <v>Energex</v>
      </c>
      <c r="C154" s="3" t="str">
        <f t="shared" si="61"/>
        <v>Residential</v>
      </c>
      <c r="D154" s="3" t="str">
        <f t="shared" si="62"/>
        <v>with CL</v>
      </c>
      <c r="E154" s="3" t="s">
        <v>16</v>
      </c>
      <c r="F154" s="228">
        <f t="array" ref="F154">IFERROR(INDEX(Usage!$B$5:$P$18,MATCH($B154,Usage!$B$5:$B$18,0),MATCH($C154&amp;$D154&amp;$E154,Usage!$B$5:$S$5&amp;Usage!$B$6:$S$6&amp;Usage!$B$7:$S$7,0)),0)</f>
        <v>1349</v>
      </c>
      <c r="G154" s="3" t="s">
        <v>66</v>
      </c>
      <c r="H154" s="226"/>
      <c r="I154" s="224">
        <f t="array" ref="I154">IFERROR(INDEX('Detail inputs'!$B$3:$K$193,MATCH($B154&amp;$C154&amp;$E154&amp;$G154&amp;I$5,'Detail inputs'!$B$3:$B$193&amp;'Detail inputs'!$D$3:$D$193&amp;'Detail inputs'!$F$3:$F$193&amp;'Detail inputs'!$G$3:$G$193&amp;'Detail inputs'!$H$3:$H$193,0),MATCH(I$4,'Detail inputs'!$B$3:$K$3,0)),0)</f>
        <v>54.93</v>
      </c>
      <c r="J154" s="224">
        <f t="shared" si="63"/>
        <v>74.100569999999991</v>
      </c>
      <c r="K154" s="247">
        <f>IFERROR(J154/J160,"")</f>
        <v>0.89784243216737492</v>
      </c>
      <c r="L154" s="247"/>
      <c r="M154" s="247">
        <f t="shared" si="64"/>
        <v>0.4829783360640818</v>
      </c>
      <c r="N154" s="244"/>
      <c r="O154" s="226"/>
      <c r="P154" s="224">
        <f t="array" ref="P154">IFERROR(INDEX('Detail inputs'!$B$3:$K$193,MATCH($B154&amp;$C154&amp;$E154&amp;$G154&amp;P$5,'Detail inputs'!$B$3:$B$193&amp;'Detail inputs'!$D$3:$D$193&amp;'Detail inputs'!$F$3:$F$193&amp;'Detail inputs'!$G$3:$G$193&amp;'Detail inputs'!$H$3:$H$193,0),MATCH(P$4,'Detail inputs'!$B$3:$K$3,0)),0)</f>
        <v>81.459999999999994</v>
      </c>
      <c r="Q154" s="226">
        <f t="shared" ref="Q154:Q160" si="67">IF(AND(O154="",P154=""),"",O154+P154*$F154/1000)</f>
        <v>109.88954</v>
      </c>
      <c r="R154" s="247">
        <f>IFERROR(Q154/Q160,"")</f>
        <v>0.87150957526479078</v>
      </c>
    </row>
    <row r="155" spans="2:22" outlineLevel="1" x14ac:dyDescent="0.35">
      <c r="B155" s="3" t="str">
        <f t="shared" si="66"/>
        <v>Energex</v>
      </c>
      <c r="C155" s="3" t="str">
        <f t="shared" si="61"/>
        <v>Residential</v>
      </c>
      <c r="D155" s="3" t="str">
        <f t="shared" si="62"/>
        <v>with CL</v>
      </c>
      <c r="E155" s="3" t="s">
        <v>16</v>
      </c>
      <c r="F155" s="228">
        <f t="array" ref="F155">IFERROR(INDEX(Usage!$B$5:$P$18,MATCH($B155,Usage!$B$5:$B$18,0),MATCH($C155&amp;$D155&amp;$E155,Usage!$B$5:$S$5&amp;Usage!$B$6:$S$6&amp;Usage!$B$7:$S$7,0)),0)</f>
        <v>1349</v>
      </c>
      <c r="G155" s="3" t="s">
        <v>67</v>
      </c>
      <c r="H155" s="226"/>
      <c r="I155" s="226">
        <f t="array" ref="I155">IFERROR(INDEX('Detail inputs'!$B$3:$K$193,MATCH($B155&amp;$G155&amp;I$5,'Detail inputs'!$B$3:$B$193&amp;'Detail inputs'!$G$3:$G$193&amp;'Detail inputs'!$H$3:$H$193,0),MATCH(I$4,'Detail inputs'!$B$3:$K$3,0)),0)</f>
        <v>0.42</v>
      </c>
      <c r="J155" s="226">
        <f t="shared" ref="J155:J160" si="68">IF(AND(H155="",I155=""),"",H155+I155*$F155/1000)</f>
        <v>0.56657999999999997</v>
      </c>
      <c r="K155" s="247">
        <f>IFERROR(J155/J160,"")</f>
        <v>6.8649885583524023E-3</v>
      </c>
      <c r="L155" s="247"/>
      <c r="M155" s="247">
        <f t="shared" si="64"/>
        <v>2.3809523809523809</v>
      </c>
      <c r="N155" s="244"/>
      <c r="O155" s="226"/>
      <c r="P155" s="226">
        <f t="array" ref="P155">IFERROR(INDEX('Detail inputs'!$B$3:$K$193,MATCH($B155&amp;$G155&amp;P$5,'Detail inputs'!$B$3:$B$193&amp;'Detail inputs'!$G$3:$G$193&amp;'Detail inputs'!$H$3:$H$193,0),MATCH(P$4,'Detail inputs'!$B$3:$K$3,0)),0)</f>
        <v>1.42</v>
      </c>
      <c r="Q155" s="226">
        <f t="shared" si="67"/>
        <v>1.9155799999999998</v>
      </c>
      <c r="R155" s="247">
        <f>IFERROR(Q155/Q160,"")</f>
        <v>1.5192040226810739E-2</v>
      </c>
    </row>
    <row r="156" spans="2:22" outlineLevel="1" x14ac:dyDescent="0.35">
      <c r="B156" s="3" t="str">
        <f t="shared" si="66"/>
        <v>Energex</v>
      </c>
      <c r="C156" s="3" t="str">
        <f t="shared" si="61"/>
        <v>Residential</v>
      </c>
      <c r="D156" s="3" t="str">
        <f t="shared" si="62"/>
        <v>with CL</v>
      </c>
      <c r="E156" s="3" t="s">
        <v>16</v>
      </c>
      <c r="F156" s="228">
        <f t="array" ref="F156">IFERROR(INDEX(Usage!$B$5:$P$18,MATCH($B156,Usage!$B$5:$B$18,0),MATCH($C156&amp;$D156&amp;$E156,Usage!$B$5:$S$5&amp;Usage!$B$6:$S$6&amp;Usage!$B$7:$S$7,0)),0)</f>
        <v>1349</v>
      </c>
      <c r="G156" s="3" t="s">
        <v>75</v>
      </c>
      <c r="H156" s="226"/>
      <c r="I156" s="226">
        <f t="array" ref="I156">IFERROR(INDEX('Detail inputs'!$B$3:$K$193,MATCH($B156&amp;$G156&amp;I$5,'Detail inputs'!$B$3:$B$193&amp;'Detail inputs'!$G$3:$G$193&amp;'Detail inputs'!$H$3:$H$193,0),MATCH(I$4,'Detail inputs'!$B$3:$K$3,0)),0)</f>
        <v>0.49</v>
      </c>
      <c r="J156" s="226">
        <f t="shared" si="68"/>
        <v>0.66100999999999999</v>
      </c>
      <c r="K156" s="247">
        <f>IFERROR(J156/J160,"")</f>
        <v>8.0091533180778034E-3</v>
      </c>
      <c r="L156" s="247"/>
      <c r="M156" s="247">
        <f t="shared" ref="M156:M161" si="69">IF(OR(J156=0,Q156=""),"",Q156/J156-1)</f>
        <v>1.2448979591836733</v>
      </c>
      <c r="N156" s="244"/>
      <c r="O156" s="226"/>
      <c r="P156" s="226">
        <f t="array" ref="P156">IFERROR(INDEX('Detail inputs'!$B$3:$K$193,MATCH($B156&amp;$G156&amp;P$5,'Detail inputs'!$B$3:$B$193&amp;'Detail inputs'!$G$3:$G$193&amp;'Detail inputs'!$H$3:$H$193,0),MATCH(P$4,'Detail inputs'!$B$3:$K$3,0)),0)</f>
        <v>1.1000000000000001</v>
      </c>
      <c r="Q156" s="226">
        <f t="shared" si="67"/>
        <v>1.4839</v>
      </c>
      <c r="R156" s="247">
        <f>IFERROR(Q156/Q160,"")</f>
        <v>1.1768481865839306E-2</v>
      </c>
    </row>
    <row r="157" spans="2:22" outlineLevel="1" x14ac:dyDescent="0.35">
      <c r="B157" s="3" t="str">
        <f t="shared" si="66"/>
        <v>Energex</v>
      </c>
      <c r="C157" s="3" t="str">
        <f t="shared" si="61"/>
        <v>Residential</v>
      </c>
      <c r="D157" s="3" t="str">
        <f t="shared" si="62"/>
        <v>with CL</v>
      </c>
      <c r="E157" s="3" t="s">
        <v>16</v>
      </c>
      <c r="F157" s="228">
        <f t="array" ref="F157">IFERROR(INDEX(Usage!$B$5:$P$18,MATCH($B157,Usage!$B$5:$B$18,0),MATCH($C157&amp;$D157&amp;$E157,Usage!$B$5:$S$5&amp;Usage!$B$6:$S$6&amp;Usage!$B$7:$S$7,0)),0)</f>
        <v>1349</v>
      </c>
      <c r="G157" s="3" t="s">
        <v>68</v>
      </c>
      <c r="H157" s="226"/>
      <c r="I157" s="226">
        <f t="array" ref="I157">IFERROR(INDEX('Detail inputs'!$B$3:$K$193,MATCH($B157&amp;$G157&amp;I$5,'Detail inputs'!$B$3:$B$193&amp;'Detail inputs'!$G$3:$G$193&amp;'Detail inputs'!$H$3:$H$193,0),MATCH(I$4,'Detail inputs'!$B$3:$K$3,0)),0)</f>
        <v>0</v>
      </c>
      <c r="J157" s="226">
        <f t="shared" si="68"/>
        <v>0</v>
      </c>
      <c r="K157" s="247">
        <f>IFERROR(J157/J160,"")</f>
        <v>0</v>
      </c>
      <c r="L157" s="247"/>
      <c r="M157" s="247" t="str">
        <f t="shared" si="69"/>
        <v/>
      </c>
      <c r="N157" s="244"/>
      <c r="O157" s="226"/>
      <c r="P157" s="226">
        <f t="array" ref="P157">IFERROR(INDEX('Detail inputs'!$B$3:$K$193,MATCH($B157&amp;$G157&amp;P$5,'Detail inputs'!$B$3:$B$193&amp;'Detail inputs'!$G$3:$G$193&amp;'Detail inputs'!$H$3:$H$193,0),MATCH(P$4,'Detail inputs'!$B$3:$K$3,0)),0)</f>
        <v>1.01</v>
      </c>
      <c r="Q157" s="226">
        <f t="shared" si="67"/>
        <v>1.36249</v>
      </c>
      <c r="R157" s="247">
        <f>IFERROR(Q157/Q160,"")</f>
        <v>1.0805606076816091E-2</v>
      </c>
    </row>
    <row r="158" spans="2:22" outlineLevel="1" x14ac:dyDescent="0.35">
      <c r="B158" s="3" t="str">
        <f t="shared" si="66"/>
        <v>Energex</v>
      </c>
      <c r="C158" s="3" t="str">
        <f t="shared" si="61"/>
        <v>Residential</v>
      </c>
      <c r="D158" s="3" t="str">
        <f t="shared" si="62"/>
        <v>with CL</v>
      </c>
      <c r="E158" s="3" t="s">
        <v>16</v>
      </c>
      <c r="F158" s="228">
        <f t="array" ref="F158">IFERROR(INDEX(Usage!$B$5:$P$18,MATCH($B158,Usage!$B$5:$B$18,0),MATCH($C158&amp;$D158&amp;$E158,Usage!$B$5:$S$5&amp;Usage!$B$6:$S$6&amp;Usage!$B$7:$S$7,0)),0)</f>
        <v>1349</v>
      </c>
      <c r="G158" s="3" t="s">
        <v>145</v>
      </c>
      <c r="H158" s="226"/>
      <c r="I158" s="226">
        <f t="array" ref="I158">IFERROR(INDEX('Detail inputs'!$B$3:$K$193,MATCH($B158&amp;$G158&amp;I$5,'Detail inputs'!$B$3:$B$193&amp;'Detail inputs'!$G$3:$G$193&amp;'Detail inputs'!$H$3:$H$193,0),MATCH(I$4,'Detail inputs'!$B$3:$K$3,0)),0)</f>
        <v>1.66</v>
      </c>
      <c r="J158" s="226">
        <f t="shared" si="68"/>
        <v>2.2393399999999999</v>
      </c>
      <c r="K158" s="247">
        <f>IFERROR(J158/J160,"")</f>
        <v>2.7133050016345212E-2</v>
      </c>
      <c r="L158" s="247"/>
      <c r="M158" s="247">
        <f t="shared" si="69"/>
        <v>0.57228915662650603</v>
      </c>
      <c r="N158" s="244"/>
      <c r="O158" s="226"/>
      <c r="P158" s="226">
        <f t="array" ref="P158">IFERROR(INDEX('Detail inputs'!$B$3:$K$193,MATCH($B158&amp;$G158&amp;P$5,'Detail inputs'!$B$3:$B$193&amp;'Detail inputs'!$G$3:$G$193&amp;'Detail inputs'!$H$3:$H$193,0),MATCH(P$4,'Detail inputs'!$B$3:$K$3,0)),0)</f>
        <v>2.61</v>
      </c>
      <c r="Q158" s="226">
        <f t="shared" si="67"/>
        <v>3.5208900000000001</v>
      </c>
      <c r="R158" s="247">
        <f>IFERROR(Q158/Q160,"")</f>
        <v>2.7923397881673265E-2</v>
      </c>
    </row>
    <row r="159" spans="2:22" outlineLevel="1" x14ac:dyDescent="0.35">
      <c r="B159" s="3" t="str">
        <f t="shared" si="66"/>
        <v>Energex</v>
      </c>
      <c r="C159" s="3" t="str">
        <f t="shared" si="61"/>
        <v>Residential</v>
      </c>
      <c r="D159" s="3" t="str">
        <f t="shared" si="62"/>
        <v>with CL</v>
      </c>
      <c r="E159" s="3" t="s">
        <v>16</v>
      </c>
      <c r="F159" s="228">
        <f t="array" ref="F159">IFERROR(INDEX(Usage!$B$5:$P$18,MATCH($B159,Usage!$B$5:$B$18,0),MATCH($C159&amp;$D159&amp;$E159,Usage!$B$5:$S$5&amp;Usage!$B$6:$S$6&amp;Usage!$B$7:$S$7,0)),0)</f>
        <v>1349</v>
      </c>
      <c r="G159" s="3" t="s">
        <v>69</v>
      </c>
      <c r="H159" s="226"/>
      <c r="I159" s="224">
        <f t="array" ref="I159">ROUND(IFERROR(INDEX('Detail inputs'!$B$3:$K$193,MATCH($B159&amp;$C159&amp;$E159&amp;$G159&amp;I$5,'Detail inputs'!$B$3:$B$193&amp;'Detail inputs'!$D$3:$D$193&amp;'Detail inputs'!$F$3:$F$193&amp;'Detail inputs'!$G$3:$G$193&amp;'Detail inputs'!$H$3:$H$193,0),MATCH(I$4,'Detail inputs'!$B$3:$K$3,0)),0)*SUM(I154:I158),2)</f>
        <v>3.68</v>
      </c>
      <c r="J159" s="226">
        <f t="shared" si="68"/>
        <v>4.9643200000000007</v>
      </c>
      <c r="K159" s="247">
        <f>IFERROR(J159/J160,"")</f>
        <v>6.0150375939849635E-2</v>
      </c>
      <c r="L159" s="247"/>
      <c r="M159" s="247">
        <f t="shared" si="69"/>
        <v>0.59510869565217384</v>
      </c>
      <c r="N159" s="244"/>
      <c r="O159" s="226"/>
      <c r="P159" s="224">
        <f t="array" ref="P159">ROUND(IFERROR(INDEX('Detail inputs'!$B$3:$K$193,MATCH($B159&amp;$C159&amp;$E159&amp;$G159&amp;P$5,'Detail inputs'!$B$3:$B$193&amp;'Detail inputs'!$D$3:$D$193&amp;'Detail inputs'!$F$3:$F$193&amp;'Detail inputs'!$G$3:$G$193&amp;'Detail inputs'!$H$3:$H$193,0),MATCH(P$4,'Detail inputs'!$B$3:$K$3,0)),0)*SUM(P154:P158),2)</f>
        <v>5.87</v>
      </c>
      <c r="Q159" s="226">
        <f t="shared" si="67"/>
        <v>7.9186300000000003</v>
      </c>
      <c r="R159" s="247">
        <f>IFERROR(Q159/Q160,"")</f>
        <v>6.2800898684069753E-2</v>
      </c>
    </row>
    <row r="160" spans="2:22" outlineLevel="1" x14ac:dyDescent="0.35">
      <c r="B160" s="3" t="str">
        <f t="shared" si="66"/>
        <v>Energex</v>
      </c>
      <c r="C160" s="3" t="str">
        <f t="shared" si="61"/>
        <v>Residential</v>
      </c>
      <c r="D160" s="3" t="str">
        <f t="shared" si="62"/>
        <v>with CL</v>
      </c>
      <c r="E160" s="3" t="s">
        <v>16</v>
      </c>
      <c r="F160" s="228">
        <f t="array" ref="F160">IFERROR(INDEX(Usage!$B$5:$P$18,MATCH($B160,Usage!$B$5:$B$18,0),MATCH($C160&amp;$D160&amp;$E160,Usage!$B$5:$S$5&amp;Usage!$B$6:$S$6&amp;Usage!$B$7:$S$7,0)),0)</f>
        <v>1349</v>
      </c>
      <c r="G160" s="3" t="s">
        <v>53</v>
      </c>
      <c r="H160" s="226"/>
      <c r="I160" s="226">
        <f t="array" ref="I160">INDEX('Key inputs'!$B$16:$N$40,MATCH($B160&amp;$C160&amp;$E160,'Key inputs'!$B$16:$B$40&amp;'Key inputs'!$C$16:$C$40&amp;'Key inputs'!$D$16:$D$40,0),MATCH($A$2&amp;I$4,'Key inputs'!$B$17:$N$17&amp;'Key inputs'!$B$18:$N$18,0))</f>
        <v>61.18</v>
      </c>
      <c r="J160" s="224">
        <f t="shared" si="68"/>
        <v>82.531819999999996</v>
      </c>
      <c r="K160" s="247"/>
      <c r="L160" s="259"/>
      <c r="M160" s="247">
        <f t="shared" si="69"/>
        <v>0.52778685845047413</v>
      </c>
      <c r="N160" s="253"/>
      <c r="O160" s="226"/>
      <c r="P160" s="226">
        <f t="array" ref="P160">INDEX('Key inputs'!$B$16:$N$40,MATCH($B160&amp;$C160&amp;$E160,'Key inputs'!$B$16:$B$40&amp;'Key inputs'!$C$16:$C$40&amp;'Key inputs'!$D$16:$D$40,0),MATCH($A$2&amp;P$4,'Key inputs'!$B$17:$N$17&amp;'Key inputs'!$B$18:$N$18,0))</f>
        <v>93.47</v>
      </c>
      <c r="Q160" s="224">
        <f t="shared" si="67"/>
        <v>126.09103</v>
      </c>
      <c r="R160" s="247"/>
      <c r="T160" s="97"/>
      <c r="U160" s="97"/>
      <c r="V160" s="97"/>
    </row>
    <row r="161" spans="2:22" s="60" customFormat="1" x14ac:dyDescent="0.35">
      <c r="B161" s="3" t="str">
        <f t="shared" si="66"/>
        <v>Energex</v>
      </c>
      <c r="C161" s="3" t="str">
        <f t="shared" si="61"/>
        <v>Residential</v>
      </c>
      <c r="D161" s="3" t="str">
        <f t="shared" si="62"/>
        <v>with CL</v>
      </c>
      <c r="E161" s="60" t="s">
        <v>53</v>
      </c>
      <c r="F161" s="228">
        <f t="array" ref="F161">IFERROR(INDEX(Usage!$B$5:$P$18,MATCH($B161,Usage!$B$5:$B$18,0),MATCH($C161&amp;$D161&amp;$E161,Usage!$B$5:$S$5&amp;Usage!$B$6:$S$6&amp;Usage!$B$7:$S$7,0)),0)</f>
        <v>6300</v>
      </c>
      <c r="G161" s="60" t="s">
        <v>53</v>
      </c>
      <c r="H161" s="226"/>
      <c r="I161" s="226">
        <f>I146+I153+I160</f>
        <v>194.05</v>
      </c>
      <c r="J161" s="226">
        <f>J146+J153+J160</f>
        <v>440.68466000000001</v>
      </c>
      <c r="K161" s="247"/>
      <c r="L161" s="259"/>
      <c r="M161" s="247">
        <f t="shared" si="69"/>
        <v>0.49804892232917752</v>
      </c>
      <c r="N161" s="253"/>
      <c r="O161" s="226"/>
      <c r="P161" s="226">
        <f>P146+P153+P160</f>
        <v>290.64999999999998</v>
      </c>
      <c r="Q161" s="226">
        <f>Q146+Q153+Q160</f>
        <v>660.16718000000003</v>
      </c>
      <c r="R161" s="247"/>
      <c r="S161" s="97"/>
      <c r="T161" s="98"/>
    </row>
    <row r="162" spans="2:22" outlineLevel="1" x14ac:dyDescent="0.35">
      <c r="B162" s="3" t="str">
        <f t="shared" si="66"/>
        <v>Energex</v>
      </c>
      <c r="C162" s="3" t="str">
        <f t="shared" si="61"/>
        <v>Residential</v>
      </c>
      <c r="D162" s="3" t="str">
        <f t="shared" si="62"/>
        <v>with CL</v>
      </c>
      <c r="F162" s="228"/>
      <c r="G162" s="60" t="s">
        <v>35</v>
      </c>
      <c r="H162" s="226"/>
      <c r="I162" s="226"/>
      <c r="J162" s="226">
        <f>J161*GST</f>
        <v>44.068466000000001</v>
      </c>
      <c r="K162" s="247"/>
      <c r="L162" s="259"/>
      <c r="M162" s="247"/>
      <c r="N162" s="253"/>
      <c r="O162" s="226"/>
      <c r="P162" s="226"/>
      <c r="Q162" s="226">
        <f>Q161*GST</f>
        <v>66.016718000000012</v>
      </c>
      <c r="R162" s="248"/>
    </row>
    <row r="163" spans="2:22" x14ac:dyDescent="0.35">
      <c r="B163" s="3" t="str">
        <f t="shared" si="66"/>
        <v>Energex</v>
      </c>
      <c r="C163" s="3" t="str">
        <f t="shared" si="61"/>
        <v>Residential</v>
      </c>
      <c r="D163" s="3" t="str">
        <f t="shared" si="62"/>
        <v>with CL</v>
      </c>
      <c r="F163" s="228"/>
      <c r="G163" s="5" t="s">
        <v>77</v>
      </c>
      <c r="H163" s="227"/>
      <c r="I163" s="227"/>
      <c r="J163" s="227">
        <f>SUM(J161:J162)</f>
        <v>484.75312600000001</v>
      </c>
      <c r="K163" s="248"/>
      <c r="L163" s="260"/>
      <c r="M163" s="248">
        <f>IF(OR(J163=0,Q163=""),"",Q163/J163-1)</f>
        <v>0.49804892232917752</v>
      </c>
      <c r="N163" s="254"/>
      <c r="O163" s="227"/>
      <c r="P163" s="227"/>
      <c r="Q163" s="227">
        <f>SUM(Q161:Q162)</f>
        <v>726.183898</v>
      </c>
      <c r="R163" s="248"/>
    </row>
    <row r="164" spans="2:22" x14ac:dyDescent="0.35">
      <c r="F164" s="228"/>
      <c r="H164" s="224"/>
      <c r="I164" s="224"/>
      <c r="J164" s="224"/>
      <c r="K164" s="246"/>
      <c r="L164" s="261"/>
      <c r="M164" s="246"/>
      <c r="N164" s="252"/>
      <c r="O164" s="224"/>
      <c r="P164" s="224"/>
      <c r="Q164" s="224"/>
      <c r="R164" s="246"/>
    </row>
    <row r="165" spans="2:22" x14ac:dyDescent="0.35">
      <c r="B165" s="5" t="s">
        <v>0</v>
      </c>
      <c r="C165" s="5" t="s">
        <v>14</v>
      </c>
      <c r="D165" s="5" t="s">
        <v>136</v>
      </c>
      <c r="F165" s="228"/>
      <c r="H165" s="224"/>
      <c r="I165" s="224"/>
      <c r="J165" s="224"/>
      <c r="K165" s="246"/>
      <c r="L165" s="261"/>
      <c r="M165" s="246"/>
      <c r="N165" s="252"/>
      <c r="O165" s="224"/>
      <c r="P165" s="224"/>
      <c r="Q165" s="224"/>
      <c r="R165" s="246"/>
    </row>
    <row r="166" spans="2:22" outlineLevel="1" x14ac:dyDescent="0.35">
      <c r="B166" s="3" t="str">
        <f>B165</f>
        <v>Energex</v>
      </c>
      <c r="C166" s="3" t="str">
        <f t="shared" ref="C166:C174" si="70">C165</f>
        <v>Small business</v>
      </c>
      <c r="D166" s="3" t="str">
        <f t="shared" ref="D166:D174" si="71">D165</f>
        <v>without CL</v>
      </c>
      <c r="E166" s="3" t="s">
        <v>21</v>
      </c>
      <c r="F166" s="228">
        <f t="array" ref="F166">IFERROR(INDEX(Usage!$B$5:$P$18,MATCH($B166,Usage!$B$5:$B$18,0),MATCH($C166&amp;$D166&amp;$E166,Usage!$B$5:$S$5&amp;Usage!$B$6:$S$6&amp;Usage!$B$7:$S$7,0)),0)</f>
        <v>10000</v>
      </c>
      <c r="G166" s="3" t="s">
        <v>66</v>
      </c>
      <c r="H166" s="224"/>
      <c r="I166" s="224"/>
      <c r="J166" s="224"/>
      <c r="K166" s="246"/>
      <c r="L166" s="246"/>
      <c r="M166" s="246"/>
      <c r="N166" s="243"/>
      <c r="O166" s="224"/>
      <c r="P166" s="224">
        <f t="array" ref="P166">IFERROR(INDEX('Detail inputs'!$B$3:$K$193,MATCH($B166&amp;$C166&amp;$E166&amp;$G166&amp;P$5,'Detail inputs'!$B$3:$B$193&amp;'Detail inputs'!$D$3:$D$193&amp;'Detail inputs'!$F$3:$F$193&amp;'Detail inputs'!$G$3:$G$193&amp;'Detail inputs'!$H$3:$H$193,0),MATCH(P$4,'Detail inputs'!$B$3:$K$3,0)),0)</f>
        <v>97.45</v>
      </c>
      <c r="Q166" s="224">
        <f>IF(AND(O166="",P166=""),"",O166+P166*$F166/1000)</f>
        <v>974.5</v>
      </c>
      <c r="R166" s="246">
        <f>IFERROR(Q166/Q172,"")</f>
        <v>0.88166108748756</v>
      </c>
    </row>
    <row r="167" spans="2:22" outlineLevel="1" x14ac:dyDescent="0.35">
      <c r="B167" s="3" t="str">
        <f t="shared" ref="B167:B174" si="72">B166</f>
        <v>Energex</v>
      </c>
      <c r="C167" s="3" t="str">
        <f t="shared" si="70"/>
        <v>Small business</v>
      </c>
      <c r="D167" s="3" t="str">
        <f t="shared" si="71"/>
        <v>without CL</v>
      </c>
      <c r="E167" s="3" t="s">
        <v>21</v>
      </c>
      <c r="F167" s="228">
        <f t="array" ref="F167">IFERROR(INDEX(Usage!$B$5:$P$18,MATCH($B167,Usage!$B$5:$B$18,0),MATCH($C167&amp;$D167&amp;$E167,Usage!$B$5:$S$5&amp;Usage!$B$6:$S$6&amp;Usage!$B$7:$S$7,0)),0)</f>
        <v>10000</v>
      </c>
      <c r="G167" s="3" t="s">
        <v>67</v>
      </c>
      <c r="H167" s="224"/>
      <c r="I167" s="224"/>
      <c r="J167" s="224"/>
      <c r="K167" s="246"/>
      <c r="L167" s="246"/>
      <c r="M167" s="246"/>
      <c r="N167" s="243"/>
      <c r="O167" s="224"/>
      <c r="P167" s="224">
        <f t="array" ref="P167">IFERROR(INDEX('Detail inputs'!$B$3:$K$193,MATCH($B167&amp;$G167&amp;P$5,'Detail inputs'!$B$3:$B$193&amp;'Detail inputs'!$G$3:$G$193&amp;'Detail inputs'!$H$3:$H$193,0),MATCH(P$4,'Detail inputs'!$B$3:$K$3,0)),0)</f>
        <v>1.42</v>
      </c>
      <c r="Q167" s="224">
        <f t="shared" ref="Q167:Q172" si="73">IF(AND(O167="",P167=""),"",O167+P167*$F167/1000)</f>
        <v>14.2</v>
      </c>
      <c r="R167" s="246">
        <f>IFERROR(Q167/Q172,"")</f>
        <v>1.284719080792545E-2</v>
      </c>
    </row>
    <row r="168" spans="2:22" outlineLevel="1" x14ac:dyDescent="0.35">
      <c r="B168" s="3" t="str">
        <f t="shared" si="72"/>
        <v>Energex</v>
      </c>
      <c r="C168" s="3" t="str">
        <f t="shared" si="70"/>
        <v>Small business</v>
      </c>
      <c r="D168" s="3" t="str">
        <f t="shared" si="71"/>
        <v>without CL</v>
      </c>
      <c r="E168" s="3" t="s">
        <v>21</v>
      </c>
      <c r="F168" s="228">
        <f t="array" ref="F168">IFERROR(INDEX(Usage!$B$5:$P$18,MATCH($B168,Usage!$B$5:$B$18,0),MATCH($C168&amp;$D168&amp;$E168,Usage!$B$5:$S$5&amp;Usage!$B$6:$S$6&amp;Usage!$B$7:$S$7,0)),0)</f>
        <v>10000</v>
      </c>
      <c r="G168" s="3" t="s">
        <v>75</v>
      </c>
      <c r="H168" s="224"/>
      <c r="I168" s="224"/>
      <c r="J168" s="224"/>
      <c r="K168" s="246"/>
      <c r="L168" s="246"/>
      <c r="M168" s="246"/>
      <c r="N168" s="243"/>
      <c r="O168" s="224"/>
      <c r="P168" s="224">
        <f t="array" ref="P168">IFERROR(INDEX('Detail inputs'!$B$3:$K$193,MATCH($B168&amp;$G168&amp;P$5,'Detail inputs'!$B$3:$B$193&amp;'Detail inputs'!$G$3:$G$193&amp;'Detail inputs'!$H$3:$H$193,0),MATCH(P$4,'Detail inputs'!$B$3:$K$3,0)),0)</f>
        <v>1.1000000000000001</v>
      </c>
      <c r="Q168" s="224">
        <f t="shared" si="73"/>
        <v>11</v>
      </c>
      <c r="R168" s="246">
        <f>IFERROR(Q168/Q172,"")</f>
        <v>9.9520492174070396E-3</v>
      </c>
    </row>
    <row r="169" spans="2:22" outlineLevel="1" x14ac:dyDescent="0.35">
      <c r="B169" s="3" t="str">
        <f t="shared" si="72"/>
        <v>Energex</v>
      </c>
      <c r="C169" s="3" t="str">
        <f t="shared" si="70"/>
        <v>Small business</v>
      </c>
      <c r="D169" s="3" t="str">
        <f t="shared" si="71"/>
        <v>without CL</v>
      </c>
      <c r="E169" s="3" t="s">
        <v>21</v>
      </c>
      <c r="F169" s="228">
        <f t="array" ref="F169">IFERROR(INDEX(Usage!$B$5:$P$18,MATCH($B169,Usage!$B$5:$B$18,0),MATCH($C169&amp;$D169&amp;$E169,Usage!$B$5:$S$5&amp;Usage!$B$6:$S$6&amp;Usage!$B$7:$S$7,0)),0)</f>
        <v>10000</v>
      </c>
      <c r="G169" s="3" t="s">
        <v>68</v>
      </c>
      <c r="H169" s="224"/>
      <c r="I169" s="224"/>
      <c r="J169" s="224"/>
      <c r="K169" s="246"/>
      <c r="L169" s="246"/>
      <c r="M169" s="246"/>
      <c r="N169" s="243"/>
      <c r="O169" s="224"/>
      <c r="P169" s="224">
        <f t="array" ref="P169">IFERROR(INDEX('Detail inputs'!$B$3:$K$193,MATCH($B169&amp;$G169&amp;P$5,'Detail inputs'!$B$3:$B$193&amp;'Detail inputs'!$G$3:$G$193&amp;'Detail inputs'!$H$3:$H$193,0),MATCH(P$4,'Detail inputs'!$B$3:$K$3,0)),0)</f>
        <v>1.01</v>
      </c>
      <c r="Q169" s="224">
        <f t="shared" si="73"/>
        <v>10.1</v>
      </c>
      <c r="R169" s="246">
        <f>IFERROR(Q169/Q172,"")</f>
        <v>9.1377906450737355E-3</v>
      </c>
    </row>
    <row r="170" spans="2:22" outlineLevel="1" x14ac:dyDescent="0.35">
      <c r="B170" s="3" t="str">
        <f t="shared" si="72"/>
        <v>Energex</v>
      </c>
      <c r="C170" s="3" t="str">
        <f t="shared" si="70"/>
        <v>Small business</v>
      </c>
      <c r="D170" s="3" t="str">
        <f t="shared" si="71"/>
        <v>without CL</v>
      </c>
      <c r="E170" s="3" t="s">
        <v>21</v>
      </c>
      <c r="F170" s="228">
        <f t="array" ref="F170">IFERROR(INDEX(Usage!$B$5:$P$18,MATCH($B170,Usage!$B$5:$B$18,0),MATCH($C170&amp;$D170&amp;$E170,Usage!$B$5:$S$5&amp;Usage!$B$6:$S$6&amp;Usage!$B$7:$S$7,0)),0)</f>
        <v>10000</v>
      </c>
      <c r="G170" s="3" t="s">
        <v>145</v>
      </c>
      <c r="H170" s="224"/>
      <c r="I170" s="224"/>
      <c r="J170" s="224"/>
      <c r="K170" s="246"/>
      <c r="L170" s="246"/>
      <c r="M170" s="246"/>
      <c r="N170" s="243"/>
      <c r="O170" s="224"/>
      <c r="P170" s="224">
        <f t="array" ref="P170">IFERROR(INDEX('Detail inputs'!$B$3:$K$193,MATCH($B170&amp;$G170&amp;P$5,'Detail inputs'!$B$3:$B$193&amp;'Detail inputs'!$G$3:$G$193&amp;'Detail inputs'!$H$3:$H$193,0),MATCH(P$4,'Detail inputs'!$B$3:$K$3,0)),0)</f>
        <v>2.61</v>
      </c>
      <c r="Q170" s="224">
        <f t="shared" si="73"/>
        <v>26.1</v>
      </c>
      <c r="R170" s="246">
        <f>IFERROR(Q170/Q172,"")</f>
        <v>2.3613498597665795E-2</v>
      </c>
    </row>
    <row r="171" spans="2:22" outlineLevel="1" x14ac:dyDescent="0.35">
      <c r="B171" s="3" t="str">
        <f t="shared" si="72"/>
        <v>Energex</v>
      </c>
      <c r="C171" s="3" t="str">
        <f t="shared" si="70"/>
        <v>Small business</v>
      </c>
      <c r="D171" s="3" t="str">
        <f t="shared" si="71"/>
        <v>without CL</v>
      </c>
      <c r="E171" s="3" t="s">
        <v>21</v>
      </c>
      <c r="F171" s="228">
        <f t="array" ref="F171">IFERROR(INDEX(Usage!$B$5:$P$18,MATCH($B171,Usage!$B$5:$B$18,0),MATCH($C171&amp;$D171&amp;$E171,Usage!$B$5:$S$5&amp;Usage!$B$6:$S$6&amp;Usage!$B$7:$S$7,0)),0)</f>
        <v>10000</v>
      </c>
      <c r="G171" s="3" t="s">
        <v>69</v>
      </c>
      <c r="H171" s="224"/>
      <c r="I171" s="224"/>
      <c r="J171" s="224"/>
      <c r="K171" s="246"/>
      <c r="L171" s="246"/>
      <c r="M171" s="246"/>
      <c r="N171" s="243"/>
      <c r="O171" s="224"/>
      <c r="P171" s="224">
        <f t="array" ref="P171">ROUND(IFERROR(INDEX('Detail inputs'!$B$3:$K$193,MATCH($B171&amp;$C171&amp;$E171&amp;$G171&amp;P$5,'Detail inputs'!$B$3:$B$193&amp;'Detail inputs'!$D$3:$D$193&amp;'Detail inputs'!$F$3:$F$193&amp;'Detail inputs'!$G$3:$G$193&amp;'Detail inputs'!$H$3:$H$193,0),MATCH(P$4,'Detail inputs'!$B$3:$K$3,0)),0)*SUM(P166:P170),2)</f>
        <v>6.94</v>
      </c>
      <c r="Q171" s="224">
        <f t="shared" si="73"/>
        <v>69.400000000000006</v>
      </c>
      <c r="R171" s="246">
        <f>IFERROR(Q171/Q172,"")</f>
        <v>6.2788383244368057E-2</v>
      </c>
    </row>
    <row r="172" spans="2:22" s="60" customFormat="1" x14ac:dyDescent="0.35">
      <c r="B172" s="3" t="str">
        <f t="shared" si="72"/>
        <v>Energex</v>
      </c>
      <c r="C172" s="3" t="str">
        <f t="shared" si="70"/>
        <v>Small business</v>
      </c>
      <c r="D172" s="3" t="str">
        <f t="shared" si="71"/>
        <v>without CL</v>
      </c>
      <c r="E172" s="3" t="s">
        <v>21</v>
      </c>
      <c r="F172" s="228">
        <f t="array" ref="F172">IFERROR(INDEX(Usage!$B$5:$P$18,MATCH($B172,Usage!$B$5:$B$18,0),MATCH($C172&amp;$D172&amp;$E172,Usage!$B$5:$S$5&amp;Usage!$B$6:$S$6&amp;Usage!$B$7:$S$7,0)),0)</f>
        <v>10000</v>
      </c>
      <c r="G172" s="60" t="s">
        <v>53</v>
      </c>
      <c r="H172" s="226"/>
      <c r="I172" s="226"/>
      <c r="J172" s="224"/>
      <c r="K172" s="247"/>
      <c r="L172" s="259"/>
      <c r="M172" s="247"/>
      <c r="N172" s="253"/>
      <c r="O172" s="226"/>
      <c r="P172" s="226">
        <f t="array" ref="P172">INDEX('Key inputs'!$B$16:$N$40,MATCH($B172&amp;$C172&amp;$E172,'Key inputs'!$B$16:$B$40&amp;'Key inputs'!$C$16:$C$40&amp;'Key inputs'!$D$16:$D$40,0),MATCH($A$2&amp;P$4,'Key inputs'!$B$17:$N$17&amp;'Key inputs'!$B$18:$N$18,0))</f>
        <v>110.53</v>
      </c>
      <c r="Q172" s="224">
        <f t="shared" si="73"/>
        <v>1105.3</v>
      </c>
      <c r="R172" s="247"/>
      <c r="S172" s="97"/>
      <c r="T172" s="97"/>
      <c r="U172" s="97"/>
      <c r="V172" s="97"/>
    </row>
    <row r="173" spans="2:22" outlineLevel="1" x14ac:dyDescent="0.35">
      <c r="B173" s="3" t="str">
        <f t="shared" si="72"/>
        <v>Energex</v>
      </c>
      <c r="C173" s="3" t="str">
        <f t="shared" si="70"/>
        <v>Small business</v>
      </c>
      <c r="D173" s="3" t="str">
        <f t="shared" si="71"/>
        <v>without CL</v>
      </c>
      <c r="F173" s="228"/>
      <c r="G173" s="60" t="s">
        <v>35</v>
      </c>
      <c r="H173" s="226"/>
      <c r="I173" s="226"/>
      <c r="J173" s="226"/>
      <c r="K173" s="247"/>
      <c r="L173" s="259"/>
      <c r="M173" s="247"/>
      <c r="N173" s="253"/>
      <c r="O173" s="226"/>
      <c r="P173" s="226"/>
      <c r="Q173" s="226">
        <f>Q172*GST</f>
        <v>110.53</v>
      </c>
      <c r="R173" s="248"/>
    </row>
    <row r="174" spans="2:22" x14ac:dyDescent="0.35">
      <c r="B174" s="3" t="str">
        <f t="shared" si="72"/>
        <v>Energex</v>
      </c>
      <c r="C174" s="3" t="str">
        <f t="shared" si="70"/>
        <v>Small business</v>
      </c>
      <c r="D174" s="3" t="str">
        <f t="shared" si="71"/>
        <v>without CL</v>
      </c>
      <c r="F174" s="228"/>
      <c r="G174" s="5" t="s">
        <v>77</v>
      </c>
      <c r="H174" s="227"/>
      <c r="I174" s="227"/>
      <c r="J174" s="227"/>
      <c r="K174" s="248"/>
      <c r="L174" s="260"/>
      <c r="M174" s="248"/>
      <c r="N174" s="254"/>
      <c r="O174" s="227"/>
      <c r="P174" s="227"/>
      <c r="Q174" s="227">
        <f>SUM(Q172:Q173)</f>
        <v>1215.83</v>
      </c>
      <c r="R174" s="248"/>
    </row>
    <row r="175" spans="2:22" x14ac:dyDescent="0.35">
      <c r="F175" s="228"/>
      <c r="H175" s="224"/>
      <c r="I175" s="224"/>
      <c r="J175" s="224"/>
      <c r="K175" s="246"/>
      <c r="L175" s="261"/>
      <c r="M175" s="246"/>
      <c r="N175" s="252"/>
      <c r="O175" s="224"/>
      <c r="P175" s="224"/>
      <c r="Q175" s="224"/>
      <c r="R175" s="246"/>
    </row>
    <row r="176" spans="2:22" x14ac:dyDescent="0.35">
      <c r="B176" s="5" t="s">
        <v>5</v>
      </c>
      <c r="C176" s="5" t="s">
        <v>6</v>
      </c>
      <c r="D176" s="5" t="s">
        <v>136</v>
      </c>
      <c r="F176" s="228"/>
      <c r="H176" s="224"/>
      <c r="I176" s="224"/>
      <c r="J176" s="224"/>
      <c r="K176" s="246"/>
      <c r="L176" s="261"/>
      <c r="M176" s="246"/>
      <c r="N176" s="252"/>
      <c r="O176" s="224"/>
      <c r="P176" s="224"/>
      <c r="Q176" s="224"/>
      <c r="R176" s="246"/>
    </row>
    <row r="177" spans="2:22" outlineLevel="1" x14ac:dyDescent="0.35">
      <c r="B177" s="3" t="str">
        <f>B176</f>
        <v>SAPN</v>
      </c>
      <c r="C177" s="3" t="str">
        <f t="shared" ref="C177:C186" si="74">C176</f>
        <v>Residential</v>
      </c>
      <c r="D177" s="3" t="str">
        <f t="shared" ref="D177:D186" si="75">D176</f>
        <v>without CL</v>
      </c>
      <c r="E177" s="3" t="s">
        <v>21</v>
      </c>
      <c r="F177" s="228">
        <f t="array" ref="F177">IFERROR(INDEX(Usage!$B$5:$P$18,MATCH($B177,Usage!$B$5:$B$18,0),MATCH($C177&amp;$D177&amp;$E177&amp;"Total",Usage!$B$5:$S$5&amp;Usage!$B$6:$S$6&amp;Usage!$B$7:$S$7&amp;Usage!$B$13:$S$13,0)),0)</f>
        <v>4000</v>
      </c>
      <c r="G177" s="3" t="s">
        <v>66</v>
      </c>
      <c r="H177" s="224"/>
      <c r="I177" s="224">
        <f t="array" ref="I177">IFERROR(INDEX('Detail inputs'!$B$3:$K$193,MATCH($B177&amp;$C177&amp;$E177&amp;$G177&amp;I$5,'Detail inputs'!$B$3:$B$193&amp;'Detail inputs'!$D$3:$D$193&amp;'Detail inputs'!$F$3:$F$193&amp;'Detail inputs'!$G$3:$G$193&amp;'Detail inputs'!$H$3:$H$193,0),MATCH(I$4,'Detail inputs'!$B$3:$K$3,0)),0)</f>
        <v>101.75</v>
      </c>
      <c r="J177" s="224">
        <f>IF(AND(H177="",I177=""),"",H177+I177*$F177/1000)</f>
        <v>407</v>
      </c>
      <c r="K177" s="246">
        <f>IFERROR(J177/J184,"")</f>
        <v>0.85167824558466565</v>
      </c>
      <c r="L177" s="246"/>
      <c r="M177" s="246">
        <f t="shared" ref="M177:M184" si="76">IF(OR(J177=0,Q177=""),"",Q177/J177-1)</f>
        <v>7.5773955773955626E-2</v>
      </c>
      <c r="N177" s="243"/>
      <c r="O177" s="224"/>
      <c r="P177" s="224">
        <f t="array" ref="P177">IFERROR(INDEX('Detail inputs'!$B$3:$K$193,MATCH($B177&amp;$C177&amp;$E177&amp;$G177&amp;P$5,'Detail inputs'!$B$3:$B$193&amp;'Detail inputs'!$D$3:$D$193&amp;'Detail inputs'!$F$3:$F$193&amp;'Detail inputs'!$G$3:$G$193&amp;'Detail inputs'!$H$3:$H$193,0),MATCH(P$4,'Detail inputs'!$B$3:$K$3,0)),0)</f>
        <v>109.46</v>
      </c>
      <c r="Q177" s="224">
        <f>IF(AND(O177="",P177=""),"",O177+P177*$F177/1000)</f>
        <v>437.84</v>
      </c>
      <c r="R177" s="246">
        <f>IFERROR(Q177/Q184,"")</f>
        <v>0.81364751356574738</v>
      </c>
    </row>
    <row r="178" spans="2:22" outlineLevel="1" x14ac:dyDescent="0.35">
      <c r="B178" s="3" t="str">
        <f t="shared" ref="B178:B186" si="77">B177</f>
        <v>SAPN</v>
      </c>
      <c r="C178" s="3" t="str">
        <f t="shared" si="74"/>
        <v>Residential</v>
      </c>
      <c r="D178" s="3" t="str">
        <f t="shared" si="75"/>
        <v>without CL</v>
      </c>
      <c r="E178" s="3" t="s">
        <v>21</v>
      </c>
      <c r="F178" s="228">
        <f t="array" ref="F178">IFERROR(INDEX(Usage!$B$5:$P$18,MATCH($B178,Usage!$B$5:$B$18,0),MATCH($C178&amp;$D178&amp;$E178&amp;"Total",Usage!$B$5:$S$5&amp;Usage!$B$6:$S$6&amp;Usage!$B$7:$S$7&amp;Usage!$B$13:$S$13,0)),0)</f>
        <v>4000</v>
      </c>
      <c r="G178" s="3" t="s">
        <v>67</v>
      </c>
      <c r="H178" s="224"/>
      <c r="I178" s="224">
        <f t="array" ref="I178">IFERROR(INDEX('Detail inputs'!$B$3:$K$193,MATCH($B178&amp;$G178&amp;I$5,'Detail inputs'!$B$3:$B$193&amp;'Detail inputs'!$G$3:$G$193&amp;'Detail inputs'!$H$3:$H$193,0),MATCH(I$4,'Detail inputs'!$B$3:$K$3,0)),0)</f>
        <v>1.02</v>
      </c>
      <c r="J178" s="224">
        <f t="shared" ref="J178:J184" si="78">IF(AND(H178="",I178=""),"",H178+I178*$F178/1000)</f>
        <v>4.08</v>
      </c>
      <c r="K178" s="246">
        <f>IFERROR(J178/J184,"")</f>
        <v>8.5377082112664277E-3</v>
      </c>
      <c r="L178" s="246"/>
      <c r="M178" s="246">
        <f t="shared" si="76"/>
        <v>-0.52941176470588236</v>
      </c>
      <c r="N178" s="243"/>
      <c r="O178" s="224"/>
      <c r="P178" s="224">
        <f t="array" ref="P178">IFERROR(INDEX('Detail inputs'!$B$3:$K$193,MATCH($B178&amp;$G178&amp;P$5,'Detail inputs'!$B$3:$B$193&amp;'Detail inputs'!$G$3:$G$193&amp;'Detail inputs'!$H$3:$H$193,0),MATCH(P$4,'Detail inputs'!$B$3:$K$3,0)),0)</f>
        <v>0.48</v>
      </c>
      <c r="Q178" s="224">
        <f t="shared" ref="Q178:Q184" si="79">IF(AND(O178="",P178=""),"",O178+P178*$F178/1000)</f>
        <v>1.92</v>
      </c>
      <c r="R178" s="246">
        <f>IFERROR(Q178/Q184,"")</f>
        <v>3.567977402809782E-3</v>
      </c>
    </row>
    <row r="179" spans="2:22" outlineLevel="1" x14ac:dyDescent="0.35">
      <c r="B179" s="3" t="str">
        <f t="shared" si="77"/>
        <v>SAPN</v>
      </c>
      <c r="C179" s="3" t="str">
        <f t="shared" si="74"/>
        <v>Residential</v>
      </c>
      <c r="D179" s="3" t="str">
        <f t="shared" si="75"/>
        <v>without CL</v>
      </c>
      <c r="E179" s="3" t="s">
        <v>21</v>
      </c>
      <c r="F179" s="228">
        <f t="array" ref="F179">IFERROR(INDEX(Usage!$B$5:$P$18,MATCH($B179,Usage!$B$5:$B$18,0),MATCH($C179&amp;$D179&amp;$E179&amp;"Total",Usage!$B$5:$S$5&amp;Usage!$B$6:$S$6&amp;Usage!$B$7:$S$7&amp;Usage!$B$13:$S$13,0)),0)</f>
        <v>4000</v>
      </c>
      <c r="G179" s="3" t="s">
        <v>75</v>
      </c>
      <c r="H179" s="224"/>
      <c r="I179" s="224">
        <f t="array" ref="I179">IFERROR(INDEX('Detail inputs'!$B$3:$K$193,MATCH($B179&amp;$G179&amp;I$5,'Detail inputs'!$B$3:$B$193&amp;'Detail inputs'!$G$3:$G$193&amp;'Detail inputs'!$H$3:$H$193,0),MATCH(I$4,'Detail inputs'!$B$3:$K$3,0)),0)</f>
        <v>0.49</v>
      </c>
      <c r="J179" s="224">
        <f t="shared" si="78"/>
        <v>1.96</v>
      </c>
      <c r="K179" s="246">
        <f>IFERROR(J179/J184,"")</f>
        <v>4.1014480622750477E-3</v>
      </c>
      <c r="L179" s="246"/>
      <c r="M179" s="246">
        <f t="shared" si="76"/>
        <v>1.2448979591836737</v>
      </c>
      <c r="N179" s="243"/>
      <c r="O179" s="224"/>
      <c r="P179" s="224">
        <f t="array" ref="P179">IFERROR(INDEX('Detail inputs'!$B$3:$K$193,MATCH($B179&amp;$G179&amp;P$5,'Detail inputs'!$B$3:$B$193&amp;'Detail inputs'!$G$3:$G$193&amp;'Detail inputs'!$H$3:$H$193,0),MATCH(P$4,'Detail inputs'!$B$3:$K$3,0)),0)</f>
        <v>1.1000000000000001</v>
      </c>
      <c r="Q179" s="224">
        <f t="shared" si="79"/>
        <v>4.4000000000000004</v>
      </c>
      <c r="R179" s="246">
        <f>IFERROR(Q179/Q184,"")</f>
        <v>8.1766148814390854E-3</v>
      </c>
    </row>
    <row r="180" spans="2:22" outlineLevel="1" x14ac:dyDescent="0.35">
      <c r="B180" s="3" t="str">
        <f t="shared" si="77"/>
        <v>SAPN</v>
      </c>
      <c r="C180" s="3" t="str">
        <f t="shared" si="74"/>
        <v>Residential</v>
      </c>
      <c r="D180" s="3" t="str">
        <f t="shared" si="75"/>
        <v>without CL</v>
      </c>
      <c r="E180" s="3" t="s">
        <v>21</v>
      </c>
      <c r="F180" s="228">
        <f t="array" ref="F180">IFERROR(INDEX(Usage!$B$5:$P$18,MATCH($B180,Usage!$B$5:$B$18,0),MATCH($C180&amp;$D180&amp;$E180&amp;"Total",Usage!$B$5:$S$5&amp;Usage!$B$6:$S$6&amp;Usage!$B$7:$S$7&amp;Usage!$B$13:$S$13,0)),0)</f>
        <v>4000</v>
      </c>
      <c r="G180" s="3" t="s">
        <v>68</v>
      </c>
      <c r="H180" s="224"/>
      <c r="I180" s="224">
        <f t="array" ref="I180">IFERROR(INDEX('Detail inputs'!$B$3:$K$193,MATCH($B180&amp;$G180&amp;I$5,'Detail inputs'!$B$3:$B$193&amp;'Detail inputs'!$G$3:$G$193&amp;'Detail inputs'!$H$3:$H$193,0),MATCH(I$4,'Detail inputs'!$B$3:$K$3,0)),0)</f>
        <v>0</v>
      </c>
      <c r="J180" s="224">
        <f t="shared" si="78"/>
        <v>0</v>
      </c>
      <c r="K180" s="246">
        <f>IFERROR(J180/J184,"")</f>
        <v>0</v>
      </c>
      <c r="L180" s="246"/>
      <c r="M180" s="246" t="str">
        <f t="shared" si="76"/>
        <v/>
      </c>
      <c r="N180" s="243"/>
      <c r="O180" s="224"/>
      <c r="P180" s="224">
        <f t="array" ref="P180">IFERROR(INDEX('Detail inputs'!$B$3:$K$193,MATCH($B180&amp;$G180&amp;P$5,'Detail inputs'!$B$3:$B$193&amp;'Detail inputs'!$G$3:$G$193&amp;'Detail inputs'!$H$3:$H$193,0),MATCH(P$4,'Detail inputs'!$B$3:$K$3,0)),0)</f>
        <v>0</v>
      </c>
      <c r="Q180" s="224">
        <f t="shared" si="79"/>
        <v>0</v>
      </c>
      <c r="R180" s="246">
        <f>IFERROR(Q180/Q184,"")</f>
        <v>0</v>
      </c>
    </row>
    <row r="181" spans="2:22" outlineLevel="1" x14ac:dyDescent="0.35">
      <c r="B181" s="3" t="str">
        <f t="shared" si="77"/>
        <v>SAPN</v>
      </c>
      <c r="C181" s="3" t="str">
        <f t="shared" si="74"/>
        <v>Residential</v>
      </c>
      <c r="D181" s="3" t="str">
        <f t="shared" si="75"/>
        <v>without CL</v>
      </c>
      <c r="E181" s="3" t="s">
        <v>21</v>
      </c>
      <c r="F181" s="228">
        <f t="array" ref="F181">IFERROR(INDEX(Usage!$B$5:$P$18,MATCH($B181,Usage!$B$5:$B$18,0),MATCH($C181&amp;$D181&amp;$E181&amp;"Total",Usage!$B$5:$S$5&amp;Usage!$B$6:$S$6&amp;Usage!$B$7:$S$7&amp;Usage!$B$13:$S$13,0)),0)</f>
        <v>4000</v>
      </c>
      <c r="G181" s="3" t="s">
        <v>145</v>
      </c>
      <c r="H181" s="224"/>
      <c r="I181" s="224">
        <f t="array" ref="I181">IFERROR(INDEX('Detail inputs'!$B$3:$K$193,MATCH($B181&amp;$G181&amp;I$5,'Detail inputs'!$B$3:$B$193&amp;'Detail inputs'!$G$3:$G$193&amp;'Detail inputs'!$H$3:$H$193,0),MATCH(I$4,'Detail inputs'!$B$3:$K$3,0)),0)</f>
        <v>3.6</v>
      </c>
      <c r="J181" s="224">
        <f t="shared" si="78"/>
        <v>14.4</v>
      </c>
      <c r="K181" s="246">
        <f>IFERROR(J181/J184,"")</f>
        <v>3.0133087804469744E-2</v>
      </c>
      <c r="L181" s="246"/>
      <c r="M181" s="246">
        <f t="shared" si="76"/>
        <v>0.17500000000000004</v>
      </c>
      <c r="N181" s="243"/>
      <c r="O181" s="224"/>
      <c r="P181" s="224">
        <f t="array" ref="P181">IFERROR(INDEX('Detail inputs'!$B$3:$K$193,MATCH($B181&amp;$G181&amp;P$5,'Detail inputs'!$B$3:$B$193&amp;'Detail inputs'!$G$3:$G$193&amp;'Detail inputs'!$H$3:$H$193,0),MATCH(P$4,'Detail inputs'!$B$3:$K$3,0)),0)</f>
        <v>4.2300000000000004</v>
      </c>
      <c r="Q181" s="224">
        <f t="shared" si="79"/>
        <v>16.920000000000002</v>
      </c>
      <c r="R181" s="246">
        <f>IFERROR(Q181/Q184,"")</f>
        <v>3.1442800862261207E-2</v>
      </c>
    </row>
    <row r="182" spans="2:22" outlineLevel="1" x14ac:dyDescent="0.35">
      <c r="B182" s="3" t="str">
        <f t="shared" si="77"/>
        <v>SAPN</v>
      </c>
      <c r="C182" s="3" t="str">
        <f t="shared" si="74"/>
        <v>Residential</v>
      </c>
      <c r="D182" s="3" t="str">
        <f t="shared" si="75"/>
        <v>without CL</v>
      </c>
      <c r="E182" s="3" t="s">
        <v>21</v>
      </c>
      <c r="F182" s="228">
        <f t="array" ref="F182">IFERROR(INDEX(Usage!$B$5:$P$18,MATCH($B182,Usage!$B$5:$B$18,0),MATCH($C182&amp;$D182&amp;$E182&amp;"Total",Usage!$B$5:$S$5&amp;Usage!$B$6:$S$6&amp;Usage!$B$7:$S$7&amp;Usage!$B$13:$S$13,0)),0)</f>
        <v>4000</v>
      </c>
      <c r="G182" s="3" t="s">
        <v>189</v>
      </c>
      <c r="H182" s="224"/>
      <c r="I182" s="224">
        <f t="array" ref="I182">IFERROR(INDEX('Detail inputs'!$B$3:$K$193,MATCH($B182&amp;$G182&amp;I$5,'Detail inputs'!$B$3:$B$193&amp;'Detail inputs'!$G$3:$G$193&amp;'Detail inputs'!$H$3:$H$193,0),MATCH(I$4,'Detail inputs'!$B$3:$K$3,0)),0)</f>
        <v>0</v>
      </c>
      <c r="J182" s="224">
        <f t="shared" ref="J182" si="80">IF(AND(H182="",I182=""),"",H182+I182*$F182/1000)</f>
        <v>0</v>
      </c>
      <c r="K182" s="246">
        <f>IFERROR(J182/J184,"")</f>
        <v>0</v>
      </c>
      <c r="L182" s="246"/>
      <c r="M182" s="246" t="str">
        <f t="shared" ref="M182" si="81">IF(OR(J182=0,Q182=""),"",Q182/J182-1)</f>
        <v/>
      </c>
      <c r="N182" s="243"/>
      <c r="O182" s="224"/>
      <c r="P182" s="224" cm="1">
        <f t="array" ref="P182">IFERROR(INDEX('Detail inputs'!$B$3:$K$193,MATCH($B182&amp;$G182&amp;P$5,'Detail inputs'!$B$3:$B$193&amp;'Detail inputs'!$G$3:$G$193&amp;'Detail inputs'!$H$3:$H$193,0),MATCH(P$4,'Detail inputs'!$B$3:$K$3,0)),0)</f>
        <v>7.03</v>
      </c>
      <c r="Q182" s="224">
        <f>IF(AND(O182="",P182=""),"",O182+P182*$F182/1000)</f>
        <v>28.12</v>
      </c>
      <c r="R182" s="246">
        <f>IFERROR(Q182/Q184,"")</f>
        <v>5.2256002378651606E-2</v>
      </c>
    </row>
    <row r="183" spans="2:22" outlineLevel="1" x14ac:dyDescent="0.35">
      <c r="B183" s="3" t="str">
        <f t="shared" si="77"/>
        <v>SAPN</v>
      </c>
      <c r="C183" s="3" t="str">
        <f t="shared" si="74"/>
        <v>Residential</v>
      </c>
      <c r="D183" s="3" t="str">
        <f t="shared" si="75"/>
        <v>without CL</v>
      </c>
      <c r="E183" s="3" t="s">
        <v>21</v>
      </c>
      <c r="F183" s="228">
        <f t="array" ref="F183">IFERROR(INDEX(Usage!$B$5:$P$18,MATCH($B183,Usage!$B$5:$B$18,0),MATCH($C183&amp;$D183&amp;$E183&amp;"Total",Usage!$B$5:$S$5&amp;Usage!$B$6:$S$6&amp;Usage!$B$7:$S$7&amp;Usage!$B$13:$S$13,0)),0)</f>
        <v>4000</v>
      </c>
      <c r="G183" s="3" t="s">
        <v>69</v>
      </c>
      <c r="H183" s="224"/>
      <c r="I183" s="224" cm="1">
        <f t="array" ref="I183">ROUND(IFERROR(INDEX('Detail inputs'!$B$3:$K$193,MATCH($B183&amp;$C183&amp;$E183&amp;$G183&amp;I$5,'Detail inputs'!$B$3:$B$193&amp;'Detail inputs'!$D$3:$D$193&amp;'Detail inputs'!$F$3:$F$193&amp;'Detail inputs'!$G$3:$G$193&amp;'Detail inputs'!$H$3:$H$193,0),MATCH(I$4,'Detail inputs'!$B$3:$K$3,0)),0)*SUM(I177:I182),2)</f>
        <v>12.61</v>
      </c>
      <c r="J183" s="224">
        <f t="shared" si="78"/>
        <v>50.44</v>
      </c>
      <c r="K183" s="246">
        <f>IFERROR(J183/J184,"")</f>
        <v>0.10554951033732317</v>
      </c>
      <c r="L183" s="246"/>
      <c r="M183" s="246">
        <f t="shared" si="76"/>
        <v>-3.0134813639968172E-2</v>
      </c>
      <c r="N183" s="243"/>
      <c r="O183" s="224"/>
      <c r="P183" s="224" cm="1">
        <f t="array" ref="P183">ROUND(IFERROR(INDEX('Detail inputs'!$B$3:$K$193,MATCH($B183&amp;$C183&amp;$E183&amp;$G183&amp;P$5,'Detail inputs'!$B$3:$B$193&amp;'Detail inputs'!$D$3:$D$193&amp;'Detail inputs'!$F$3:$F$193&amp;'Detail inputs'!$G$3:$G$193&amp;'Detail inputs'!$H$3:$H$193,0),MATCH(P$4,'Detail inputs'!$B$3:$K$3,0)),0)*SUM(P177:P182),2)</f>
        <v>12.23</v>
      </c>
      <c r="Q183" s="224">
        <f t="shared" si="79"/>
        <v>48.92</v>
      </c>
      <c r="R183" s="246">
        <f>IFERROR(Q183/Q184,"")</f>
        <v>9.0909090909090912E-2</v>
      </c>
    </row>
    <row r="184" spans="2:22" s="60" customFormat="1" x14ac:dyDescent="0.35">
      <c r="B184" s="3" t="str">
        <f t="shared" si="77"/>
        <v>SAPN</v>
      </c>
      <c r="C184" s="3" t="str">
        <f t="shared" si="74"/>
        <v>Residential</v>
      </c>
      <c r="D184" s="3" t="str">
        <f t="shared" si="75"/>
        <v>without CL</v>
      </c>
      <c r="E184" s="3" t="s">
        <v>21</v>
      </c>
      <c r="F184" s="228">
        <f t="array" ref="F184">IFERROR(INDEX(Usage!$B$5:$P$18,MATCH($B184,Usage!$B$5:$B$18,0),MATCH($C184&amp;$D184&amp;$E184&amp;"Total",Usage!$B$5:$S$5&amp;Usage!$B$6:$S$6&amp;Usage!$B$7:$S$7&amp;Usage!$B$13:$S$13,0)),0)</f>
        <v>4000</v>
      </c>
      <c r="G184" s="60" t="s">
        <v>53</v>
      </c>
      <c r="H184" s="226"/>
      <c r="I184" s="226">
        <f t="array" ref="I184">INDEX('Key inputs'!$B$16:$N$40,MATCH($B184&amp;$C184&amp;$E184,'Key inputs'!$B$16:$B$40&amp;'Key inputs'!$C$16:$C$40&amp;'Key inputs'!$D$16:$D$40,0),MATCH($A$2&amp;I$4,'Key inputs'!$B$17:$N$17&amp;'Key inputs'!$B$18:$N$18,0))</f>
        <v>119.47</v>
      </c>
      <c r="J184" s="224">
        <f t="shared" si="78"/>
        <v>477.88</v>
      </c>
      <c r="K184" s="247"/>
      <c r="L184" s="259"/>
      <c r="M184" s="247">
        <f t="shared" si="76"/>
        <v>0.12605675064869848</v>
      </c>
      <c r="N184" s="253"/>
      <c r="O184" s="226"/>
      <c r="P184" s="226">
        <f t="array" ref="P184">INDEX('Key inputs'!$B$16:$N$40,MATCH($B184&amp;$C184&amp;$E184,'Key inputs'!$B$16:$B$40&amp;'Key inputs'!$C$16:$C$40&amp;'Key inputs'!$D$16:$D$40,0),MATCH($A$2&amp;P$4,'Key inputs'!$B$17:$N$17&amp;'Key inputs'!$B$18:$N$18,0))</f>
        <v>134.53</v>
      </c>
      <c r="Q184" s="224">
        <f t="shared" si="79"/>
        <v>538.12</v>
      </c>
      <c r="R184" s="247"/>
      <c r="S184" s="97"/>
      <c r="T184" s="97"/>
      <c r="U184" s="97"/>
      <c r="V184" s="97"/>
    </row>
    <row r="185" spans="2:22" outlineLevel="1" x14ac:dyDescent="0.35">
      <c r="B185" s="3" t="str">
        <f t="shared" si="77"/>
        <v>SAPN</v>
      </c>
      <c r="C185" s="3" t="str">
        <f t="shared" si="74"/>
        <v>Residential</v>
      </c>
      <c r="D185" s="3" t="str">
        <f t="shared" si="75"/>
        <v>without CL</v>
      </c>
      <c r="F185" s="228"/>
      <c r="G185" s="60" t="s">
        <v>35</v>
      </c>
      <c r="H185" s="226"/>
      <c r="I185" s="226"/>
      <c r="J185" s="226">
        <f>J184*GST</f>
        <v>47.788000000000004</v>
      </c>
      <c r="K185" s="247"/>
      <c r="L185" s="259"/>
      <c r="M185" s="247"/>
      <c r="N185" s="253"/>
      <c r="O185" s="226"/>
      <c r="P185" s="226"/>
      <c r="Q185" s="226">
        <f>Q184*GST</f>
        <v>53.812000000000005</v>
      </c>
      <c r="R185" s="248"/>
    </row>
    <row r="186" spans="2:22" x14ac:dyDescent="0.35">
      <c r="B186" s="3" t="str">
        <f t="shared" si="77"/>
        <v>SAPN</v>
      </c>
      <c r="C186" s="3" t="str">
        <f t="shared" si="74"/>
        <v>Residential</v>
      </c>
      <c r="D186" s="3" t="str">
        <f t="shared" si="75"/>
        <v>without CL</v>
      </c>
      <c r="F186" s="228"/>
      <c r="G186" s="5" t="s">
        <v>77</v>
      </c>
      <c r="H186" s="227"/>
      <c r="I186" s="227"/>
      <c r="J186" s="227">
        <f>SUM(J184:J185)</f>
        <v>525.66800000000001</v>
      </c>
      <c r="K186" s="248"/>
      <c r="L186" s="260"/>
      <c r="M186" s="248">
        <f>IF(OR(J186=0,Q186=""),"",Q186/J186-1)</f>
        <v>0.12605675064869848</v>
      </c>
      <c r="N186" s="254"/>
      <c r="O186" s="227"/>
      <c r="P186" s="227"/>
      <c r="Q186" s="227">
        <f>SUM(Q184:Q185)</f>
        <v>591.93200000000002</v>
      </c>
      <c r="R186" s="248"/>
    </row>
    <row r="187" spans="2:22" x14ac:dyDescent="0.35">
      <c r="F187" s="228"/>
      <c r="H187" s="224"/>
      <c r="I187" s="224"/>
      <c r="J187" s="224"/>
      <c r="K187" s="246"/>
      <c r="L187" s="261"/>
      <c r="M187" s="246"/>
      <c r="N187" s="252"/>
      <c r="O187" s="224"/>
      <c r="P187" s="224"/>
      <c r="Q187" s="224"/>
      <c r="R187" s="246"/>
    </row>
    <row r="188" spans="2:22" x14ac:dyDescent="0.35">
      <c r="B188" s="5" t="s">
        <v>5</v>
      </c>
      <c r="C188" s="5" t="s">
        <v>6</v>
      </c>
      <c r="D188" s="5" t="s">
        <v>137</v>
      </c>
      <c r="F188" s="228"/>
      <c r="H188" s="224"/>
      <c r="I188" s="224"/>
      <c r="J188" s="224"/>
      <c r="K188" s="246"/>
      <c r="L188" s="261"/>
      <c r="M188" s="246"/>
      <c r="N188" s="252"/>
      <c r="O188" s="224"/>
      <c r="P188" s="224"/>
      <c r="Q188" s="224"/>
      <c r="R188" s="246"/>
    </row>
    <row r="189" spans="2:22" outlineLevel="1" x14ac:dyDescent="0.35">
      <c r="B189" s="3" t="str">
        <f>B188</f>
        <v>SAPN</v>
      </c>
      <c r="C189" s="3" t="str">
        <f t="shared" ref="C189:C200" si="82">C188</f>
        <v>Residential</v>
      </c>
      <c r="D189" s="3" t="str">
        <f t="shared" ref="D189:D200" si="83">D188</f>
        <v>with CL</v>
      </c>
      <c r="E189" s="3" t="s">
        <v>21</v>
      </c>
      <c r="F189" s="228">
        <f t="array" ref="F189">IFERROR(INDEX(Usage!$B$5:$P$18,MATCH($B189,Usage!$B$5:$B$18,0),MATCH($C189&amp;$D189&amp;$E189&amp;"Total",Usage!$B$5:$S$5&amp;Usage!$B$6:$S$6&amp;Usage!$B$7:$S$7&amp;Usage!$B$13:$S$13,0)),0)</f>
        <v>4200</v>
      </c>
      <c r="G189" s="3" t="s">
        <v>53</v>
      </c>
      <c r="H189" s="224"/>
      <c r="I189" s="226">
        <f t="array" ref="I189">INDEX('Key inputs'!$B$16:$N$40,MATCH($B189&amp;$C189&amp;$E189,'Key inputs'!$B$16:$B$40&amp;'Key inputs'!$C$16:$C$40&amp;'Key inputs'!$D$16:$D$40,0),MATCH($A$2&amp;I$4,'Key inputs'!$B$17:$N$17&amp;'Key inputs'!$B$18:$N$18,0))</f>
        <v>119.47</v>
      </c>
      <c r="J189" s="224">
        <f>IF(AND(H189="",I189=""),"",H189+I189*$F189/1000)</f>
        <v>501.774</v>
      </c>
      <c r="K189" s="246"/>
      <c r="L189" s="261"/>
      <c r="M189" s="246">
        <f>IF(OR(J189=0,Q189=""),"",Q189/J189-1)</f>
        <v>0.12605675064869826</v>
      </c>
      <c r="N189" s="252"/>
      <c r="O189" s="224"/>
      <c r="P189" s="226">
        <f t="array" ref="P189">INDEX('Key inputs'!$B$16:$N$40,MATCH($B189&amp;$C189&amp;$E189,'Key inputs'!$B$16:$B$40&amp;'Key inputs'!$C$16:$C$40&amp;'Key inputs'!$D$16:$D$40,0),MATCH($A$2&amp;P$4,'Key inputs'!$B$17:$N$17&amp;'Key inputs'!$B$18:$N$18,0))</f>
        <v>134.53</v>
      </c>
      <c r="Q189" s="224">
        <f>IF(AND(O189="",P189=""),"",O189+P189*$F189/1000)</f>
        <v>565.02599999999995</v>
      </c>
      <c r="R189" s="246"/>
    </row>
    <row r="190" spans="2:22" outlineLevel="1" x14ac:dyDescent="0.35">
      <c r="B190" s="3" t="str">
        <f t="shared" ref="B190:B200" si="84">B189</f>
        <v>SAPN</v>
      </c>
      <c r="C190" s="3" t="str">
        <f t="shared" si="82"/>
        <v>Residential</v>
      </c>
      <c r="D190" s="3" t="str">
        <f t="shared" si="83"/>
        <v>with CL</v>
      </c>
      <c r="E190" s="3" t="s">
        <v>15</v>
      </c>
      <c r="F190" s="228">
        <f t="array" ref="F190">IFERROR(INDEX(Usage!$B$5:$P$18,MATCH($B190,Usage!$B$5:$B$18,0),MATCH($C190&amp;$D190&amp;$E190,Usage!$B$5:$S$5&amp;Usage!$B$6:$S$6&amp;Usage!$B$7:$S$7,0)),0)</f>
        <v>1800</v>
      </c>
      <c r="G190" s="3" t="s">
        <v>66</v>
      </c>
      <c r="H190" s="224"/>
      <c r="I190" s="224">
        <f t="array" ref="I190">IFERROR(INDEX('Detail inputs'!$B$3:$K$193,MATCH($B190&amp;$C190&amp;$E190&amp;$G190&amp;I$5,'Detail inputs'!$B$3:$B$193&amp;'Detail inputs'!$D$3:$D$193&amp;'Detail inputs'!$F$3:$F$193&amp;'Detail inputs'!$G$3:$G$193&amp;'Detail inputs'!$H$3:$H$193,0),MATCH(I$4,'Detail inputs'!$B$3:$K$3,0)),0)</f>
        <v>60.02</v>
      </c>
      <c r="J190" s="224">
        <f>IF(AND(H190="",I190=""),"",H190+I190*$F190/1000)</f>
        <v>108.036</v>
      </c>
      <c r="K190" s="246">
        <f>IFERROR(J190/J197,"")</f>
        <v>0.82422411425432573</v>
      </c>
      <c r="L190" s="246"/>
      <c r="M190" s="246">
        <f t="shared" ref="M190:M198" si="85">IF(OR(J190=0,Q190=""),"",Q190/J190-1)</f>
        <v>-0.10029990003332223</v>
      </c>
      <c r="N190" s="243"/>
      <c r="O190" s="224"/>
      <c r="P190" s="224">
        <f t="array" ref="P190">IFERROR(INDEX('Detail inputs'!$B$3:$K$193,MATCH($B190&amp;$C190&amp;$E190&amp;$G190&amp;P$5,'Detail inputs'!$B$3:$B$193&amp;'Detail inputs'!$D$3:$D$193&amp;'Detail inputs'!$F$3:$F$193&amp;'Detail inputs'!$G$3:$G$193&amp;'Detail inputs'!$H$3:$H$193,0),MATCH(P$4,'Detail inputs'!$B$3:$K$3,0)),0)</f>
        <v>54</v>
      </c>
      <c r="Q190" s="224">
        <f>IF(AND(O190="",P190=""),"",O190+P190*$F190/1000)</f>
        <v>97.2</v>
      </c>
      <c r="R190" s="246">
        <f>IFERROR(Q190/Q197,"")</f>
        <v>0.73449401523394986</v>
      </c>
    </row>
    <row r="191" spans="2:22" outlineLevel="1" x14ac:dyDescent="0.35">
      <c r="B191" s="3" t="str">
        <f t="shared" si="84"/>
        <v>SAPN</v>
      </c>
      <c r="C191" s="3" t="str">
        <f t="shared" si="82"/>
        <v>Residential</v>
      </c>
      <c r="D191" s="3" t="str">
        <f t="shared" si="83"/>
        <v>with CL</v>
      </c>
      <c r="E191" s="3" t="s">
        <v>15</v>
      </c>
      <c r="F191" s="228">
        <f t="array" ref="F191">IFERROR(INDEX(Usage!$B$5:$P$18,MATCH($B191,Usage!$B$5:$B$18,0),MATCH($C191&amp;$D191&amp;$E191,Usage!$B$5:$S$5&amp;Usage!$B$6:$S$6&amp;Usage!$B$7:$S$7,0)),0)</f>
        <v>1800</v>
      </c>
      <c r="G191" s="3" t="s">
        <v>67</v>
      </c>
      <c r="H191" s="224"/>
      <c r="I191" s="224">
        <f t="array" ref="I191">IFERROR(INDEX('Detail inputs'!$B$3:$K$193,MATCH($B191&amp;$G191&amp;I$5,'Detail inputs'!$B$3:$B$193&amp;'Detail inputs'!$G$3:$G$193&amp;'Detail inputs'!$H$3:$H$193,0),MATCH(I$4,'Detail inputs'!$B$3:$K$3,0)),0)</f>
        <v>1.02</v>
      </c>
      <c r="J191" s="224">
        <f t="shared" ref="J191:J197" si="86">IF(AND(H191="",I191=""),"",H191+I191*$F191/1000)</f>
        <v>1.8360000000000001</v>
      </c>
      <c r="K191" s="246">
        <f>IFERROR(J191/J197,"")</f>
        <v>1.4007140895358419E-2</v>
      </c>
      <c r="L191" s="246"/>
      <c r="M191" s="246">
        <f t="shared" si="85"/>
        <v>-0.52941176470588236</v>
      </c>
      <c r="N191" s="243"/>
      <c r="O191" s="224"/>
      <c r="P191" s="224">
        <f t="array" ref="P191">IFERROR(INDEX('Detail inputs'!$B$3:$K$193,MATCH($B191&amp;$G191&amp;P$5,'Detail inputs'!$B$3:$B$193&amp;'Detail inputs'!$G$3:$G$193&amp;'Detail inputs'!$H$3:$H$193,0),MATCH(P$4,'Detail inputs'!$B$3:$K$3,0)),0)</f>
        <v>0.48</v>
      </c>
      <c r="Q191" s="224">
        <f t="shared" ref="Q191:Q197" si="87">IF(AND(O191="",P191=""),"",O191+P191*$F191/1000)</f>
        <v>0.86399999999999999</v>
      </c>
      <c r="R191" s="246">
        <f>IFERROR(Q191/Q197,"")</f>
        <v>6.5288356909684432E-3</v>
      </c>
    </row>
    <row r="192" spans="2:22" outlineLevel="1" x14ac:dyDescent="0.35">
      <c r="B192" s="3" t="str">
        <f t="shared" si="84"/>
        <v>SAPN</v>
      </c>
      <c r="C192" s="3" t="str">
        <f t="shared" si="82"/>
        <v>Residential</v>
      </c>
      <c r="D192" s="3" t="str">
        <f t="shared" si="83"/>
        <v>with CL</v>
      </c>
      <c r="E192" s="3" t="s">
        <v>15</v>
      </c>
      <c r="F192" s="228">
        <f t="array" ref="F192">IFERROR(INDEX(Usage!$B$5:$P$18,MATCH($B192,Usage!$B$5:$B$18,0),MATCH($C192&amp;$D192&amp;$E192,Usage!$B$5:$S$5&amp;Usage!$B$6:$S$6&amp;Usage!$B$7:$S$7,0)),0)</f>
        <v>1800</v>
      </c>
      <c r="G192" s="3" t="s">
        <v>75</v>
      </c>
      <c r="H192" s="224"/>
      <c r="I192" s="224">
        <f t="array" ref="I192">IFERROR(INDEX('Detail inputs'!$B$3:$K$193,MATCH($B192&amp;$G192&amp;I$5,'Detail inputs'!$B$3:$B$193&amp;'Detail inputs'!$G$3:$G$193&amp;'Detail inputs'!$H$3:$H$193,0),MATCH(I$4,'Detail inputs'!$B$3:$K$3,0)),0)</f>
        <v>0.49</v>
      </c>
      <c r="J192" s="224">
        <f t="shared" si="86"/>
        <v>0.88200000000000001</v>
      </c>
      <c r="K192" s="246">
        <f>IFERROR(J192/J197,"")</f>
        <v>6.7289206262015934E-3</v>
      </c>
      <c r="L192" s="246"/>
      <c r="M192" s="246">
        <f t="shared" si="85"/>
        <v>1.2448979591836737</v>
      </c>
      <c r="N192" s="243"/>
      <c r="O192" s="224"/>
      <c r="P192" s="224">
        <f t="array" ref="P192">IFERROR(INDEX('Detail inputs'!$B$3:$K$193,MATCH($B192&amp;$G192&amp;P$5,'Detail inputs'!$B$3:$B$193&amp;'Detail inputs'!$G$3:$G$193&amp;'Detail inputs'!$H$3:$H$193,0),MATCH(P$4,'Detail inputs'!$B$3:$K$3,0)),0)</f>
        <v>1.1000000000000001</v>
      </c>
      <c r="Q192" s="224">
        <f t="shared" si="87"/>
        <v>1.9800000000000002</v>
      </c>
      <c r="R192" s="246">
        <f>IFERROR(Q192/Q197,"")</f>
        <v>1.4961915125136017E-2</v>
      </c>
    </row>
    <row r="193" spans="2:22" outlineLevel="1" x14ac:dyDescent="0.35">
      <c r="B193" s="3" t="str">
        <f t="shared" si="84"/>
        <v>SAPN</v>
      </c>
      <c r="C193" s="3" t="str">
        <f t="shared" si="82"/>
        <v>Residential</v>
      </c>
      <c r="D193" s="3" t="str">
        <f t="shared" si="83"/>
        <v>with CL</v>
      </c>
      <c r="E193" s="3" t="s">
        <v>15</v>
      </c>
      <c r="F193" s="228">
        <f t="array" ref="F193">IFERROR(INDEX(Usage!$B$5:$P$18,MATCH($B193,Usage!$B$5:$B$18,0),MATCH($C193&amp;$D193&amp;$E193,Usage!$B$5:$S$5&amp;Usage!$B$6:$S$6&amp;Usage!$B$7:$S$7,0)),0)</f>
        <v>1800</v>
      </c>
      <c r="G193" s="3" t="s">
        <v>68</v>
      </c>
      <c r="H193" s="224"/>
      <c r="I193" s="224">
        <f t="array" ref="I193">IFERROR(INDEX('Detail inputs'!$B$3:$K$193,MATCH($B193&amp;$G193&amp;I$5,'Detail inputs'!$B$3:$B$193&amp;'Detail inputs'!$G$3:$G$193&amp;'Detail inputs'!$H$3:$H$193,0),MATCH(I$4,'Detail inputs'!$B$3:$K$3,0)),0)</f>
        <v>0</v>
      </c>
      <c r="J193" s="224">
        <f t="shared" si="86"/>
        <v>0</v>
      </c>
      <c r="K193" s="246">
        <f>IFERROR(J193/J197,"")</f>
        <v>0</v>
      </c>
      <c r="L193" s="246"/>
      <c r="M193" s="246" t="str">
        <f t="shared" si="85"/>
        <v/>
      </c>
      <c r="N193" s="243"/>
      <c r="O193" s="224"/>
      <c r="P193" s="224">
        <f t="array" ref="P193">IFERROR(INDEX('Detail inputs'!$B$3:$K$193,MATCH($B193&amp;$G193&amp;P$5,'Detail inputs'!$B$3:$B$193&amp;'Detail inputs'!$G$3:$G$193&amp;'Detail inputs'!$H$3:$H$193,0),MATCH(P$4,'Detail inputs'!$B$3:$K$3,0)),0)</f>
        <v>0</v>
      </c>
      <c r="Q193" s="224">
        <f t="shared" si="87"/>
        <v>0</v>
      </c>
      <c r="R193" s="246">
        <f>IFERROR(Q193/Q197,"")</f>
        <v>0</v>
      </c>
    </row>
    <row r="194" spans="2:22" outlineLevel="1" x14ac:dyDescent="0.35">
      <c r="B194" s="3" t="str">
        <f t="shared" si="84"/>
        <v>SAPN</v>
      </c>
      <c r="C194" s="3" t="str">
        <f t="shared" si="82"/>
        <v>Residential</v>
      </c>
      <c r="D194" s="3" t="str">
        <f t="shared" si="83"/>
        <v>with CL</v>
      </c>
      <c r="E194" s="3" t="s">
        <v>15</v>
      </c>
      <c r="F194" s="228">
        <f t="array" ref="F194">IFERROR(INDEX(Usage!$B$5:$P$18,MATCH($B194,Usage!$B$5:$B$18,0),MATCH($C194&amp;$D194&amp;$E194,Usage!$B$5:$S$5&amp;Usage!$B$6:$S$6&amp;Usage!$B$7:$S$7,0)),0)</f>
        <v>1800</v>
      </c>
      <c r="G194" s="3" t="s">
        <v>145</v>
      </c>
      <c r="H194" s="224"/>
      <c r="I194" s="224">
        <f t="array" ref="I194">IFERROR(INDEX('Detail inputs'!$B$3:$K$193,MATCH($B194&amp;$G194&amp;I$5,'Detail inputs'!$B$3:$B$193&amp;'Detail inputs'!$G$3:$G$193&amp;'Detail inputs'!$H$3:$H$193,0),MATCH(I$4,'Detail inputs'!$B$3:$K$3,0)),0)</f>
        <v>3.6</v>
      </c>
      <c r="J194" s="224">
        <f t="shared" si="86"/>
        <v>6.48</v>
      </c>
      <c r="K194" s="246">
        <f>IFERROR(J194/J197,"")</f>
        <v>4.9436967865970891E-2</v>
      </c>
      <c r="L194" s="246"/>
      <c r="M194" s="246">
        <f t="shared" si="85"/>
        <v>0.17500000000000004</v>
      </c>
      <c r="N194" s="243"/>
      <c r="O194" s="224"/>
      <c r="P194" s="224">
        <f t="array" ref="P194">IFERROR(INDEX('Detail inputs'!$B$3:$K$193,MATCH($B194&amp;$G194&amp;P$5,'Detail inputs'!$B$3:$B$193&amp;'Detail inputs'!$G$3:$G$193&amp;'Detail inputs'!$H$3:$H$193,0),MATCH(P$4,'Detail inputs'!$B$3:$K$3,0)),0)</f>
        <v>4.2300000000000004</v>
      </c>
      <c r="Q194" s="224">
        <f>IF(AND(O194="",P194=""),"",O194+P194*$F194/1000)</f>
        <v>7.6140000000000008</v>
      </c>
      <c r="R194" s="246">
        <f>IFERROR(Q194/Q197,"")</f>
        <v>5.7535364526659416E-2</v>
      </c>
    </row>
    <row r="195" spans="2:22" outlineLevel="1" x14ac:dyDescent="0.35">
      <c r="B195" s="3" t="str">
        <f t="shared" si="84"/>
        <v>SAPN</v>
      </c>
      <c r="C195" s="3" t="str">
        <f t="shared" si="82"/>
        <v>Residential</v>
      </c>
      <c r="D195" s="3" t="str">
        <f t="shared" si="83"/>
        <v>with CL</v>
      </c>
      <c r="E195" s="3" t="s">
        <v>15</v>
      </c>
      <c r="F195" s="228">
        <f t="array" ref="F195">IFERROR(INDEX(Usage!$B$5:$P$18,MATCH($B195,Usage!$B$5:$B$18,0),MATCH($C195&amp;$D195&amp;$E195,Usage!$B$5:$S$5&amp;Usage!$B$6:$S$6&amp;Usage!$B$7:$S$7,0)),0)</f>
        <v>1800</v>
      </c>
      <c r="G195" s="3" t="s">
        <v>189</v>
      </c>
      <c r="H195" s="224"/>
      <c r="I195" s="224">
        <f t="array" ref="I195">IFERROR(INDEX('Detail inputs'!$B$3:$K$193,MATCH($B195&amp;$G195&amp;I$5,'Detail inputs'!$B$3:$B$193&amp;'Detail inputs'!$G$3:$G$193&amp;'Detail inputs'!$H$3:$H$193,0),MATCH(I$4,'Detail inputs'!$B$3:$K$3,0)),0)</f>
        <v>0</v>
      </c>
      <c r="J195" s="224">
        <f t="shared" ref="J195" si="88">IF(AND(H195="",I195=""),"",H195+I195*$F195/1000)</f>
        <v>0</v>
      </c>
      <c r="K195" s="246">
        <f>IFERROR(J195/J197,"")</f>
        <v>0</v>
      </c>
      <c r="L195" s="246"/>
      <c r="M195" s="246" t="str">
        <f t="shared" ref="M195" si="89">IF(OR(J195=0,Q195=""),"",Q195/J195-1)</f>
        <v/>
      </c>
      <c r="N195" s="243"/>
      <c r="O195" s="224"/>
      <c r="P195" s="224">
        <f t="array" ref="P195">IFERROR(INDEX('Detail inputs'!$B$3:$K$193,MATCH($B195&amp;$G195&amp;P$5,'Detail inputs'!$B$3:$B$193&amp;'Detail inputs'!$G$3:$G$193&amp;'Detail inputs'!$H$3:$H$193,0),MATCH(P$4,'Detail inputs'!$B$3:$K$3,0)),0)</f>
        <v>7.03</v>
      </c>
      <c r="Q195" s="224">
        <f t="shared" ref="Q195" si="90">IF(AND(O195="",P195=""),"",O195+P195*$F195/1000)</f>
        <v>12.654</v>
      </c>
      <c r="R195" s="246">
        <f>IFERROR(Q195/Q197,"")</f>
        <v>9.5620239390641987E-2</v>
      </c>
    </row>
    <row r="196" spans="2:22" outlineLevel="1" x14ac:dyDescent="0.35">
      <c r="B196" s="3" t="str">
        <f t="shared" si="84"/>
        <v>SAPN</v>
      </c>
      <c r="C196" s="3" t="str">
        <f t="shared" si="82"/>
        <v>Residential</v>
      </c>
      <c r="D196" s="3" t="str">
        <f t="shared" si="83"/>
        <v>with CL</v>
      </c>
      <c r="E196" s="3" t="s">
        <v>15</v>
      </c>
      <c r="F196" s="228">
        <f t="array" ref="F196">IFERROR(INDEX(Usage!$B$5:$P$18,MATCH($B196,Usage!$B$5:$B$18,0),MATCH($C196&amp;$D196&amp;$E196,Usage!$B$5:$S$5&amp;Usage!$B$6:$S$6&amp;Usage!$B$7:$S$7,0)),0)</f>
        <v>1800</v>
      </c>
      <c r="G196" s="3" t="s">
        <v>69</v>
      </c>
      <c r="H196" s="224"/>
      <c r="I196" s="224" cm="1">
        <f t="array" ref="I196">ROUND(IFERROR(INDEX('Detail inputs'!$B$3:$K$193,MATCH($B196&amp;$C196&amp;$E196&amp;$G196&amp;I$5,'Detail inputs'!$B$3:$B$193&amp;'Detail inputs'!$D$3:$D$193&amp;'Detail inputs'!$F$3:$F$193&amp;'Detail inputs'!$G$3:$G$193&amp;'Detail inputs'!$H$3:$H$193,0),MATCH(I$4,'Detail inputs'!$B$3:$K$3,0)),0)*SUM(I190:I195),2)</f>
        <v>7.69</v>
      </c>
      <c r="J196" s="224">
        <f t="shared" si="86"/>
        <v>13.842000000000001</v>
      </c>
      <c r="K196" s="246">
        <f>IFERROR(J196/J197,"")</f>
        <v>0.10560285635814337</v>
      </c>
      <c r="L196" s="246"/>
      <c r="M196" s="246">
        <f t="shared" si="85"/>
        <v>-0.13133940182054626</v>
      </c>
      <c r="N196" s="243"/>
      <c r="O196" s="224"/>
      <c r="P196" s="224" cm="1">
        <f t="array" ref="P196">ROUND(IFERROR(INDEX('Detail inputs'!$B$3:$K$193,MATCH($B196&amp;$C196&amp;$E196&amp;$G196&amp;P$5,'Detail inputs'!$B$3:$B$193&amp;'Detail inputs'!$D$3:$D$193&amp;'Detail inputs'!$F$3:$F$193&amp;'Detail inputs'!$G$3:$G$193&amp;'Detail inputs'!$H$3:$H$193,0),MATCH(P$4,'Detail inputs'!$B$3:$K$3,0)),0)*SUM(P190:P195),2)</f>
        <v>6.68</v>
      </c>
      <c r="Q196" s="224">
        <f t="shared" si="87"/>
        <v>12.023999999999999</v>
      </c>
      <c r="R196" s="246">
        <f>IFERROR(Q196/Q197,"")</f>
        <v>9.0859630032644162E-2</v>
      </c>
    </row>
    <row r="197" spans="2:22" outlineLevel="1" x14ac:dyDescent="0.35">
      <c r="B197" s="3" t="str">
        <f t="shared" si="84"/>
        <v>SAPN</v>
      </c>
      <c r="C197" s="3" t="str">
        <f t="shared" si="82"/>
        <v>Residential</v>
      </c>
      <c r="D197" s="3" t="str">
        <f t="shared" si="83"/>
        <v>with CL</v>
      </c>
      <c r="E197" s="3" t="s">
        <v>15</v>
      </c>
      <c r="F197" s="228">
        <f t="array" ref="F197">IFERROR(INDEX(Usage!$B$5:$P$18,MATCH($B197,Usage!$B$5:$B$18,0),MATCH($C197&amp;$D197&amp;$E197,Usage!$B$5:$S$5&amp;Usage!$B$6:$S$6&amp;Usage!$B$7:$S$7,0)),0)</f>
        <v>1800</v>
      </c>
      <c r="G197" s="3" t="s">
        <v>53</v>
      </c>
      <c r="H197" s="226"/>
      <c r="I197" s="226">
        <f t="array" ref="I197">INDEX('Key inputs'!$B$16:$N$40,MATCH($B197&amp;$C197&amp;$E197,'Key inputs'!$B$16:$B$40&amp;'Key inputs'!$C$16:$C$40&amp;'Key inputs'!$D$16:$D$40,0),MATCH($A$2&amp;I$4,'Key inputs'!$B$17:$N$17&amp;'Key inputs'!$B$18:$N$18,0))</f>
        <v>72.819999999999993</v>
      </c>
      <c r="J197" s="224">
        <f t="shared" si="86"/>
        <v>131.07599999999999</v>
      </c>
      <c r="K197" s="247"/>
      <c r="L197" s="259"/>
      <c r="M197" s="247">
        <f t="shared" si="85"/>
        <v>9.6127437517166126E-3</v>
      </c>
      <c r="N197" s="253"/>
      <c r="O197" s="226"/>
      <c r="P197" s="226">
        <f t="array" ref="P197">INDEX('Key inputs'!$B$16:$N$40,MATCH($B197&amp;$C197&amp;$E197,'Key inputs'!$B$16:$B$40&amp;'Key inputs'!$C$16:$C$40&amp;'Key inputs'!$D$16:$D$40,0),MATCH($A$2&amp;P$4,'Key inputs'!$B$17:$N$17&amp;'Key inputs'!$B$18:$N$18,0))</f>
        <v>73.52</v>
      </c>
      <c r="Q197" s="224">
        <f t="shared" si="87"/>
        <v>132.33600000000001</v>
      </c>
      <c r="R197" s="247"/>
      <c r="T197" s="97"/>
      <c r="U197" s="97"/>
      <c r="V197" s="97"/>
    </row>
    <row r="198" spans="2:22" s="60" customFormat="1" x14ac:dyDescent="0.35">
      <c r="B198" s="3" t="str">
        <f t="shared" si="84"/>
        <v>SAPN</v>
      </c>
      <c r="C198" s="3" t="str">
        <f t="shared" si="82"/>
        <v>Residential</v>
      </c>
      <c r="D198" s="3" t="str">
        <f t="shared" si="83"/>
        <v>with CL</v>
      </c>
      <c r="E198" s="60" t="s">
        <v>53</v>
      </c>
      <c r="F198" s="228">
        <f t="array" ref="F198">IFERROR(INDEX(Usage!$B$5:$P$18,MATCH($B198,Usage!$B$5:$B$18,0),MATCH($C198&amp;$D198&amp;$E198,Usage!$B$5:$S$5&amp;Usage!$B$6:$S$6&amp;Usage!$B$7:$S$7,0)),0)</f>
        <v>6000</v>
      </c>
      <c r="G198" s="60" t="s">
        <v>53</v>
      </c>
      <c r="H198" s="226"/>
      <c r="I198" s="226">
        <f>I189+I197</f>
        <v>192.29</v>
      </c>
      <c r="J198" s="226">
        <f>J189+J197</f>
        <v>632.85</v>
      </c>
      <c r="K198" s="247"/>
      <c r="L198" s="259"/>
      <c r="M198" s="247">
        <f t="shared" si="85"/>
        <v>0.10193884806826259</v>
      </c>
      <c r="N198" s="253"/>
      <c r="O198" s="226"/>
      <c r="P198" s="226">
        <f>P189+P197</f>
        <v>208.05</v>
      </c>
      <c r="Q198" s="226">
        <f>Q189+Q197</f>
        <v>697.36199999999997</v>
      </c>
      <c r="R198" s="247"/>
      <c r="S198" s="97"/>
      <c r="T198" s="98"/>
      <c r="U198" s="3"/>
    </row>
    <row r="199" spans="2:22" outlineLevel="1" x14ac:dyDescent="0.35">
      <c r="B199" s="3" t="str">
        <f t="shared" si="84"/>
        <v>SAPN</v>
      </c>
      <c r="C199" s="3" t="str">
        <f t="shared" si="82"/>
        <v>Residential</v>
      </c>
      <c r="D199" s="3" t="str">
        <f t="shared" si="83"/>
        <v>with CL</v>
      </c>
      <c r="F199" s="228"/>
      <c r="G199" s="60" t="s">
        <v>35</v>
      </c>
      <c r="H199" s="226"/>
      <c r="I199" s="226"/>
      <c r="J199" s="226">
        <f>J198*GST</f>
        <v>63.285000000000004</v>
      </c>
      <c r="K199" s="247"/>
      <c r="L199" s="259"/>
      <c r="M199" s="247"/>
      <c r="N199" s="253"/>
      <c r="O199" s="226"/>
      <c r="P199" s="226"/>
      <c r="Q199" s="226">
        <f>Q198*GST</f>
        <v>69.736199999999997</v>
      </c>
      <c r="R199" s="247"/>
    </row>
    <row r="200" spans="2:22" x14ac:dyDescent="0.35">
      <c r="B200" s="3" t="str">
        <f t="shared" si="84"/>
        <v>SAPN</v>
      </c>
      <c r="C200" s="3" t="str">
        <f t="shared" si="82"/>
        <v>Residential</v>
      </c>
      <c r="D200" s="3" t="str">
        <f t="shared" si="83"/>
        <v>with CL</v>
      </c>
      <c r="F200" s="228"/>
      <c r="G200" s="5" t="s">
        <v>77</v>
      </c>
      <c r="H200" s="227"/>
      <c r="I200" s="227"/>
      <c r="J200" s="227">
        <f>SUM(J198:J199)</f>
        <v>696.13499999999999</v>
      </c>
      <c r="K200" s="248"/>
      <c r="L200" s="260"/>
      <c r="M200" s="248">
        <f>IF(OR(J200=0,Q200=""),"",Q200/J200-1)</f>
        <v>0.10193884806826259</v>
      </c>
      <c r="N200" s="254"/>
      <c r="O200" s="227"/>
      <c r="P200" s="227"/>
      <c r="Q200" s="227">
        <f>SUM(Q198:Q199)</f>
        <v>767.09819999999991</v>
      </c>
      <c r="R200" s="247"/>
    </row>
    <row r="201" spans="2:22" x14ac:dyDescent="0.35">
      <c r="F201" s="228"/>
      <c r="H201" s="224"/>
      <c r="I201" s="224"/>
      <c r="J201" s="224"/>
      <c r="K201" s="247"/>
      <c r="L201" s="261"/>
      <c r="M201" s="246"/>
      <c r="N201" s="252"/>
      <c r="O201" s="224"/>
      <c r="P201" s="224"/>
      <c r="Q201" s="224"/>
      <c r="R201" s="247"/>
    </row>
    <row r="202" spans="2:22" x14ac:dyDescent="0.35">
      <c r="B202" s="5" t="s">
        <v>5</v>
      </c>
      <c r="C202" s="5" t="s">
        <v>14</v>
      </c>
      <c r="D202" s="5" t="s">
        <v>136</v>
      </c>
      <c r="F202" s="228"/>
      <c r="H202" s="224"/>
      <c r="I202" s="224"/>
      <c r="J202" s="224"/>
      <c r="K202" s="247"/>
      <c r="L202" s="261"/>
      <c r="M202" s="246"/>
      <c r="N202" s="252"/>
      <c r="O202" s="224"/>
      <c r="P202" s="224"/>
      <c r="Q202" s="224"/>
      <c r="R202" s="247"/>
    </row>
    <row r="203" spans="2:22" outlineLevel="1" x14ac:dyDescent="0.35">
      <c r="B203" s="3" t="str">
        <f>B202</f>
        <v>SAPN</v>
      </c>
      <c r="C203" s="3" t="str">
        <f t="shared" ref="C203:C212" si="91">C202</f>
        <v>Small business</v>
      </c>
      <c r="D203" s="3" t="str">
        <f t="shared" ref="D203:D212" si="92">D202</f>
        <v>without CL</v>
      </c>
      <c r="E203" s="3" t="s">
        <v>21</v>
      </c>
      <c r="F203" s="228">
        <f t="array" ref="F203">IFERROR(INDEX(Usage!$B$5:$P$18,MATCH($B203,Usage!$B$5:$B$18,0),MATCH($C203&amp;$D203&amp;$E203,Usage!$B$5:$S$5&amp;Usage!$B$6:$S$6&amp;Usage!$B$7:$S$7,0)),0)</f>
        <v>10000</v>
      </c>
      <c r="G203" s="3" t="s">
        <v>66</v>
      </c>
      <c r="H203" s="224"/>
      <c r="I203" s="224"/>
      <c r="J203" s="224"/>
      <c r="K203" s="246"/>
      <c r="L203" s="246"/>
      <c r="M203" s="246"/>
      <c r="N203" s="243"/>
      <c r="O203" s="224"/>
      <c r="P203" s="224">
        <f t="array" ref="P203">IFERROR(INDEX('Detail inputs'!$B$3:$K$193,MATCH($B203&amp;$C203&amp;$E203&amp;$G203&amp;P$5,'Detail inputs'!$B$3:$B$193&amp;'Detail inputs'!$D$3:$D$193&amp;'Detail inputs'!$F$3:$F$193&amp;'Detail inputs'!$G$3:$G$193&amp;'Detail inputs'!$H$3:$H$193,0),MATCH(P$4,'Detail inputs'!$B$3:$K$3,0)),0)</f>
        <v>109.46</v>
      </c>
      <c r="Q203" s="224">
        <f>IF(AND(O203="",P203=""),"",O203+P203*$F203/1000)</f>
        <v>1094.5999999999999</v>
      </c>
      <c r="R203" s="246">
        <f>IFERROR(Q203/Q210,"")</f>
        <v>0.81364751356574738</v>
      </c>
    </row>
    <row r="204" spans="2:22" outlineLevel="1" x14ac:dyDescent="0.35">
      <c r="B204" s="3" t="str">
        <f t="shared" ref="B204:B212" si="93">B203</f>
        <v>SAPN</v>
      </c>
      <c r="C204" s="3" t="str">
        <f t="shared" si="91"/>
        <v>Small business</v>
      </c>
      <c r="D204" s="3" t="str">
        <f t="shared" si="92"/>
        <v>without CL</v>
      </c>
      <c r="E204" s="3" t="s">
        <v>21</v>
      </c>
      <c r="F204" s="228">
        <f t="array" ref="F204">IFERROR(INDEX(Usage!$B$5:$P$18,MATCH($B204,Usage!$B$5:$B$18,0),MATCH($C204&amp;$D204&amp;$E204,Usage!$B$5:$S$5&amp;Usage!$B$6:$S$6&amp;Usage!$B$7:$S$7,0)),0)</f>
        <v>10000</v>
      </c>
      <c r="G204" s="3" t="s">
        <v>67</v>
      </c>
      <c r="H204" s="224"/>
      <c r="I204" s="224"/>
      <c r="J204" s="224"/>
      <c r="K204" s="246"/>
      <c r="L204" s="246"/>
      <c r="M204" s="246"/>
      <c r="N204" s="243"/>
      <c r="O204" s="224"/>
      <c r="P204" s="224">
        <f t="array" ref="P204">IFERROR(INDEX('Detail inputs'!$B$3:$K$193,MATCH($B204&amp;$G204&amp;P$5,'Detail inputs'!$B$3:$B$193&amp;'Detail inputs'!$G$3:$G$193&amp;'Detail inputs'!$H$3:$H$193,0),MATCH(P$4,'Detail inputs'!$B$3:$K$3,0)),0)</f>
        <v>0.48</v>
      </c>
      <c r="Q204" s="224">
        <f t="shared" ref="Q204:Q210" si="94">IF(AND(O204="",P204=""),"",O204+P204*$F204/1000)</f>
        <v>4.8</v>
      </c>
      <c r="R204" s="246">
        <f>IFERROR(Q204/Q210,"")</f>
        <v>3.567977402809782E-3</v>
      </c>
    </row>
    <row r="205" spans="2:22" outlineLevel="1" x14ac:dyDescent="0.35">
      <c r="B205" s="3" t="str">
        <f t="shared" si="93"/>
        <v>SAPN</v>
      </c>
      <c r="C205" s="3" t="str">
        <f t="shared" si="91"/>
        <v>Small business</v>
      </c>
      <c r="D205" s="3" t="str">
        <f t="shared" si="92"/>
        <v>without CL</v>
      </c>
      <c r="E205" s="3" t="s">
        <v>21</v>
      </c>
      <c r="F205" s="228">
        <f t="array" ref="F205">IFERROR(INDEX(Usage!$B$5:$P$18,MATCH($B205,Usage!$B$5:$B$18,0),MATCH($C205&amp;$D205&amp;$E205,Usage!$B$5:$S$5&amp;Usage!$B$6:$S$6&amp;Usage!$B$7:$S$7,0)),0)</f>
        <v>10000</v>
      </c>
      <c r="G205" s="3" t="s">
        <v>75</v>
      </c>
      <c r="H205" s="224"/>
      <c r="I205" s="224"/>
      <c r="J205" s="224"/>
      <c r="K205" s="246"/>
      <c r="L205" s="246"/>
      <c r="M205" s="246"/>
      <c r="N205" s="243"/>
      <c r="O205" s="224"/>
      <c r="P205" s="224">
        <f t="array" ref="P205">IFERROR(INDEX('Detail inputs'!$B$3:$K$193,MATCH($B205&amp;$G205&amp;P$5,'Detail inputs'!$B$3:$B$193&amp;'Detail inputs'!$G$3:$G$193&amp;'Detail inputs'!$H$3:$H$193,0),MATCH(P$4,'Detail inputs'!$B$3:$K$3,0)),0)</f>
        <v>1.1000000000000001</v>
      </c>
      <c r="Q205" s="224">
        <f>IF(AND(O205="",P205=""),"",O205+P205*$F205/1000)</f>
        <v>11</v>
      </c>
      <c r="R205" s="246">
        <f>IFERROR(Q205/Q210,"")</f>
        <v>8.1766148814390836E-3</v>
      </c>
    </row>
    <row r="206" spans="2:22" outlineLevel="1" x14ac:dyDescent="0.35">
      <c r="B206" s="3" t="str">
        <f t="shared" si="93"/>
        <v>SAPN</v>
      </c>
      <c r="C206" s="3" t="str">
        <f t="shared" si="91"/>
        <v>Small business</v>
      </c>
      <c r="D206" s="3" t="str">
        <f t="shared" si="92"/>
        <v>without CL</v>
      </c>
      <c r="E206" s="3" t="s">
        <v>21</v>
      </c>
      <c r="F206" s="228">
        <f t="array" ref="F206">IFERROR(INDEX(Usage!$B$5:$P$18,MATCH($B206,Usage!$B$5:$B$18,0),MATCH($C206&amp;$D206&amp;$E206,Usage!$B$5:$S$5&amp;Usage!$B$6:$S$6&amp;Usage!$B$7:$S$7,0)),0)</f>
        <v>10000</v>
      </c>
      <c r="G206" s="3" t="s">
        <v>68</v>
      </c>
      <c r="H206" s="224"/>
      <c r="I206" s="224"/>
      <c r="J206" s="224"/>
      <c r="K206" s="246"/>
      <c r="L206" s="246"/>
      <c r="M206" s="246"/>
      <c r="N206" s="243"/>
      <c r="O206" s="224"/>
      <c r="P206" s="224">
        <f t="array" ref="P206">IFERROR(INDEX('Detail inputs'!$B$3:$K$193,MATCH($B206&amp;$G206&amp;P$5,'Detail inputs'!$B$3:$B$193&amp;'Detail inputs'!$G$3:$G$193&amp;'Detail inputs'!$H$3:$H$193,0),MATCH(P$4,'Detail inputs'!$B$3:$K$3,0)),0)</f>
        <v>0</v>
      </c>
      <c r="Q206" s="224">
        <f t="shared" si="94"/>
        <v>0</v>
      </c>
      <c r="R206" s="246">
        <f>IFERROR(Q206/Q210,"")</f>
        <v>0</v>
      </c>
      <c r="U206" s="60"/>
    </row>
    <row r="207" spans="2:22" outlineLevel="1" x14ac:dyDescent="0.35">
      <c r="B207" s="3" t="str">
        <f t="shared" si="93"/>
        <v>SAPN</v>
      </c>
      <c r="C207" s="3" t="str">
        <f t="shared" si="91"/>
        <v>Small business</v>
      </c>
      <c r="D207" s="3" t="str">
        <f t="shared" si="92"/>
        <v>without CL</v>
      </c>
      <c r="E207" s="3" t="s">
        <v>21</v>
      </c>
      <c r="F207" s="228">
        <f t="array" ref="F207">IFERROR(INDEX(Usage!$B$5:$P$18,MATCH($B207,Usage!$B$5:$B$18,0),MATCH($C207&amp;$D207&amp;$E207,Usage!$B$5:$S$5&amp;Usage!$B$6:$S$6&amp;Usage!$B$7:$S$7,0)),0)</f>
        <v>10000</v>
      </c>
      <c r="G207" s="3" t="s">
        <v>145</v>
      </c>
      <c r="H207" s="224"/>
      <c r="I207" s="224"/>
      <c r="J207" s="224"/>
      <c r="K207" s="246"/>
      <c r="L207" s="246"/>
      <c r="M207" s="246"/>
      <c r="N207" s="243"/>
      <c r="O207" s="224"/>
      <c r="P207" s="224">
        <f t="array" ref="P207">IFERROR(INDEX('Detail inputs'!$B$3:$K$193,MATCH($B207&amp;$G207&amp;P$5,'Detail inputs'!$B$3:$B$193&amp;'Detail inputs'!$G$3:$G$193&amp;'Detail inputs'!$H$3:$H$193,0),MATCH(P$4,'Detail inputs'!$B$3:$K$3,0)),0)</f>
        <v>4.2300000000000004</v>
      </c>
      <c r="Q207" s="224">
        <f t="shared" si="94"/>
        <v>42.300000000000004</v>
      </c>
      <c r="R207" s="246">
        <f>IFERROR(Q207/Q210,"")</f>
        <v>3.1442800862261207E-2</v>
      </c>
    </row>
    <row r="208" spans="2:22" outlineLevel="1" x14ac:dyDescent="0.35">
      <c r="B208" s="3" t="str">
        <f t="shared" si="93"/>
        <v>SAPN</v>
      </c>
      <c r="C208" s="3" t="str">
        <f t="shared" si="91"/>
        <v>Small business</v>
      </c>
      <c r="D208" s="3" t="str">
        <f t="shared" si="92"/>
        <v>without CL</v>
      </c>
      <c r="E208" s="3" t="s">
        <v>21</v>
      </c>
      <c r="F208" s="228">
        <f t="array" ref="F208">IFERROR(INDEX(Usage!$B$5:$P$18,MATCH($B208,Usage!$B$5:$B$18,0),MATCH($C208&amp;$D208&amp;$E208,Usage!$B$5:$S$5&amp;Usage!$B$6:$S$6&amp;Usage!$B$7:$S$7,0)),0)</f>
        <v>10000</v>
      </c>
      <c r="G208" s="3" t="s">
        <v>189</v>
      </c>
      <c r="H208" s="224"/>
      <c r="I208" s="224"/>
      <c r="J208" s="224"/>
      <c r="K208" s="246"/>
      <c r="L208" s="246"/>
      <c r="M208" s="246"/>
      <c r="N208" s="243"/>
      <c r="O208" s="224"/>
      <c r="P208" s="224">
        <f t="array" ref="P208">IFERROR(INDEX('Detail inputs'!$B$3:$K$193,MATCH($B208&amp;$G208&amp;P$5,'Detail inputs'!$B$3:$B$193&amp;'Detail inputs'!$G$3:$G$193&amp;'Detail inputs'!$H$3:$H$193,0),MATCH(P$4,'Detail inputs'!$B$3:$K$3,0)),0)</f>
        <v>7.03</v>
      </c>
      <c r="Q208" s="224">
        <f t="shared" ref="Q208" si="95">IF(AND(O208="",P208=""),"",O208+P208*$F208/1000)</f>
        <v>70.3</v>
      </c>
      <c r="R208" s="246">
        <f>IFERROR(Q208/Q210,"")</f>
        <v>5.2256002378651599E-2</v>
      </c>
    </row>
    <row r="209" spans="2:22" outlineLevel="1" x14ac:dyDescent="0.35">
      <c r="B209" s="3" t="str">
        <f t="shared" si="93"/>
        <v>SAPN</v>
      </c>
      <c r="C209" s="3" t="str">
        <f t="shared" si="91"/>
        <v>Small business</v>
      </c>
      <c r="D209" s="3" t="str">
        <f t="shared" si="92"/>
        <v>without CL</v>
      </c>
      <c r="E209" s="3" t="s">
        <v>21</v>
      </c>
      <c r="F209" s="228">
        <f t="array" ref="F209">IFERROR(INDEX(Usage!$B$5:$P$18,MATCH($B209,Usage!$B$5:$B$18,0),MATCH($C209&amp;$D209&amp;$E209,Usage!$B$5:$S$5&amp;Usage!$B$6:$S$6&amp;Usage!$B$7:$S$7,0)),0)</f>
        <v>10000</v>
      </c>
      <c r="G209" s="3" t="s">
        <v>69</v>
      </c>
      <c r="H209" s="224"/>
      <c r="I209" s="224"/>
      <c r="J209" s="224"/>
      <c r="K209" s="246"/>
      <c r="L209" s="246"/>
      <c r="M209" s="246"/>
      <c r="N209" s="243"/>
      <c r="O209" s="224"/>
      <c r="P209" s="224" cm="1">
        <f t="array" ref="P209">ROUND(IFERROR(INDEX('Detail inputs'!$B$3:$K$193,MATCH($B209&amp;$C209&amp;$E209&amp;$G209&amp;P$5,'Detail inputs'!$B$3:$B$193&amp;'Detail inputs'!$D$3:$D$193&amp;'Detail inputs'!$F$3:$F$193&amp;'Detail inputs'!$G$3:$G$193&amp;'Detail inputs'!$H$3:$H$193,0),MATCH(P$4,'Detail inputs'!$B$3:$K$3,0)),0)*SUM(P203:P208),2)</f>
        <v>12.23</v>
      </c>
      <c r="Q209" s="224">
        <f t="shared" si="94"/>
        <v>122.3</v>
      </c>
      <c r="R209" s="246">
        <f>IFERROR(Q209/Q210,"")</f>
        <v>9.0909090909090912E-2</v>
      </c>
    </row>
    <row r="210" spans="2:22" s="60" customFormat="1" x14ac:dyDescent="0.35">
      <c r="B210" s="3" t="str">
        <f t="shared" si="93"/>
        <v>SAPN</v>
      </c>
      <c r="C210" s="3" t="str">
        <f t="shared" si="91"/>
        <v>Small business</v>
      </c>
      <c r="D210" s="3" t="str">
        <f t="shared" si="92"/>
        <v>without CL</v>
      </c>
      <c r="E210" s="3" t="s">
        <v>21</v>
      </c>
      <c r="F210" s="228">
        <f t="array" ref="F210">IFERROR(INDEX(Usage!$B$5:$P$18,MATCH($B210,Usage!$B$5:$B$18,0),MATCH($C210&amp;$D210&amp;$E210,Usage!$B$5:$S$5&amp;Usage!$B$6:$S$6&amp;Usage!$B$7:$S$7,0)),0)</f>
        <v>10000</v>
      </c>
      <c r="G210" s="60" t="s">
        <v>53</v>
      </c>
      <c r="H210" s="226"/>
      <c r="I210" s="226"/>
      <c r="J210" s="224"/>
      <c r="K210" s="247"/>
      <c r="L210" s="259"/>
      <c r="M210" s="247"/>
      <c r="N210" s="253"/>
      <c r="O210" s="226"/>
      <c r="P210" s="226">
        <f t="array" ref="P210">INDEX('Key inputs'!$B$16:$N$40,MATCH($B210&amp;$C210&amp;$E210,'Key inputs'!$B$16:$B$40&amp;'Key inputs'!$C$16:$C$40&amp;'Key inputs'!$D$16:$D$40,0),MATCH($A$2&amp;P$4,'Key inputs'!$B$17:$N$17&amp;'Key inputs'!$B$18:$N$18,0))</f>
        <v>134.53</v>
      </c>
      <c r="Q210" s="224">
        <f t="shared" si="94"/>
        <v>1345.3</v>
      </c>
      <c r="R210" s="247"/>
      <c r="S210" s="97"/>
      <c r="T210" s="97"/>
      <c r="U210" s="97"/>
      <c r="V210" s="97"/>
    </row>
    <row r="211" spans="2:22" outlineLevel="1" x14ac:dyDescent="0.35">
      <c r="B211" s="3" t="str">
        <f t="shared" si="93"/>
        <v>SAPN</v>
      </c>
      <c r="C211" s="3" t="str">
        <f t="shared" si="91"/>
        <v>Small business</v>
      </c>
      <c r="D211" s="3" t="str">
        <f t="shared" si="92"/>
        <v>without CL</v>
      </c>
      <c r="F211" s="252"/>
      <c r="G211" s="60" t="s">
        <v>35</v>
      </c>
      <c r="H211" s="226"/>
      <c r="I211" s="226"/>
      <c r="J211" s="226"/>
      <c r="K211" s="247"/>
      <c r="L211" s="259"/>
      <c r="M211" s="247"/>
      <c r="N211" s="253"/>
      <c r="O211" s="226"/>
      <c r="P211" s="226"/>
      <c r="Q211" s="226">
        <f>Q210*GST</f>
        <v>134.53</v>
      </c>
      <c r="R211" s="246" t="str">
        <f>IFERROR(Q211/Q221,"")</f>
        <v/>
      </c>
    </row>
    <row r="212" spans="2:22" x14ac:dyDescent="0.35">
      <c r="B212" s="3" t="str">
        <f t="shared" si="93"/>
        <v>SAPN</v>
      </c>
      <c r="C212" s="3" t="str">
        <f t="shared" si="91"/>
        <v>Small business</v>
      </c>
      <c r="D212" s="3" t="str">
        <f t="shared" si="92"/>
        <v>without CL</v>
      </c>
      <c r="F212" s="252"/>
      <c r="G212" s="5" t="s">
        <v>77</v>
      </c>
      <c r="H212" s="227"/>
      <c r="I212" s="227"/>
      <c r="J212" s="227"/>
      <c r="K212" s="248"/>
      <c r="L212" s="260"/>
      <c r="M212" s="248"/>
      <c r="N212" s="254"/>
      <c r="O212" s="227"/>
      <c r="P212" s="227"/>
      <c r="Q212" s="227">
        <f>SUM(Q210:Q211)</f>
        <v>1479.83</v>
      </c>
      <c r="R212" s="246" t="str">
        <f>IFERROR(Q212/Q221,"")</f>
        <v/>
      </c>
    </row>
    <row r="213" spans="2:22" x14ac:dyDescent="0.35">
      <c r="F213" s="3"/>
      <c r="H213" s="3"/>
      <c r="I213" s="3"/>
      <c r="J213" s="3"/>
      <c r="K213" s="3" t="str">
        <f>IFERROR(J213/J221,"")</f>
        <v/>
      </c>
      <c r="L213" s="3"/>
      <c r="M213" s="3"/>
      <c r="N213" s="3"/>
      <c r="O213" s="3"/>
      <c r="P213" s="3"/>
      <c r="Q213" s="3"/>
      <c r="R213" s="3" t="str">
        <f>IFERROR(Q213/Q221,"")</f>
        <v/>
      </c>
    </row>
    <row r="214" spans="2:22" x14ac:dyDescent="0.35">
      <c r="F214" s="3"/>
      <c r="H214" s="3"/>
      <c r="I214" s="3"/>
      <c r="J214" s="3"/>
      <c r="K214" s="3" t="str">
        <f>IFERROR(J214/J221,"")</f>
        <v/>
      </c>
      <c r="L214" s="3"/>
      <c r="M214" s="3"/>
      <c r="N214" s="3"/>
      <c r="O214" s="3"/>
      <c r="P214" s="3"/>
      <c r="Q214" s="3"/>
      <c r="R214" s="3" t="str">
        <f>IFERROR(Q214/Q221,"")</f>
        <v/>
      </c>
    </row>
    <row r="215" spans="2:22" x14ac:dyDescent="0.35">
      <c r="F215" s="3"/>
      <c r="H215" s="3"/>
      <c r="I215" s="3"/>
      <c r="J215" s="3"/>
      <c r="K215" s="3" t="str">
        <f>IFERROR(J215/J221,"")</f>
        <v/>
      </c>
      <c r="L215" s="3"/>
      <c r="M215" s="3"/>
      <c r="N215" s="3"/>
      <c r="O215" s="3"/>
      <c r="P215" s="3"/>
      <c r="Q215" s="3"/>
      <c r="R215" s="3" t="str">
        <f>IFERROR(Q215/Q221,"")</f>
        <v/>
      </c>
    </row>
    <row r="216" spans="2:22" x14ac:dyDescent="0.35">
      <c r="F216" s="3"/>
      <c r="H216" s="3"/>
      <c r="I216" s="3"/>
      <c r="J216" s="3"/>
      <c r="K216" s="3" t="str">
        <f>IFERROR(J216/J221,"")</f>
        <v/>
      </c>
      <c r="L216" s="3"/>
      <c r="M216" s="3"/>
      <c r="N216" s="3"/>
      <c r="O216" s="3"/>
      <c r="P216" s="3"/>
      <c r="Q216" s="3"/>
      <c r="R216" s="3" t="str">
        <f>IFERROR(Q216/Q221,"")</f>
        <v/>
      </c>
    </row>
    <row r="217" spans="2:22" x14ac:dyDescent="0.35">
      <c r="F217" s="3"/>
      <c r="H217" s="3"/>
      <c r="I217" s="3"/>
      <c r="J217" s="3"/>
      <c r="K217" s="3" t="str">
        <f>IFERROR(J217/J221,"")</f>
        <v/>
      </c>
      <c r="L217" s="3"/>
      <c r="M217" s="3"/>
      <c r="N217" s="3"/>
      <c r="O217" s="3"/>
      <c r="P217" s="3"/>
      <c r="Q217" s="3"/>
      <c r="R217" s="3" t="str">
        <f>IFERROR(Q217/Q221,"")</f>
        <v/>
      </c>
    </row>
    <row r="218" spans="2:22" x14ac:dyDescent="0.35">
      <c r="F218" s="3"/>
      <c r="H218" s="3"/>
      <c r="I218" s="3"/>
      <c r="J218" s="3"/>
      <c r="K218" s="3" t="str">
        <f>IFERROR(J218/J221,"")</f>
        <v/>
      </c>
      <c r="L218" s="3"/>
      <c r="M218" s="3"/>
      <c r="N218" s="3"/>
      <c r="O218" s="3"/>
      <c r="P218" s="3"/>
      <c r="Q218" s="3"/>
      <c r="R218" s="3" t="str">
        <f>IFERROR(Q218/Q221,"")</f>
        <v/>
      </c>
    </row>
    <row r="219" spans="2:22" x14ac:dyDescent="0.35">
      <c r="F219" s="3"/>
      <c r="H219" s="3"/>
      <c r="I219" s="3"/>
      <c r="J219" s="3"/>
      <c r="K219" s="3" t="str">
        <f>IFERROR(J219/J221,"")</f>
        <v/>
      </c>
      <c r="L219" s="3"/>
      <c r="M219" s="3"/>
      <c r="N219" s="3"/>
      <c r="O219" s="3"/>
      <c r="P219" s="3"/>
      <c r="Q219" s="3"/>
      <c r="R219" s="3" t="str">
        <f>IFERROR(Q219/Q221,"")</f>
        <v/>
      </c>
    </row>
    <row r="220" spans="2:22" x14ac:dyDescent="0.35">
      <c r="F220" s="3"/>
      <c r="H220" s="3"/>
      <c r="I220" s="3"/>
      <c r="J220" s="3"/>
      <c r="K220" s="3" t="str">
        <f>IFERROR(J220/J221,"")</f>
        <v/>
      </c>
      <c r="L220" s="3"/>
      <c r="M220" s="3"/>
      <c r="N220" s="3"/>
      <c r="O220" s="3"/>
      <c r="P220" s="3"/>
      <c r="Q220" s="3"/>
      <c r="R220" s="3" t="str">
        <f>IFERROR(Q220/Q221,"")</f>
        <v/>
      </c>
    </row>
    <row r="221" spans="2:22" x14ac:dyDescent="0.35">
      <c r="F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T221" s="97"/>
      <c r="U221" s="96"/>
    </row>
    <row r="222" spans="2:22" x14ac:dyDescent="0.35">
      <c r="F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2:22" x14ac:dyDescent="0.35">
      <c r="F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2:22" x14ac:dyDescent="0.35">
      <c r="F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6:18" x14ac:dyDescent="0.35">
      <c r="F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6:18" x14ac:dyDescent="0.35">
      <c r="F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6:18" x14ac:dyDescent="0.35">
      <c r="F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6:18" x14ac:dyDescent="0.35">
      <c r="F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6:18" x14ac:dyDescent="0.35">
      <c r="F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6:18" x14ac:dyDescent="0.35">
      <c r="F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6:18" x14ac:dyDescent="0.35">
      <c r="F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6:18" x14ac:dyDescent="0.35">
      <c r="F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6:18" x14ac:dyDescent="0.35">
      <c r="F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6:18" x14ac:dyDescent="0.35">
      <c r="F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6:18" x14ac:dyDescent="0.35">
      <c r="F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6:18" x14ac:dyDescent="0.35">
      <c r="F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6:18" x14ac:dyDescent="0.35">
      <c r="F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6:18" x14ac:dyDescent="0.35">
      <c r="F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6:18" x14ac:dyDescent="0.35">
      <c r="F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6:18" x14ac:dyDescent="0.35">
      <c r="F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6:18" x14ac:dyDescent="0.35">
      <c r="F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6:18" x14ac:dyDescent="0.35">
      <c r="F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6:18" x14ac:dyDescent="0.35">
      <c r="F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6:18" x14ac:dyDescent="0.35">
      <c r="F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6:18" x14ac:dyDescent="0.35">
      <c r="F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6:18" x14ac:dyDescent="0.35">
      <c r="F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6:18" x14ac:dyDescent="0.35">
      <c r="F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6:18" x14ac:dyDescent="0.35">
      <c r="F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6:18" x14ac:dyDescent="0.35">
      <c r="F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6:18" x14ac:dyDescent="0.35">
      <c r="F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6:18" x14ac:dyDescent="0.35">
      <c r="F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6:18" x14ac:dyDescent="0.35">
      <c r="F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</sheetData>
  <mergeCells count="3">
    <mergeCell ref="O3:R3"/>
    <mergeCell ref="H3:K3"/>
    <mergeCell ref="A1:B1"/>
  </mergeCells>
  <conditionalFormatting sqref="B7:R181 B184:R194 B197:R207 B210:R212 E183:R183 E196:R196 E209:R209 B253:R253">
    <cfRule type="expression" dxfId="914" priority="100">
      <formula>MOD(ROW(),2)=0</formula>
    </cfRule>
  </conditionalFormatting>
  <conditionalFormatting sqref="S7:T181 S183:T194 S196:T207 S209:T253 U7:V7">
    <cfRule type="cellIs" dxfId="913" priority="102" operator="equal">
      <formula>FALSE</formula>
    </cfRule>
    <cfRule type="cellIs" dxfId="912" priority="120" operator="equal">
      <formula>TRUE</formula>
    </cfRule>
  </conditionalFormatting>
  <conditionalFormatting sqref="B7:D181 B184:D194 B197:D207 B210:D212 B253:D253">
    <cfRule type="expression" dxfId="911" priority="212">
      <formula>AND(B7=B6,MOD(ROW(),2)=1)</formula>
    </cfRule>
    <cfRule type="expression" dxfId="910" priority="213">
      <formula>AND(B7=B6,MOD(ROW(),2)=0)</formula>
    </cfRule>
  </conditionalFormatting>
  <conditionalFormatting sqref="B182:R182 B183:D183">
    <cfRule type="expression" dxfId="909" priority="89">
      <formula>MOD(ROW(),2)=0</formula>
    </cfRule>
  </conditionalFormatting>
  <conditionalFormatting sqref="S182:T182">
    <cfRule type="cellIs" dxfId="908" priority="90" operator="equal">
      <formula>FALSE</formula>
    </cfRule>
    <cfRule type="cellIs" dxfId="907" priority="91" operator="equal">
      <formula>TRUE</formula>
    </cfRule>
  </conditionalFormatting>
  <conditionalFormatting sqref="B182:D183">
    <cfRule type="expression" dxfId="906" priority="92">
      <formula>AND(B182=B181,MOD(ROW(),2)=1)</formula>
    </cfRule>
    <cfRule type="expression" dxfId="905" priority="93">
      <formula>AND(B182=B181,MOD(ROW(),2)=0)</formula>
    </cfRule>
  </conditionalFormatting>
  <conditionalFormatting sqref="B195:F195 H195:R195 B196:D196">
    <cfRule type="expression" dxfId="904" priority="84">
      <formula>MOD(ROW(),2)=0</formula>
    </cfRule>
  </conditionalFormatting>
  <conditionalFormatting sqref="S195:T195">
    <cfRule type="cellIs" dxfId="903" priority="85" operator="equal">
      <formula>FALSE</formula>
    </cfRule>
    <cfRule type="cellIs" dxfId="902" priority="86" operator="equal">
      <formula>TRUE</formula>
    </cfRule>
  </conditionalFormatting>
  <conditionalFormatting sqref="B195:D196">
    <cfRule type="expression" dxfId="901" priority="87">
      <formula>AND(B195=B194,MOD(ROW(),2)=1)</formula>
    </cfRule>
    <cfRule type="expression" dxfId="900" priority="88">
      <formula>AND(B195=B194,MOD(ROW(),2)=0)</formula>
    </cfRule>
  </conditionalFormatting>
  <conditionalFormatting sqref="B208:F208 H208:R208 B209:D209">
    <cfRule type="expression" dxfId="899" priority="79">
      <formula>MOD(ROW(),2)=0</formula>
    </cfRule>
  </conditionalFormatting>
  <conditionalFormatting sqref="S208:T208">
    <cfRule type="cellIs" dxfId="898" priority="80" operator="equal">
      <formula>FALSE</formula>
    </cfRule>
    <cfRule type="cellIs" dxfId="897" priority="81" operator="equal">
      <formula>TRUE</formula>
    </cfRule>
  </conditionalFormatting>
  <conditionalFormatting sqref="B208:D209">
    <cfRule type="expression" dxfId="896" priority="82">
      <formula>AND(B208=B207,MOD(ROW(),2)=1)</formula>
    </cfRule>
    <cfRule type="expression" dxfId="895" priority="83">
      <formula>AND(B208=B207,MOD(ROW(),2)=0)</formula>
    </cfRule>
  </conditionalFormatting>
  <conditionalFormatting sqref="G195">
    <cfRule type="expression" dxfId="894" priority="78">
      <formula>MOD(ROW(),2)=0</formula>
    </cfRule>
  </conditionalFormatting>
  <conditionalFormatting sqref="G208">
    <cfRule type="expression" dxfId="893" priority="77">
      <formula>MOD(ROW(),2)=0</formula>
    </cfRule>
  </conditionalFormatting>
  <conditionalFormatting sqref="V15">
    <cfRule type="cellIs" dxfId="892" priority="75" operator="equal">
      <formula>FALSE</formula>
    </cfRule>
    <cfRule type="cellIs" dxfId="891" priority="76" operator="equal">
      <formula>TRUE</formula>
    </cfRule>
  </conditionalFormatting>
  <conditionalFormatting sqref="U15">
    <cfRule type="cellIs" dxfId="890" priority="73" operator="equal">
      <formula>FALSE</formula>
    </cfRule>
    <cfRule type="cellIs" dxfId="889" priority="74" operator="equal">
      <formula>TRUE</formula>
    </cfRule>
  </conditionalFormatting>
  <conditionalFormatting sqref="V27">
    <cfRule type="cellIs" dxfId="888" priority="71" operator="equal">
      <formula>FALSE</formula>
    </cfRule>
    <cfRule type="cellIs" dxfId="887" priority="72" operator="equal">
      <formula>TRUE</formula>
    </cfRule>
  </conditionalFormatting>
  <conditionalFormatting sqref="U27">
    <cfRule type="cellIs" dxfId="886" priority="69" operator="equal">
      <formula>FALSE</formula>
    </cfRule>
    <cfRule type="cellIs" dxfId="885" priority="70" operator="equal">
      <formula>TRUE</formula>
    </cfRule>
  </conditionalFormatting>
  <conditionalFormatting sqref="V34">
    <cfRule type="cellIs" dxfId="884" priority="67" operator="equal">
      <formula>FALSE</formula>
    </cfRule>
    <cfRule type="cellIs" dxfId="883" priority="68" operator="equal">
      <formula>TRUE</formula>
    </cfRule>
  </conditionalFormatting>
  <conditionalFormatting sqref="U34">
    <cfRule type="cellIs" dxfId="882" priority="65" operator="equal">
      <formula>FALSE</formula>
    </cfRule>
    <cfRule type="cellIs" dxfId="881" priority="66" operator="equal">
      <formula>TRUE</formula>
    </cfRule>
  </conditionalFormatting>
  <conditionalFormatting sqref="V46">
    <cfRule type="cellIs" dxfId="880" priority="63" operator="equal">
      <formula>FALSE</formula>
    </cfRule>
    <cfRule type="cellIs" dxfId="879" priority="64" operator="equal">
      <formula>TRUE</formula>
    </cfRule>
  </conditionalFormatting>
  <conditionalFormatting sqref="U46">
    <cfRule type="cellIs" dxfId="878" priority="61" operator="equal">
      <formula>FALSE</formula>
    </cfRule>
    <cfRule type="cellIs" dxfId="877" priority="62" operator="equal">
      <formula>TRUE</formula>
    </cfRule>
  </conditionalFormatting>
  <conditionalFormatting sqref="V57">
    <cfRule type="cellIs" dxfId="876" priority="59" operator="equal">
      <formula>FALSE</formula>
    </cfRule>
    <cfRule type="cellIs" dxfId="875" priority="60" operator="equal">
      <formula>TRUE</formula>
    </cfRule>
  </conditionalFormatting>
  <conditionalFormatting sqref="U57">
    <cfRule type="cellIs" dxfId="874" priority="57" operator="equal">
      <formula>FALSE</formula>
    </cfRule>
    <cfRule type="cellIs" dxfId="873" priority="58" operator="equal">
      <formula>TRUE</formula>
    </cfRule>
  </conditionalFormatting>
  <conditionalFormatting sqref="V69">
    <cfRule type="cellIs" dxfId="872" priority="55" operator="equal">
      <formula>FALSE</formula>
    </cfRule>
    <cfRule type="cellIs" dxfId="871" priority="56" operator="equal">
      <formula>TRUE</formula>
    </cfRule>
  </conditionalFormatting>
  <conditionalFormatting sqref="U69">
    <cfRule type="cellIs" dxfId="870" priority="53" operator="equal">
      <formula>FALSE</formula>
    </cfRule>
    <cfRule type="cellIs" dxfId="869" priority="54" operator="equal">
      <formula>TRUE</formula>
    </cfRule>
  </conditionalFormatting>
  <conditionalFormatting sqref="V76">
    <cfRule type="cellIs" dxfId="868" priority="51" operator="equal">
      <formula>FALSE</formula>
    </cfRule>
    <cfRule type="cellIs" dxfId="867" priority="52" operator="equal">
      <formula>TRUE</formula>
    </cfRule>
  </conditionalFormatting>
  <conditionalFormatting sqref="U76">
    <cfRule type="cellIs" dxfId="866" priority="49" operator="equal">
      <formula>FALSE</formula>
    </cfRule>
    <cfRule type="cellIs" dxfId="865" priority="50" operator="equal">
      <formula>TRUE</formula>
    </cfRule>
  </conditionalFormatting>
  <conditionalFormatting sqref="V88">
    <cfRule type="cellIs" dxfId="864" priority="47" operator="equal">
      <formula>FALSE</formula>
    </cfRule>
    <cfRule type="cellIs" dxfId="863" priority="48" operator="equal">
      <formula>TRUE</formula>
    </cfRule>
  </conditionalFormatting>
  <conditionalFormatting sqref="U88">
    <cfRule type="cellIs" dxfId="862" priority="45" operator="equal">
      <formula>FALSE</formula>
    </cfRule>
    <cfRule type="cellIs" dxfId="861" priority="46" operator="equal">
      <formula>TRUE</formula>
    </cfRule>
  </conditionalFormatting>
  <conditionalFormatting sqref="V99">
    <cfRule type="cellIs" dxfId="860" priority="43" operator="equal">
      <formula>FALSE</formula>
    </cfRule>
    <cfRule type="cellIs" dxfId="859" priority="44" operator="equal">
      <formula>TRUE</formula>
    </cfRule>
  </conditionalFormatting>
  <conditionalFormatting sqref="U99">
    <cfRule type="cellIs" dxfId="858" priority="41" operator="equal">
      <formula>FALSE</formula>
    </cfRule>
    <cfRule type="cellIs" dxfId="857" priority="42" operator="equal">
      <formula>TRUE</formula>
    </cfRule>
  </conditionalFormatting>
  <conditionalFormatting sqref="V111">
    <cfRule type="cellIs" dxfId="856" priority="39" operator="equal">
      <formula>FALSE</formula>
    </cfRule>
    <cfRule type="cellIs" dxfId="855" priority="40" operator="equal">
      <formula>TRUE</formula>
    </cfRule>
  </conditionalFormatting>
  <conditionalFormatting sqref="U111">
    <cfRule type="cellIs" dxfId="854" priority="37" operator="equal">
      <formula>FALSE</formula>
    </cfRule>
    <cfRule type="cellIs" dxfId="853" priority="38" operator="equal">
      <formula>TRUE</formula>
    </cfRule>
  </conditionalFormatting>
  <conditionalFormatting sqref="V118">
    <cfRule type="cellIs" dxfId="852" priority="35" operator="equal">
      <formula>FALSE</formula>
    </cfRule>
    <cfRule type="cellIs" dxfId="851" priority="36" operator="equal">
      <formula>TRUE</formula>
    </cfRule>
  </conditionalFormatting>
  <conditionalFormatting sqref="U118">
    <cfRule type="cellIs" dxfId="850" priority="33" operator="equal">
      <formula>FALSE</formula>
    </cfRule>
    <cfRule type="cellIs" dxfId="849" priority="34" operator="equal">
      <formula>TRUE</formula>
    </cfRule>
  </conditionalFormatting>
  <conditionalFormatting sqref="V130">
    <cfRule type="cellIs" dxfId="848" priority="31" operator="equal">
      <formula>FALSE</formula>
    </cfRule>
    <cfRule type="cellIs" dxfId="847" priority="32" operator="equal">
      <formula>TRUE</formula>
    </cfRule>
  </conditionalFormatting>
  <conditionalFormatting sqref="U130">
    <cfRule type="cellIs" dxfId="846" priority="29" operator="equal">
      <formula>FALSE</formula>
    </cfRule>
    <cfRule type="cellIs" dxfId="845" priority="30" operator="equal">
      <formula>TRUE</formula>
    </cfRule>
  </conditionalFormatting>
  <conditionalFormatting sqref="V141">
    <cfRule type="cellIs" dxfId="844" priority="27" operator="equal">
      <formula>FALSE</formula>
    </cfRule>
    <cfRule type="cellIs" dxfId="843" priority="28" operator="equal">
      <formula>TRUE</formula>
    </cfRule>
  </conditionalFormatting>
  <conditionalFormatting sqref="U141">
    <cfRule type="cellIs" dxfId="842" priority="25" operator="equal">
      <formula>FALSE</formula>
    </cfRule>
    <cfRule type="cellIs" dxfId="841" priority="26" operator="equal">
      <formula>TRUE</formula>
    </cfRule>
  </conditionalFormatting>
  <conditionalFormatting sqref="V153">
    <cfRule type="cellIs" dxfId="840" priority="23" operator="equal">
      <formula>FALSE</formula>
    </cfRule>
    <cfRule type="cellIs" dxfId="839" priority="24" operator="equal">
      <formula>TRUE</formula>
    </cfRule>
  </conditionalFormatting>
  <conditionalFormatting sqref="U153">
    <cfRule type="cellIs" dxfId="838" priority="21" operator="equal">
      <formula>FALSE</formula>
    </cfRule>
    <cfRule type="cellIs" dxfId="837" priority="22" operator="equal">
      <formula>TRUE</formula>
    </cfRule>
  </conditionalFormatting>
  <conditionalFormatting sqref="V160">
    <cfRule type="cellIs" dxfId="836" priority="19" operator="equal">
      <formula>FALSE</formula>
    </cfRule>
    <cfRule type="cellIs" dxfId="835" priority="20" operator="equal">
      <formula>TRUE</formula>
    </cfRule>
  </conditionalFormatting>
  <conditionalFormatting sqref="U160">
    <cfRule type="cellIs" dxfId="834" priority="17" operator="equal">
      <formula>FALSE</formula>
    </cfRule>
    <cfRule type="cellIs" dxfId="833" priority="18" operator="equal">
      <formula>TRUE</formula>
    </cfRule>
  </conditionalFormatting>
  <conditionalFormatting sqref="V172">
    <cfRule type="cellIs" dxfId="832" priority="15" operator="equal">
      <formula>FALSE</formula>
    </cfRule>
    <cfRule type="cellIs" dxfId="831" priority="16" operator="equal">
      <formula>TRUE</formula>
    </cfRule>
  </conditionalFormatting>
  <conditionalFormatting sqref="U172">
    <cfRule type="cellIs" dxfId="830" priority="13" operator="equal">
      <formula>FALSE</formula>
    </cfRule>
    <cfRule type="cellIs" dxfId="829" priority="14" operator="equal">
      <formula>TRUE</formula>
    </cfRule>
  </conditionalFormatting>
  <conditionalFormatting sqref="V184">
    <cfRule type="cellIs" dxfId="828" priority="11" operator="equal">
      <formula>FALSE</formula>
    </cfRule>
    <cfRule type="cellIs" dxfId="827" priority="12" operator="equal">
      <formula>TRUE</formula>
    </cfRule>
  </conditionalFormatting>
  <conditionalFormatting sqref="U184">
    <cfRule type="cellIs" dxfId="826" priority="9" operator="equal">
      <formula>FALSE</formula>
    </cfRule>
    <cfRule type="cellIs" dxfId="825" priority="10" operator="equal">
      <formula>TRUE</formula>
    </cfRule>
  </conditionalFormatting>
  <conditionalFormatting sqref="V197">
    <cfRule type="cellIs" dxfId="824" priority="7" operator="equal">
      <formula>FALSE</formula>
    </cfRule>
    <cfRule type="cellIs" dxfId="823" priority="8" operator="equal">
      <formula>TRUE</formula>
    </cfRule>
  </conditionalFormatting>
  <conditionalFormatting sqref="U197">
    <cfRule type="cellIs" dxfId="822" priority="5" operator="equal">
      <formula>FALSE</formula>
    </cfRule>
    <cfRule type="cellIs" dxfId="821" priority="6" operator="equal">
      <formula>TRUE</formula>
    </cfRule>
  </conditionalFormatting>
  <conditionalFormatting sqref="V210">
    <cfRule type="cellIs" dxfId="820" priority="3" operator="equal">
      <formula>FALSE</formula>
    </cfRule>
    <cfRule type="cellIs" dxfId="819" priority="4" operator="equal">
      <formula>TRUE</formula>
    </cfRule>
  </conditionalFormatting>
  <conditionalFormatting sqref="U210">
    <cfRule type="cellIs" dxfId="818" priority="1" operator="equal">
      <formula>FALSE</formula>
    </cfRule>
    <cfRule type="cellIs" dxfId="817" priority="2" operator="equal">
      <formula>TRUE</formula>
    </cfRule>
  </conditionalFormatting>
  <hyperlinks>
    <hyperlink ref="A1" location="Index!A1" display="&lt;&lt;Back to Index" xr:uid="{00000000-0004-0000-1200-000000000000}"/>
  </hyperlinks>
  <pageMargins left="0.7" right="0.7" top="0.75" bottom="0.75" header="0.3" footer="0.3"/>
  <pageSetup paperSize="9" orientation="portrait" r:id="rId1"/>
  <ignoredErrors>
    <ignoredError sqref="K27:N27 K69:N69 K111:N1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0070C0"/>
  </sheetPr>
  <dimension ref="A1:V221"/>
  <sheetViews>
    <sheetView workbookViewId="0">
      <pane ySplit="6" topLeftCell="A7" activePane="bottomLeft" state="frozen"/>
      <selection activeCell="S10" sqref="S10"/>
      <selection pane="bottomLeft" activeCell="I175" sqref="I175:M182"/>
    </sheetView>
  </sheetViews>
  <sheetFormatPr defaultColWidth="8.81640625" defaultRowHeight="14.5" outlineLevelRow="1" x14ac:dyDescent="0.35"/>
  <cols>
    <col min="1" max="1" width="1.81640625" style="3" customWidth="1"/>
    <col min="2" max="3" width="15.81640625" style="3" customWidth="1"/>
    <col min="4" max="4" width="18.1796875" style="3" customWidth="1"/>
    <col min="5" max="5" width="10.81640625" style="3" customWidth="1"/>
    <col min="6" max="6" width="10.81640625" style="19" customWidth="1"/>
    <col min="7" max="7" width="10.81640625" style="3" customWidth="1"/>
    <col min="8" max="10" width="10.81640625" style="66" customWidth="1"/>
    <col min="11" max="11" width="11.81640625" style="19" bestFit="1" customWidth="1"/>
    <col min="12" max="12" width="0.81640625" style="19" customWidth="1"/>
    <col min="13" max="13" width="10.81640625" style="19" customWidth="1"/>
    <col min="14" max="14" width="0.81640625" style="19" customWidth="1"/>
    <col min="15" max="17" width="10.81640625" style="66" customWidth="1"/>
    <col min="18" max="18" width="11.81640625" style="19" bestFit="1" customWidth="1"/>
    <col min="19" max="19" width="8.7265625" style="19" customWidth="1"/>
    <col min="20" max="20" width="8.81640625" style="19"/>
    <col min="21" max="22" width="13.1796875" style="3" bestFit="1" customWidth="1"/>
    <col min="23" max="16384" width="8.81640625" style="3"/>
  </cols>
  <sheetData>
    <row r="1" spans="1:22" ht="10.4" customHeight="1" x14ac:dyDescent="0.35">
      <c r="A1" s="302" t="s">
        <v>20</v>
      </c>
      <c r="B1" s="307"/>
    </row>
    <row r="2" spans="1:22" s="13" customFormat="1" ht="22.5" customHeight="1" x14ac:dyDescent="0.35">
      <c r="A2" s="14" t="s">
        <v>79</v>
      </c>
      <c r="F2" s="20"/>
      <c r="H2" s="67"/>
      <c r="I2" s="67"/>
      <c r="J2" s="67"/>
      <c r="K2" s="20"/>
      <c r="L2" s="20"/>
      <c r="M2" s="20"/>
      <c r="N2" s="20"/>
      <c r="O2" s="67"/>
      <c r="P2" s="67"/>
      <c r="Q2" s="67"/>
      <c r="R2" s="20"/>
      <c r="S2" s="20"/>
      <c r="T2" s="20"/>
    </row>
    <row r="3" spans="1:22" s="27" customFormat="1" ht="17.899999999999999" customHeight="1" x14ac:dyDescent="0.35">
      <c r="B3" s="28"/>
      <c r="C3" s="28"/>
      <c r="D3" s="28"/>
      <c r="E3" s="28"/>
      <c r="F3" s="45"/>
      <c r="G3" s="28"/>
      <c r="H3" s="336" t="str">
        <f>PY</f>
        <v>2021-22</v>
      </c>
      <c r="I3" s="336"/>
      <c r="J3" s="336"/>
      <c r="K3" s="336"/>
      <c r="L3" s="37"/>
      <c r="M3" s="42" t="str">
        <f>FY</f>
        <v>2022-23</v>
      </c>
      <c r="N3" s="37"/>
      <c r="O3" s="336" t="str">
        <f>FY</f>
        <v>2022-23</v>
      </c>
      <c r="P3" s="336"/>
      <c r="Q3" s="336"/>
      <c r="R3" s="336"/>
      <c r="S3" s="101"/>
      <c r="T3" s="102"/>
    </row>
    <row r="4" spans="1:22" s="27" customFormat="1" ht="3" customHeight="1" x14ac:dyDescent="0.35">
      <c r="B4" s="28"/>
      <c r="C4" s="28"/>
      <c r="D4" s="28"/>
      <c r="E4" s="28"/>
      <c r="F4" s="41" t="str">
        <f t="shared" ref="F4:K4" si="0">$H$3</f>
        <v>2021-22</v>
      </c>
      <c r="G4" s="28"/>
      <c r="H4" s="68" t="str">
        <f>$H$3</f>
        <v>2021-22</v>
      </c>
      <c r="I4" s="68" t="str">
        <f t="shared" si="0"/>
        <v>2021-22</v>
      </c>
      <c r="J4" s="68" t="str">
        <f t="shared" si="0"/>
        <v>2021-22</v>
      </c>
      <c r="K4" s="41" t="str">
        <f t="shared" si="0"/>
        <v>2021-22</v>
      </c>
      <c r="L4" s="41"/>
      <c r="M4" s="41" t="str">
        <f>FY</f>
        <v>2022-23</v>
      </c>
      <c r="N4" s="41"/>
      <c r="O4" s="68" t="str">
        <f>$O$3</f>
        <v>2022-23</v>
      </c>
      <c r="P4" s="68" t="str">
        <f>$O$3</f>
        <v>2022-23</v>
      </c>
      <c r="Q4" s="68" t="str">
        <f>$O$3</f>
        <v>2022-23</v>
      </c>
      <c r="R4" s="41" t="str">
        <f>$O$3</f>
        <v>2022-23</v>
      </c>
      <c r="S4" s="101"/>
      <c r="T4" s="102"/>
    </row>
    <row r="5" spans="1:22" s="5" customFormat="1" ht="17.899999999999999" customHeight="1" x14ac:dyDescent="0.35">
      <c r="B5" s="23" t="s">
        <v>1</v>
      </c>
      <c r="C5" s="23" t="s">
        <v>12</v>
      </c>
      <c r="D5" s="23" t="s">
        <v>24</v>
      </c>
      <c r="E5" s="23" t="s">
        <v>13</v>
      </c>
      <c r="F5" s="12" t="s">
        <v>26</v>
      </c>
      <c r="G5" s="23" t="s">
        <v>33</v>
      </c>
      <c r="H5" s="249" t="s">
        <v>42</v>
      </c>
      <c r="I5" s="249" t="s">
        <v>43</v>
      </c>
      <c r="J5" s="249" t="s">
        <v>23</v>
      </c>
      <c r="K5" s="231" t="s">
        <v>25</v>
      </c>
      <c r="L5" s="231"/>
      <c r="M5" s="231" t="s">
        <v>22</v>
      </c>
      <c r="N5" s="231"/>
      <c r="O5" s="249" t="s">
        <v>42</v>
      </c>
      <c r="P5" s="249" t="s">
        <v>43</v>
      </c>
      <c r="Q5" s="249" t="s">
        <v>23</v>
      </c>
      <c r="R5" s="231" t="s">
        <v>25</v>
      </c>
      <c r="S5" s="189"/>
      <c r="T5" s="190"/>
    </row>
    <row r="6" spans="1:22" s="29" customFormat="1" ht="17.899999999999999" customHeight="1" x14ac:dyDescent="0.3">
      <c r="B6" s="30"/>
      <c r="C6" s="30"/>
      <c r="D6" s="30"/>
      <c r="E6" s="30"/>
      <c r="F6" s="31" t="s">
        <v>51</v>
      </c>
      <c r="G6" s="30"/>
      <c r="H6" s="250" t="s">
        <v>64</v>
      </c>
      <c r="I6" s="250" t="s">
        <v>40</v>
      </c>
      <c r="J6" s="250" t="s">
        <v>41</v>
      </c>
      <c r="K6" s="251" t="s">
        <v>29</v>
      </c>
      <c r="L6" s="251"/>
      <c r="M6" s="251" t="s">
        <v>29</v>
      </c>
      <c r="N6" s="251"/>
      <c r="O6" s="250" t="s">
        <v>64</v>
      </c>
      <c r="P6" s="250" t="s">
        <v>40</v>
      </c>
      <c r="Q6" s="250" t="s">
        <v>41</v>
      </c>
      <c r="R6" s="251" t="s">
        <v>29</v>
      </c>
      <c r="S6" s="103"/>
      <c r="T6" s="103"/>
      <c r="U6" s="216"/>
      <c r="V6" s="216"/>
    </row>
    <row r="7" spans="1:22" x14ac:dyDescent="0.3">
      <c r="F7" s="36"/>
      <c r="H7" s="224"/>
      <c r="I7" s="224"/>
      <c r="J7" s="224"/>
      <c r="K7" s="246"/>
      <c r="L7" s="243"/>
      <c r="M7" s="246"/>
      <c r="N7" s="243"/>
      <c r="O7" s="224"/>
      <c r="P7" s="224"/>
      <c r="Q7" s="224"/>
      <c r="R7" s="246"/>
      <c r="S7" s="104"/>
      <c r="T7" s="104"/>
      <c r="U7" s="97"/>
      <c r="V7" s="97"/>
    </row>
    <row r="8" spans="1:22" x14ac:dyDescent="0.3">
      <c r="B8" s="5" t="s">
        <v>2</v>
      </c>
      <c r="C8" s="5" t="s">
        <v>6</v>
      </c>
      <c r="D8" s="5" t="s">
        <v>136</v>
      </c>
      <c r="F8" s="36"/>
      <c r="H8" s="224"/>
      <c r="I8" s="224"/>
      <c r="J8" s="224"/>
      <c r="K8" s="246"/>
      <c r="L8" s="243"/>
      <c r="M8" s="246"/>
      <c r="N8" s="243"/>
      <c r="O8" s="224"/>
      <c r="P8" s="224"/>
      <c r="Q8" s="224"/>
      <c r="R8" s="246"/>
      <c r="S8" s="104"/>
      <c r="T8" s="104"/>
    </row>
    <row r="9" spans="1:22" outlineLevel="1" x14ac:dyDescent="0.3">
      <c r="B9" s="3" t="str">
        <f t="shared" ref="B9:D16" si="1">B8</f>
        <v>Ausgrid</v>
      </c>
      <c r="C9" s="3" t="str">
        <f t="shared" si="1"/>
        <v>Residential</v>
      </c>
      <c r="D9" s="3" t="str">
        <f t="shared" si="1"/>
        <v>without CL</v>
      </c>
      <c r="E9" s="3" t="s">
        <v>21</v>
      </c>
      <c r="F9" s="228">
        <f t="array" ref="F9">IFERROR(INDEX(Usage!$B$5:$P$18,MATCH($B9,Usage!$B$5:$B$18,0),MATCH($C9&amp;$D9&amp;$E9&amp;"Total",Usage!$B$5:$S$5&amp;Usage!$B$6:$S$6&amp;Usage!$B$7:$S$7&amp;Usage!$B$13:$S$13,0)),0)</f>
        <v>3900</v>
      </c>
      <c r="G9" s="3" t="s">
        <v>70</v>
      </c>
      <c r="H9" s="224"/>
      <c r="I9" s="224">
        <f t="array" ref="I9">IFERROR(INDEX('Detail inputs'!$B$3:$K$193,MATCH($B9&amp;$G9&amp;I$5,'Detail inputs'!$B$3:$B$193&amp;'Detail inputs'!$G$3:$G$193&amp;'Detail inputs'!$H$3:$H$193,0),MATCH(I$4,'Detail inputs'!$B$3:$K$3,0)),0)</f>
        <v>4.22</v>
      </c>
      <c r="J9" s="224">
        <f t="shared" ref="J9:J14" si="2">IF(AND(H9="",I9=""),"",H9+I9*$F9/1000)</f>
        <v>16.457999999999998</v>
      </c>
      <c r="K9" s="246">
        <f>IFERROR(J9/J14,"")</f>
        <v>0.22013562858633279</v>
      </c>
      <c r="L9" s="243"/>
      <c r="M9" s="246">
        <f t="shared" ref="M9:M14" si="3">IF(OR(J9=0,Q9=""),"",Q9/J9-1)</f>
        <v>0.21563981042654046</v>
      </c>
      <c r="N9" s="243"/>
      <c r="O9" s="224"/>
      <c r="P9" s="224">
        <f t="array" ref="P9">IFERROR(INDEX('Detail inputs'!$B$3:$K$193,MATCH($B9&amp;$G9&amp;P$5,'Detail inputs'!$B$3:$B$193&amp;'Detail inputs'!$G$3:$G$193&amp;'Detail inputs'!$H$3:$H$193,0),MATCH(P$4,'Detail inputs'!$B$3:$K$3,0)),0)</f>
        <v>5.13</v>
      </c>
      <c r="Q9" s="224">
        <f t="shared" ref="Q9:Q14" si="4">IF(AND(O9="",P9=""),"",O9+P9*$F9/1000)</f>
        <v>20.007000000000001</v>
      </c>
      <c r="R9" s="246">
        <f>IFERROR(Q9/Q14,"")</f>
        <v>0.24806576402321084</v>
      </c>
      <c r="S9" s="104"/>
      <c r="T9" s="104"/>
    </row>
    <row r="10" spans="1:22" outlineLevel="1" x14ac:dyDescent="0.3">
      <c r="B10" s="3" t="str">
        <f t="shared" si="1"/>
        <v>Ausgrid</v>
      </c>
      <c r="C10" s="3" t="str">
        <f t="shared" si="1"/>
        <v>Residential</v>
      </c>
      <c r="D10" s="3" t="str">
        <f t="shared" si="1"/>
        <v>without CL</v>
      </c>
      <c r="E10" s="3" t="s">
        <v>21</v>
      </c>
      <c r="F10" s="228">
        <f t="array" ref="F10">IFERROR(INDEX(Usage!$B$5:$P$18,MATCH($B10,Usage!$B$5:$B$18,0),MATCH($C10&amp;$D10&amp;$E10&amp;"Total",Usage!$B$5:$S$5&amp;Usage!$B$6:$S$6&amp;Usage!$B$7:$S$7&amp;Usage!$B$13:$S$13,0)),0)</f>
        <v>3900</v>
      </c>
      <c r="G10" s="3" t="s">
        <v>71</v>
      </c>
      <c r="H10" s="224"/>
      <c r="I10" s="224">
        <f t="array" ref="I10">IFERROR(INDEX('Detail inputs'!$B$3:$K$193,MATCH($B10&amp;$G10&amp;I$5,'Detail inputs'!$B$3:$B$193&amp;'Detail inputs'!$G$3:$G$193&amp;'Detail inputs'!$H$3:$H$193,0),MATCH(I$4,'Detail inputs'!$B$3:$K$3,0)),0)</f>
        <v>11.52</v>
      </c>
      <c r="J10" s="224">
        <f t="shared" si="2"/>
        <v>44.927999999999997</v>
      </c>
      <c r="K10" s="246">
        <f>IFERROR(J10/J14,"")</f>
        <v>0.60093896713615014</v>
      </c>
      <c r="L10" s="243"/>
      <c r="M10" s="246">
        <f t="shared" si="3"/>
        <v>-5.381944444444442E-2</v>
      </c>
      <c r="N10" s="243"/>
      <c r="O10" s="224"/>
      <c r="P10" s="224">
        <f t="array" ref="P10">IFERROR(INDEX('Detail inputs'!$B$3:$K$193,MATCH($B10&amp;$G10&amp;P$5,'Detail inputs'!$B$3:$B$193&amp;'Detail inputs'!$G$3:$G$193&amp;'Detail inputs'!$H$3:$H$193,0),MATCH(P$4,'Detail inputs'!$B$3:$K$3,0)),0)</f>
        <v>10.9</v>
      </c>
      <c r="Q10" s="224">
        <f t="shared" si="4"/>
        <v>42.51</v>
      </c>
      <c r="R10" s="246">
        <f>IFERROR(Q10/Q14,"")</f>
        <v>0.52707930367504829</v>
      </c>
      <c r="S10" s="104"/>
      <c r="T10" s="104"/>
    </row>
    <row r="11" spans="1:22" outlineLevel="1" x14ac:dyDescent="0.3">
      <c r="B11" s="3" t="str">
        <f t="shared" ref="B11:D13" si="5">B10</f>
        <v>Ausgrid</v>
      </c>
      <c r="C11" s="3" t="str">
        <f t="shared" si="5"/>
        <v>Residential</v>
      </c>
      <c r="D11" s="3" t="str">
        <f t="shared" si="5"/>
        <v>without CL</v>
      </c>
      <c r="E11" s="3" t="s">
        <v>21</v>
      </c>
      <c r="F11" s="228">
        <f t="array" ref="F11">IFERROR(INDEX(Usage!$B$5:$P$18,MATCH($B11,Usage!$B$5:$B$18,0),MATCH($C11&amp;$D11&amp;$E11&amp;"Total",Usage!$B$5:$S$5&amp;Usage!$B$6:$S$6&amp;Usage!$B$7:$S$7&amp;Usage!$B$13:$S$13,0)),0)</f>
        <v>3900</v>
      </c>
      <c r="G11" s="3" t="s">
        <v>72</v>
      </c>
      <c r="H11" s="224"/>
      <c r="I11" s="224">
        <f t="array" ref="I11">IFERROR(INDEX('Detail inputs'!$B$3:$K$193,MATCH($B11&amp;$G11&amp;I$5,'Detail inputs'!$B$3:$B$193&amp;'Detail inputs'!$G$3:$G$193&amp;'Detail inputs'!$H$3:$H$193,0),MATCH(I$4,'Detail inputs'!$B$3:$K$3,0)),0)</f>
        <v>2.48</v>
      </c>
      <c r="J11" s="224">
        <f t="shared" si="2"/>
        <v>9.6720000000000006</v>
      </c>
      <c r="K11" s="246">
        <f>IFERROR(J11/J14,"")</f>
        <v>0.12936880542514345</v>
      </c>
      <c r="L11" s="243"/>
      <c r="M11" s="246">
        <f t="shared" si="3"/>
        <v>0.36693548387096775</v>
      </c>
      <c r="N11" s="243"/>
      <c r="O11" s="224"/>
      <c r="P11" s="224">
        <f t="array" ref="P11">IFERROR(INDEX('Detail inputs'!$B$3:$K$193,MATCH($B11&amp;$G11&amp;P$5,'Detail inputs'!$B$3:$B$193&amp;'Detail inputs'!$G$3:$G$193&amp;'Detail inputs'!$H$3:$H$193,0),MATCH(P$4,'Detail inputs'!$B$3:$K$3,0)),0)</f>
        <v>3.39</v>
      </c>
      <c r="Q11" s="224">
        <f t="shared" si="4"/>
        <v>13.221</v>
      </c>
      <c r="R11" s="246">
        <f>IFERROR(Q11/Q14,"")</f>
        <v>0.16392649903288201</v>
      </c>
      <c r="S11" s="104"/>
      <c r="T11" s="104"/>
    </row>
    <row r="12" spans="1:22" outlineLevel="1" x14ac:dyDescent="0.3">
      <c r="B12" s="3" t="str">
        <f t="shared" si="5"/>
        <v>Ausgrid</v>
      </c>
      <c r="C12" s="3" t="str">
        <f t="shared" si="5"/>
        <v>Residential</v>
      </c>
      <c r="D12" s="3" t="str">
        <f t="shared" si="5"/>
        <v>without CL</v>
      </c>
      <c r="E12" s="3" t="s">
        <v>21</v>
      </c>
      <c r="F12" s="228">
        <f t="array" ref="F12">IFERROR(INDEX(Usage!$B$5:$P$18,MATCH($B12,Usage!$B$5:$B$18,0),MATCH($C12&amp;$D12&amp;$E12&amp;"Total",Usage!$B$5:$S$5&amp;Usage!$B$6:$S$6&amp;Usage!$B$7:$S$7&amp;Usage!$B$13:$S$13,0)),0)</f>
        <v>3900</v>
      </c>
      <c r="G12" s="3" t="s">
        <v>187</v>
      </c>
      <c r="H12" s="224"/>
      <c r="I12" s="224" cm="1">
        <f t="array" ref="I12">IFERROR(INDEX('Detail inputs'!$B$3:$K$193,MATCH($B12&amp;$G12&amp;I$5,'Detail inputs'!$B$3:$B$193&amp;'Detail inputs'!$G$3:$G$193&amp;'Detail inputs'!$H$3:$H$193,0),MATCH(I$4,'Detail inputs'!$B$3:$K$3,0)),0)</f>
        <v>0</v>
      </c>
      <c r="J12" s="224">
        <f t="shared" si="2"/>
        <v>0</v>
      </c>
      <c r="K12" s="246">
        <f>IFERROR(J12/J14,"")</f>
        <v>0</v>
      </c>
      <c r="L12" s="243"/>
      <c r="M12" s="246" t="str">
        <f t="shared" si="3"/>
        <v/>
      </c>
      <c r="N12" s="243"/>
      <c r="O12" s="224"/>
      <c r="P12" s="224">
        <f t="array" ref="P12">IFERROR(INDEX('Detail inputs'!$B$3:$K$193,MATCH($B12&amp;$G12&amp;P$5,'Detail inputs'!$B$3:$B$193&amp;'Detail inputs'!$G$3:$G$193&amp;'Detail inputs'!$H$3:$H$193,0),MATCH(P$4,'Detail inputs'!$B$3:$K$3,0)),0)</f>
        <v>0.21803668755877201</v>
      </c>
      <c r="Q12" s="224">
        <f t="shared" si="4"/>
        <v>0.85034308147921078</v>
      </c>
      <c r="R12" s="246">
        <f>IFERROR(Q12/Q14,"")</f>
        <v>1.0543360133402901E-2</v>
      </c>
      <c r="S12" s="104"/>
      <c r="T12" s="104"/>
    </row>
    <row r="13" spans="1:22" s="19" customFormat="1" outlineLevel="1" x14ac:dyDescent="0.3">
      <c r="A13" s="3"/>
      <c r="B13" s="3" t="str">
        <f t="shared" si="5"/>
        <v>Ausgrid</v>
      </c>
      <c r="C13" s="3" t="str">
        <f t="shared" si="5"/>
        <v>Residential</v>
      </c>
      <c r="D13" s="3" t="str">
        <f t="shared" si="5"/>
        <v>without CL</v>
      </c>
      <c r="E13" s="3" t="s">
        <v>21</v>
      </c>
      <c r="F13" s="228">
        <f t="array" ref="F13">IFERROR(INDEX(Usage!$B$5:$P$18,MATCH($B13,Usage!$B$5:$B$18,0),MATCH($C13&amp;$D13&amp;$E13&amp;"Total",Usage!$B$5:$S$5&amp;Usage!$B$6:$S$6&amp;Usage!$B$7:$S$7&amp;Usage!$B$13:$S$13,0)),0)</f>
        <v>3900</v>
      </c>
      <c r="G13" s="3" t="s">
        <v>69</v>
      </c>
      <c r="H13" s="224"/>
      <c r="I13" s="224" cm="1">
        <f t="array" ref="I13">ROUND(IFERROR(INDEX('Detail inputs'!$B$3:$K$193,MATCH($B13&amp;$C13&amp;$E13&amp;$G13&amp;I$5,'Detail inputs'!$B$3:$B$193&amp;'Detail inputs'!$D$3:$D$193&amp;'Detail inputs'!$F$3:$F$193&amp;'Detail inputs'!$G$3:$G$193&amp;'Detail inputs'!$H$3:$H$193,0),MATCH(I$4,'Detail inputs'!$B$3:$K$3,0)),0)*SUM(I9:I12),2)</f>
        <v>0.95</v>
      </c>
      <c r="J13" s="224">
        <f t="shared" si="2"/>
        <v>3.7050000000000001</v>
      </c>
      <c r="K13" s="246">
        <f>IFERROR(J13/J14,"")</f>
        <v>4.9556598852373498E-2</v>
      </c>
      <c r="L13" s="243"/>
      <c r="M13" s="246">
        <f t="shared" si="3"/>
        <v>9.473684210526323E-2</v>
      </c>
      <c r="N13" s="243"/>
      <c r="O13" s="224"/>
      <c r="P13" s="224" cm="1">
        <f t="array" ref="P13">ROUND(IFERROR(INDEX('Detail inputs'!$B$3:$K$193,MATCH($B13&amp;$C13&amp;$E13&amp;$G13&amp;P$5,'Detail inputs'!$B$3:$B$193&amp;'Detail inputs'!$D$3:$D$193&amp;'Detail inputs'!$F$3:$F$193&amp;'Detail inputs'!$G$3:$G$193&amp;'Detail inputs'!$H$3:$H$193,0),MATCH(P$4,'Detail inputs'!$B$3:$K$3,0)),0)*SUM(P9:P12),2)</f>
        <v>1.04</v>
      </c>
      <c r="Q13" s="224">
        <f t="shared" si="4"/>
        <v>4.056</v>
      </c>
      <c r="R13" s="246">
        <f>IFERROR(Q13/Q14,"")</f>
        <v>5.0290135396518373E-2</v>
      </c>
      <c r="S13" s="104"/>
      <c r="T13" s="104"/>
      <c r="U13" s="3"/>
      <c r="V13" s="3"/>
    </row>
    <row r="14" spans="1:22" s="65" customFormat="1" x14ac:dyDescent="0.3">
      <c r="A14" s="60"/>
      <c r="B14" s="60" t="str">
        <f t="shared" si="1"/>
        <v>Ausgrid</v>
      </c>
      <c r="C14" s="60" t="str">
        <f t="shared" si="1"/>
        <v>Residential</v>
      </c>
      <c r="D14" s="60" t="str">
        <f t="shared" si="1"/>
        <v>without CL</v>
      </c>
      <c r="E14" s="3" t="s">
        <v>21</v>
      </c>
      <c r="F14" s="228">
        <f t="array" ref="F14">IFERROR(INDEX(Usage!$B$5:$P$18,MATCH($B14,Usage!$B$5:$B$18,0),MATCH($C14&amp;$D14&amp;$E14&amp;"Total",Usage!$B$5:$S$5&amp;Usage!$B$6:$S$6&amp;Usage!$B$7:$S$7&amp;Usage!$B$13:$S$13,0)),0)</f>
        <v>3900</v>
      </c>
      <c r="G14" s="60" t="s">
        <v>53</v>
      </c>
      <c r="H14" s="226"/>
      <c r="I14" s="226" cm="1">
        <f t="array" ref="I14">INDEX('Key inputs'!$B$16:$N$40,MATCH($B14&amp;$C14&amp;$E14,'Key inputs'!$B$16:$B$40&amp;'Key inputs'!$C$16:$C$40&amp;'Key inputs'!$D$16:$D$40,0),MATCH($A$2&amp;I$4,'Key inputs'!$B$17:$N$17&amp;'Key inputs'!$B$18:$N$18,0))</f>
        <v>19.170000000000002</v>
      </c>
      <c r="J14" s="224">
        <f t="shared" si="2"/>
        <v>74.763000000000005</v>
      </c>
      <c r="K14" s="247"/>
      <c r="L14" s="253"/>
      <c r="M14" s="247">
        <f t="shared" si="3"/>
        <v>7.87689097548252E-2</v>
      </c>
      <c r="N14" s="253"/>
      <c r="O14" s="226"/>
      <c r="P14" s="226" cm="1">
        <f t="array" ref="P14">INDEX('Key inputs'!$B$16:$N$40,MATCH($B14&amp;$C14&amp;$E14,'Key inputs'!$B$16:$B$40&amp;'Key inputs'!$C$16:$C$40&amp;'Key inputs'!$D$16:$D$40,0),MATCH($A$2&amp;P$4,'Key inputs'!$B$17:$N$17&amp;'Key inputs'!$B$18:$N$18,0))</f>
        <v>20.68</v>
      </c>
      <c r="Q14" s="224">
        <f t="shared" si="4"/>
        <v>80.652000000000001</v>
      </c>
      <c r="R14" s="247"/>
      <c r="S14" s="104"/>
      <c r="T14" s="104"/>
      <c r="U14" s="97"/>
      <c r="V14" s="97"/>
    </row>
    <row r="15" spans="1:22" s="19" customFormat="1" outlineLevel="1" x14ac:dyDescent="0.3">
      <c r="A15" s="3"/>
      <c r="B15" s="3" t="str">
        <f t="shared" si="1"/>
        <v>Ausgrid</v>
      </c>
      <c r="C15" s="3" t="str">
        <f t="shared" si="1"/>
        <v>Residential</v>
      </c>
      <c r="D15" s="3" t="str">
        <f t="shared" si="1"/>
        <v>without CL</v>
      </c>
      <c r="E15" s="3"/>
      <c r="F15" s="228"/>
      <c r="G15" s="60" t="s">
        <v>35</v>
      </c>
      <c r="H15" s="226"/>
      <c r="I15" s="226"/>
      <c r="J15" s="226">
        <f>J14*GST</f>
        <v>7.4763000000000011</v>
      </c>
      <c r="K15" s="247"/>
      <c r="L15" s="253"/>
      <c r="M15" s="247"/>
      <c r="N15" s="253"/>
      <c r="O15" s="226"/>
      <c r="P15" s="226"/>
      <c r="Q15" s="226">
        <f>Q14*GST</f>
        <v>8.0652000000000008</v>
      </c>
      <c r="R15" s="248"/>
      <c r="S15" s="104"/>
      <c r="T15" s="104"/>
    </row>
    <row r="16" spans="1:22" s="19" customFormat="1" x14ac:dyDescent="0.3">
      <c r="A16" s="3"/>
      <c r="B16" s="3" t="str">
        <f t="shared" si="1"/>
        <v>Ausgrid</v>
      </c>
      <c r="C16" s="3" t="str">
        <f t="shared" si="1"/>
        <v>Residential</v>
      </c>
      <c r="D16" s="3" t="str">
        <f t="shared" si="1"/>
        <v>without CL</v>
      </c>
      <c r="E16" s="3"/>
      <c r="F16" s="228"/>
      <c r="G16" s="5" t="s">
        <v>77</v>
      </c>
      <c r="H16" s="227"/>
      <c r="I16" s="227"/>
      <c r="J16" s="227">
        <f>SUM(J14:J15)</f>
        <v>82.2393</v>
      </c>
      <c r="K16" s="248"/>
      <c r="L16" s="254"/>
      <c r="M16" s="248">
        <f>IF(OR(J16=0,Q16=""),"",Q16/J16-1)</f>
        <v>7.8768909754825422E-2</v>
      </c>
      <c r="N16" s="254"/>
      <c r="O16" s="227"/>
      <c r="P16" s="227"/>
      <c r="Q16" s="227">
        <f>SUM(Q14:Q15)</f>
        <v>88.717200000000005</v>
      </c>
      <c r="R16" s="248"/>
      <c r="S16" s="104"/>
      <c r="T16" s="104"/>
      <c r="U16" s="3"/>
      <c r="V16" s="3"/>
    </row>
    <row r="17" spans="1:22" s="19" customFormat="1" x14ac:dyDescent="0.3">
      <c r="A17" s="3"/>
      <c r="B17" s="3"/>
      <c r="C17" s="3"/>
      <c r="D17" s="3"/>
      <c r="E17" s="3"/>
      <c r="F17" s="228"/>
      <c r="G17" s="3"/>
      <c r="H17" s="224"/>
      <c r="I17" s="224"/>
      <c r="J17" s="224"/>
      <c r="K17" s="246"/>
      <c r="L17" s="252"/>
      <c r="M17" s="246"/>
      <c r="N17" s="252"/>
      <c r="O17" s="224"/>
      <c r="P17" s="224"/>
      <c r="Q17" s="224"/>
      <c r="R17" s="246"/>
      <c r="S17" s="104"/>
      <c r="T17" s="104"/>
      <c r="U17" s="3"/>
      <c r="V17" s="3"/>
    </row>
    <row r="18" spans="1:22" s="19" customFormat="1" x14ac:dyDescent="0.3">
      <c r="A18" s="3"/>
      <c r="B18" s="5" t="s">
        <v>2</v>
      </c>
      <c r="C18" s="5" t="s">
        <v>6</v>
      </c>
      <c r="D18" s="5" t="s">
        <v>137</v>
      </c>
      <c r="E18" s="3"/>
      <c r="F18" s="228"/>
      <c r="G18" s="3"/>
      <c r="H18" s="224"/>
      <c r="I18" s="224"/>
      <c r="J18" s="224"/>
      <c r="K18" s="246"/>
      <c r="L18" s="252"/>
      <c r="M18" s="246"/>
      <c r="N18" s="252"/>
      <c r="O18" s="224"/>
      <c r="P18" s="224"/>
      <c r="Q18" s="224"/>
      <c r="R18" s="246"/>
      <c r="S18" s="104"/>
      <c r="T18" s="104"/>
      <c r="U18" s="3"/>
      <c r="V18" s="3"/>
    </row>
    <row r="19" spans="1:22" s="19" customFormat="1" outlineLevel="1" x14ac:dyDescent="0.3">
      <c r="A19" s="3"/>
      <c r="B19" s="3" t="str">
        <f t="shared" ref="B19:B32" si="6">B18</f>
        <v>Ausgrid</v>
      </c>
      <c r="C19" s="3" t="str">
        <f t="shared" ref="C19:C32" si="7">C18</f>
        <v>Residential</v>
      </c>
      <c r="D19" s="3" t="str">
        <f t="shared" ref="D19:D32" si="8">D18</f>
        <v>with CL</v>
      </c>
      <c r="E19" s="3" t="s">
        <v>21</v>
      </c>
      <c r="F19" s="228">
        <f t="array" ref="F19">IFERROR(INDEX(Usage!$B$5:$P$18,MATCH($B19,Usage!$B$5:$B$18,0),MATCH($C19&amp;$D19&amp;$E19&amp;"Total",Usage!$B$5:$S$5&amp;Usage!$B$6:$S$6&amp;Usage!$B$7:$S$7&amp;Usage!$B$13:$S$13,0)),0)</f>
        <v>4800</v>
      </c>
      <c r="G19" s="3" t="s">
        <v>53</v>
      </c>
      <c r="H19" s="224"/>
      <c r="I19" s="224">
        <f>I14</f>
        <v>19.170000000000002</v>
      </c>
      <c r="J19" s="224">
        <f t="shared" ref="J19:J31" si="9">IF(AND(H19="",I19=""),"",H19+I19*$F19/1000)</f>
        <v>92.01600000000002</v>
      </c>
      <c r="K19" s="246"/>
      <c r="L19" s="252"/>
      <c r="M19" s="246">
        <f>IF(OR(J19=0,Q19=""),"",Q19/J19-1)</f>
        <v>7.8768909754824978E-2</v>
      </c>
      <c r="N19" s="252"/>
      <c r="O19" s="224"/>
      <c r="P19" s="224">
        <f>P14</f>
        <v>20.68</v>
      </c>
      <c r="Q19" s="224">
        <f t="shared" ref="Q19:Q31" si="10">IF(AND(O19="",P19=""),"",O19+P19*$F19/1000)</f>
        <v>99.263999999999996</v>
      </c>
      <c r="R19" s="246"/>
      <c r="S19" s="104"/>
      <c r="T19" s="104"/>
      <c r="U19" s="3"/>
      <c r="V19" s="3"/>
    </row>
    <row r="20" spans="1:22" s="19" customFormat="1" outlineLevel="1" x14ac:dyDescent="0.3">
      <c r="A20" s="3"/>
      <c r="B20" s="3" t="str">
        <f t="shared" si="6"/>
        <v>Ausgrid</v>
      </c>
      <c r="C20" s="3" t="str">
        <f t="shared" si="7"/>
        <v>Residential</v>
      </c>
      <c r="D20" s="3" t="str">
        <f t="shared" si="8"/>
        <v>with CL</v>
      </c>
      <c r="E20" s="3" t="s">
        <v>15</v>
      </c>
      <c r="F20" s="228">
        <f t="array" ref="F20">IFERROR(INDEX(Usage!$B$5:$P$18,MATCH($B20,Usage!$B$5:$B$18,0),MATCH($C20&amp;$D20&amp;$E20,Usage!$B$5:$S$5&amp;Usage!$B$6:$S$6&amp;Usage!$B$7:$S$7,0)),0)</f>
        <v>1340</v>
      </c>
      <c r="G20" s="3" t="s">
        <v>70</v>
      </c>
      <c r="H20" s="224"/>
      <c r="I20" s="224">
        <f t="array" ref="I20">IFERROR(INDEX('Detail inputs'!$B$3:$K$193,MATCH($B20&amp;$G20&amp;I$5,'Detail inputs'!$B$3:$B$193&amp;'Detail inputs'!$G$3:$G$193&amp;'Detail inputs'!$H$3:$H$193,0),MATCH(I$4,'Detail inputs'!$B$3:$K$3,0)),0)</f>
        <v>4.22</v>
      </c>
      <c r="J20" s="224">
        <f t="shared" si="9"/>
        <v>5.6547999999999989</v>
      </c>
      <c r="K20" s="246">
        <f>IFERROR(J20/J25,"")</f>
        <v>0.21956295525494274</v>
      </c>
      <c r="L20" s="243"/>
      <c r="M20" s="246">
        <f t="shared" ref="M20:M32" si="11">IF(OR(J20=0,Q20=""),"",Q20/J20-1)</f>
        <v>0.21563981042654046</v>
      </c>
      <c r="N20" s="243"/>
      <c r="O20" s="224"/>
      <c r="P20" s="224">
        <f t="array" ref="P20">IFERROR(INDEX('Detail inputs'!$B$3:$K$193,MATCH($B20&amp;$G20&amp;P$5,'Detail inputs'!$B$3:$B$193&amp;'Detail inputs'!$G$3:$G$193&amp;'Detail inputs'!$H$3:$H$193,0),MATCH(P$4,'Detail inputs'!$B$3:$K$3,0)),0)</f>
        <v>5.13</v>
      </c>
      <c r="Q20" s="224">
        <f t="shared" si="10"/>
        <v>6.8742000000000001</v>
      </c>
      <c r="R20" s="246">
        <f>IFERROR(Q20/Q25,"")</f>
        <v>0.24734811957569913</v>
      </c>
      <c r="S20" s="104"/>
      <c r="T20" s="104"/>
      <c r="U20" s="3"/>
      <c r="V20" s="3"/>
    </row>
    <row r="21" spans="1:22" s="19" customFormat="1" outlineLevel="1" x14ac:dyDescent="0.3">
      <c r="A21" s="3"/>
      <c r="B21" s="3" t="str">
        <f t="shared" si="6"/>
        <v>Ausgrid</v>
      </c>
      <c r="C21" s="3" t="str">
        <f t="shared" si="7"/>
        <v>Residential</v>
      </c>
      <c r="D21" s="3" t="str">
        <f t="shared" si="8"/>
        <v>with CL</v>
      </c>
      <c r="E21" s="3" t="s">
        <v>15</v>
      </c>
      <c r="F21" s="228">
        <f t="array" ref="F21">IFERROR(INDEX(Usage!$B$5:$P$18,MATCH($B21,Usage!$B$5:$B$18,0),MATCH($C21&amp;$D21&amp;$E21,Usage!$B$5:$S$5&amp;Usage!$B$6:$S$6&amp;Usage!$B$7:$S$7,0)),0)</f>
        <v>1340</v>
      </c>
      <c r="G21" s="3" t="s">
        <v>71</v>
      </c>
      <c r="H21" s="224"/>
      <c r="I21" s="224">
        <f t="array" ref="I21">IFERROR(INDEX('Detail inputs'!$B$3:$K$193,MATCH($B21&amp;$G21&amp;I$5,'Detail inputs'!$B$3:$B$193&amp;'Detail inputs'!$G$3:$G$193&amp;'Detail inputs'!$H$3:$H$193,0),MATCH(I$4,'Detail inputs'!$B$3:$K$3,0)),0)</f>
        <v>11.52</v>
      </c>
      <c r="J21" s="224">
        <f t="shared" si="9"/>
        <v>15.4368</v>
      </c>
      <c r="K21" s="246">
        <f>IFERROR(J21/J25,"")</f>
        <v>0.59937565036420393</v>
      </c>
      <c r="L21" s="243"/>
      <c r="M21" s="246">
        <f t="shared" si="11"/>
        <v>-5.381944444444442E-2</v>
      </c>
      <c r="N21" s="243"/>
      <c r="O21" s="224"/>
      <c r="P21" s="224">
        <f t="array" ref="P21">IFERROR(INDEX('Detail inputs'!$B$3:$K$193,MATCH($B21&amp;$G21&amp;P$5,'Detail inputs'!$B$3:$B$193&amp;'Detail inputs'!$G$3:$G$193&amp;'Detail inputs'!$H$3:$H$193,0),MATCH(P$4,'Detail inputs'!$B$3:$K$3,0)),0)</f>
        <v>10.9</v>
      </c>
      <c r="Q21" s="224">
        <f t="shared" si="10"/>
        <v>14.606</v>
      </c>
      <c r="R21" s="246">
        <f>IFERROR(Q21/Q25,"")</f>
        <v>0.52555448408871752</v>
      </c>
      <c r="S21" s="104"/>
      <c r="T21" s="104"/>
      <c r="U21" s="3"/>
      <c r="V21" s="3"/>
    </row>
    <row r="22" spans="1:22" s="19" customFormat="1" outlineLevel="1" x14ac:dyDescent="0.3">
      <c r="A22" s="3"/>
      <c r="B22" s="3" t="str">
        <f t="shared" si="6"/>
        <v>Ausgrid</v>
      </c>
      <c r="C22" s="3" t="str">
        <f t="shared" si="7"/>
        <v>Residential</v>
      </c>
      <c r="D22" s="3" t="str">
        <f t="shared" si="8"/>
        <v>with CL</v>
      </c>
      <c r="E22" s="3" t="s">
        <v>15</v>
      </c>
      <c r="F22" s="228">
        <f t="array" ref="F22">IFERROR(INDEX(Usage!$B$5:$P$18,MATCH($B22,Usage!$B$5:$B$18,0),MATCH($C22&amp;$D22&amp;$E22,Usage!$B$5:$S$5&amp;Usage!$B$6:$S$6&amp;Usage!$B$7:$S$7,0)),0)</f>
        <v>1340</v>
      </c>
      <c r="G22" s="3" t="s">
        <v>72</v>
      </c>
      <c r="H22" s="224"/>
      <c r="I22" s="224">
        <f t="array" ref="I22">IFERROR(INDEX('Detail inputs'!$B$3:$K$193,MATCH($B22&amp;$G22&amp;I$5,'Detail inputs'!$B$3:$B$193&amp;'Detail inputs'!$G$3:$G$193&amp;'Detail inputs'!$H$3:$H$193,0),MATCH(I$4,'Detail inputs'!$B$3:$K$3,0)),0)</f>
        <v>2.48</v>
      </c>
      <c r="J22" s="224">
        <f t="shared" si="9"/>
        <v>3.3231999999999999</v>
      </c>
      <c r="K22" s="246">
        <f>IFERROR(J22/J25,"")</f>
        <v>0.12903225806451613</v>
      </c>
      <c r="L22" s="243"/>
      <c r="M22" s="246">
        <f t="shared" si="11"/>
        <v>0.36693548387096775</v>
      </c>
      <c r="N22" s="243"/>
      <c r="O22" s="224"/>
      <c r="P22" s="224">
        <f t="array" ref="P22">IFERROR(INDEX('Detail inputs'!$B$3:$K$193,MATCH($B22&amp;$G22&amp;P$5,'Detail inputs'!$B$3:$B$193&amp;'Detail inputs'!$G$3:$G$193&amp;'Detail inputs'!$H$3:$H$193,0),MATCH(P$4,'Detail inputs'!$B$3:$K$3,0)),0)</f>
        <v>3.39</v>
      </c>
      <c r="Q22" s="224">
        <f t="shared" si="10"/>
        <v>4.5426000000000002</v>
      </c>
      <c r="R22" s="246">
        <f>IFERROR(Q22/Q25,"")</f>
        <v>0.16345226615236261</v>
      </c>
      <c r="S22" s="104"/>
      <c r="T22" s="104"/>
      <c r="U22" s="3"/>
      <c r="V22" s="3"/>
    </row>
    <row r="23" spans="1:22" s="19" customFormat="1" outlineLevel="1" x14ac:dyDescent="0.3">
      <c r="A23" s="3"/>
      <c r="B23" s="3" t="str">
        <f t="shared" si="6"/>
        <v>Ausgrid</v>
      </c>
      <c r="C23" s="3" t="str">
        <f t="shared" si="7"/>
        <v>Residential</v>
      </c>
      <c r="D23" s="3" t="str">
        <f t="shared" si="8"/>
        <v>with CL</v>
      </c>
      <c r="E23" s="3" t="s">
        <v>15</v>
      </c>
      <c r="F23" s="228">
        <f t="array" ref="F23">IFERROR(INDEX(Usage!$B$5:$P$18,MATCH($B23,Usage!$B$5:$B$18,0),MATCH($C23&amp;$D23&amp;$E23,Usage!$B$5:$S$5&amp;Usage!$B$6:$S$6&amp;Usage!$B$7:$S$7,0)),0)</f>
        <v>1340</v>
      </c>
      <c r="G23" s="3" t="s">
        <v>187</v>
      </c>
      <c r="H23" s="224"/>
      <c r="I23" s="224">
        <f t="array" ref="I23">IFERROR(INDEX('Detail inputs'!$B$3:$K$193,MATCH($B23&amp;$G23&amp;I$5,'Detail inputs'!$B$3:$B$193&amp;'Detail inputs'!$G$3:$G$193&amp;'Detail inputs'!$H$3:$H$193,0),MATCH(I$4,'Detail inputs'!$B$3:$K$3,0)),0)</f>
        <v>0</v>
      </c>
      <c r="J23" s="224">
        <f t="shared" ref="J23" si="12">IF(AND(H23="",I23=""),"",H23+I23*$F23/1000)</f>
        <v>0</v>
      </c>
      <c r="K23" s="246">
        <f>IFERROR(J23/J25,"")</f>
        <v>0</v>
      </c>
      <c r="L23" s="243"/>
      <c r="M23" s="246" t="str">
        <f t="shared" ref="M23" si="13">IF(OR(J23=0,Q23=""),"",Q23/J23-1)</f>
        <v/>
      </c>
      <c r="N23" s="243"/>
      <c r="O23" s="224"/>
      <c r="P23" s="224">
        <f t="array" ref="P23">IFERROR(INDEX('Detail inputs'!$B$3:$K$193,MATCH($B23&amp;$G23&amp;P$5,'Detail inputs'!$B$3:$B$193&amp;'Detail inputs'!$G$3:$G$193&amp;'Detail inputs'!$H$3:$H$193,0),MATCH(P$4,'Detail inputs'!$B$3:$K$3,0)),0)</f>
        <v>0.21803668755877201</v>
      </c>
      <c r="Q23" s="224">
        <f t="shared" ref="Q23" si="14">IF(AND(O23="",P23=""),"",O23+P23*$F23/1000)</f>
        <v>0.29216916132875453</v>
      </c>
      <c r="R23" s="246">
        <f>IFERROR(Q23/Q25,"")</f>
        <v>1.0512858609391131E-2</v>
      </c>
      <c r="S23" s="104"/>
      <c r="T23" s="104"/>
      <c r="U23" s="3"/>
      <c r="V23" s="3"/>
    </row>
    <row r="24" spans="1:22" s="19" customFormat="1" outlineLevel="1" x14ac:dyDescent="0.3">
      <c r="A24" s="3"/>
      <c r="B24" s="3" t="str">
        <f t="shared" si="6"/>
        <v>Ausgrid</v>
      </c>
      <c r="C24" s="3" t="str">
        <f t="shared" si="7"/>
        <v>Residential</v>
      </c>
      <c r="D24" s="3" t="str">
        <f t="shared" si="8"/>
        <v>with CL</v>
      </c>
      <c r="E24" s="3" t="s">
        <v>15</v>
      </c>
      <c r="F24" s="228">
        <f t="array" ref="F24">IFERROR(INDEX(Usage!$B$5:$P$18,MATCH($B24,Usage!$B$5:$B$18,0),MATCH($C24&amp;$D24&amp;$E24,Usage!$B$5:$S$5&amp;Usage!$B$6:$S$6&amp;Usage!$B$7:$S$7,0)),0)</f>
        <v>1340</v>
      </c>
      <c r="G24" s="3" t="s">
        <v>69</v>
      </c>
      <c r="H24" s="224"/>
      <c r="I24" s="224" cm="1">
        <f t="array" ref="I24">ROUND(IFERROR(INDEX('Detail inputs'!$B$3:$K$193,MATCH($B24&amp;$C24&amp;$E24&amp;$G24&amp;I$5,'Detail inputs'!$B$3:$B$193&amp;'Detail inputs'!$D$3:$D$193&amp;'Detail inputs'!$F$3:$F$193&amp;'Detail inputs'!$G$3:$G$193&amp;'Detail inputs'!$H$3:$H$193,0),MATCH(I$4,'Detail inputs'!$B$3:$K$3,0)),0)*SUM(I20:I23),2)</f>
        <v>1</v>
      </c>
      <c r="J24" s="224">
        <f t="shared" si="9"/>
        <v>1.34</v>
      </c>
      <c r="K24" s="246">
        <f>IFERROR(J24/J25,"")</f>
        <v>5.2029136316337155E-2</v>
      </c>
      <c r="L24" s="243"/>
      <c r="M24" s="246">
        <f t="shared" si="11"/>
        <v>0.10000000000000009</v>
      </c>
      <c r="N24" s="243"/>
      <c r="O24" s="224"/>
      <c r="P24" s="224" cm="1">
        <f t="array" ref="P24">ROUND(IFERROR(INDEX('Detail inputs'!$B$3:$K$193,MATCH($B24&amp;$C24&amp;$E24&amp;$G24&amp;P$5,'Detail inputs'!$B$3:$B$193&amp;'Detail inputs'!$D$3:$D$193&amp;'Detail inputs'!$F$3:$F$193&amp;'Detail inputs'!$G$3:$G$193&amp;'Detail inputs'!$H$3:$H$193,0),MATCH(P$4,'Detail inputs'!$B$3:$K$3,0)),0)*SUM(P20:P23),2)</f>
        <v>1.1000000000000001</v>
      </c>
      <c r="Q24" s="224">
        <f t="shared" si="10"/>
        <v>1.4740000000000002</v>
      </c>
      <c r="R24" s="246">
        <f>IFERROR(Q24/Q25,"")</f>
        <v>5.3037608486017365E-2</v>
      </c>
      <c r="S24" s="104"/>
      <c r="T24" s="104"/>
      <c r="U24" s="3"/>
      <c r="V24" s="3"/>
    </row>
    <row r="25" spans="1:22" s="19" customFormat="1" outlineLevel="1" x14ac:dyDescent="0.3">
      <c r="A25" s="3"/>
      <c r="B25" s="3" t="str">
        <f t="shared" si="6"/>
        <v>Ausgrid</v>
      </c>
      <c r="C25" s="3" t="str">
        <f t="shared" si="7"/>
        <v>Residential</v>
      </c>
      <c r="D25" s="3" t="str">
        <f t="shared" si="8"/>
        <v>with CL</v>
      </c>
      <c r="E25" s="3" t="s">
        <v>15</v>
      </c>
      <c r="F25" s="228">
        <f t="array" ref="F25">IFERROR(INDEX(Usage!$B$5:$P$18,MATCH($B25,Usage!$B$5:$B$18,0),MATCH($C25&amp;$D25&amp;$E25,Usage!$B$5:$S$5&amp;Usage!$B$6:$S$6&amp;Usage!$B$7:$S$7,0)),0)</f>
        <v>1340</v>
      </c>
      <c r="G25" s="3" t="s">
        <v>53</v>
      </c>
      <c r="H25" s="226"/>
      <c r="I25" s="226">
        <f t="array" ref="I25">INDEX('Key inputs'!$B$16:$N$40,MATCH($B25&amp;$C25&amp;$E25,'Key inputs'!$B$16:$B$40&amp;'Key inputs'!$C$16:$C$40&amp;'Key inputs'!$D$16:$D$40,0),MATCH($A$2&amp;I$4,'Key inputs'!$B$17:$N$17&amp;'Key inputs'!$B$18:$N$18,0))</f>
        <v>19.22</v>
      </c>
      <c r="J25" s="224">
        <f t="shared" si="9"/>
        <v>25.754799999999999</v>
      </c>
      <c r="K25" s="247"/>
      <c r="L25" s="253"/>
      <c r="M25" s="247">
        <f t="shared" si="11"/>
        <v>7.9084287200832382E-2</v>
      </c>
      <c r="N25" s="253"/>
      <c r="O25" s="226"/>
      <c r="P25" s="226">
        <f t="array" ref="P25">INDEX('Key inputs'!$B$16:$N$40,MATCH($B25&amp;$C25&amp;$E25,'Key inputs'!$B$16:$B$40&amp;'Key inputs'!$C$16:$C$40&amp;'Key inputs'!$D$16:$D$40,0),MATCH($A$2&amp;P$4,'Key inputs'!$B$17:$N$17&amp;'Key inputs'!$B$18:$N$18,0))</f>
        <v>20.74</v>
      </c>
      <c r="Q25" s="224">
        <f t="shared" si="10"/>
        <v>27.791599999999999</v>
      </c>
      <c r="R25" s="247"/>
      <c r="S25" s="104"/>
      <c r="T25" s="104"/>
      <c r="U25" s="97"/>
      <c r="V25" s="97"/>
    </row>
    <row r="26" spans="1:22" s="19" customFormat="1" outlineLevel="1" x14ac:dyDescent="0.3">
      <c r="A26" s="3"/>
      <c r="B26" s="3" t="str">
        <f t="shared" si="6"/>
        <v>Ausgrid</v>
      </c>
      <c r="C26" s="3" t="str">
        <f t="shared" si="7"/>
        <v>Residential</v>
      </c>
      <c r="D26" s="3" t="str">
        <f t="shared" si="8"/>
        <v>with CL</v>
      </c>
      <c r="E26" s="3" t="s">
        <v>16</v>
      </c>
      <c r="F26" s="228">
        <f t="array" ref="F26">IFERROR(INDEX(Usage!$B$5:$P$18,MATCH($B26,Usage!$B$5:$B$18,0),MATCH($C26&amp;$D26&amp;$E26,Usage!$B$5:$S$5&amp;Usage!$B$6:$S$6&amp;Usage!$B$7:$S$7,0)),0)</f>
        <v>660</v>
      </c>
      <c r="G26" s="3" t="s">
        <v>70</v>
      </c>
      <c r="H26" s="224"/>
      <c r="I26" s="224">
        <f t="array" ref="I26">IFERROR(INDEX('Detail inputs'!$B$3:$K$193,MATCH($B26&amp;$G26&amp;I$5,'Detail inputs'!$B$3:$B$193&amp;'Detail inputs'!$G$3:$G$193&amp;'Detail inputs'!$H$3:$H$193,0),MATCH(I$4,'Detail inputs'!$B$3:$K$3,0)),0)</f>
        <v>4.22</v>
      </c>
      <c r="J26" s="224">
        <f t="shared" si="9"/>
        <v>2.7851999999999997</v>
      </c>
      <c r="K26" s="246">
        <f>IFERROR(J26/J31,"")</f>
        <v>0.21956295525494277</v>
      </c>
      <c r="L26" s="243"/>
      <c r="M26" s="246">
        <f t="shared" si="11"/>
        <v>0.21563981042654023</v>
      </c>
      <c r="N26" s="243"/>
      <c r="O26" s="224"/>
      <c r="P26" s="224">
        <f t="array" ref="P26">IFERROR(INDEX('Detail inputs'!$B$3:$K$193,MATCH($B26&amp;$G26&amp;P$5,'Detail inputs'!$B$3:$B$193&amp;'Detail inputs'!$G$3:$G$193&amp;'Detail inputs'!$H$3:$H$193,0),MATCH(P$4,'Detail inputs'!$B$3:$K$3,0)),0)</f>
        <v>5.13</v>
      </c>
      <c r="Q26" s="224">
        <f t="shared" si="10"/>
        <v>3.3857999999999997</v>
      </c>
      <c r="R26" s="246">
        <f>IFERROR(Q26/Q31,"")</f>
        <v>0.2473481195756991</v>
      </c>
      <c r="S26" s="104"/>
      <c r="T26" s="104"/>
      <c r="U26" s="3"/>
      <c r="V26" s="3"/>
    </row>
    <row r="27" spans="1:22" s="19" customFormat="1" outlineLevel="1" x14ac:dyDescent="0.3">
      <c r="A27" s="3"/>
      <c r="B27" s="3" t="str">
        <f t="shared" si="6"/>
        <v>Ausgrid</v>
      </c>
      <c r="C27" s="3" t="str">
        <f t="shared" si="7"/>
        <v>Residential</v>
      </c>
      <c r="D27" s="3" t="str">
        <f t="shared" si="8"/>
        <v>with CL</v>
      </c>
      <c r="E27" s="3" t="s">
        <v>16</v>
      </c>
      <c r="F27" s="228">
        <f t="array" ref="F27">IFERROR(INDEX(Usage!$B$5:$P$18,MATCH($B27,Usage!$B$5:$B$18,0),MATCH($C27&amp;$D27&amp;$E27,Usage!$B$5:$S$5&amp;Usage!$B$6:$S$6&amp;Usage!$B$7:$S$7,0)),0)</f>
        <v>660</v>
      </c>
      <c r="G27" s="3" t="s">
        <v>71</v>
      </c>
      <c r="H27" s="226"/>
      <c r="I27" s="226">
        <f t="array" ref="I27">IFERROR(INDEX('Detail inputs'!$B$3:$K$193,MATCH($B27&amp;$G27&amp;I$5,'Detail inputs'!$B$3:$B$193&amp;'Detail inputs'!$G$3:$G$193&amp;'Detail inputs'!$H$3:$H$193,0),MATCH(I$4,'Detail inputs'!$B$3:$K$3,0)),0)</f>
        <v>11.52</v>
      </c>
      <c r="J27" s="226">
        <f t="shared" si="9"/>
        <v>7.6032000000000002</v>
      </c>
      <c r="K27" s="247">
        <f>IFERROR(J27/J31,"")</f>
        <v>0.59937565036420404</v>
      </c>
      <c r="L27" s="244"/>
      <c r="M27" s="247">
        <f t="shared" si="11"/>
        <v>-5.381944444444442E-2</v>
      </c>
      <c r="N27" s="244"/>
      <c r="O27" s="226"/>
      <c r="P27" s="226">
        <f t="array" ref="P27">IFERROR(INDEX('Detail inputs'!$B$3:$K$193,MATCH($B27&amp;$G27&amp;P$5,'Detail inputs'!$B$3:$B$193&amp;'Detail inputs'!$G$3:$G$193&amp;'Detail inputs'!$H$3:$H$193,0),MATCH(P$4,'Detail inputs'!$B$3:$K$3,0)),0)</f>
        <v>10.9</v>
      </c>
      <c r="Q27" s="226">
        <f t="shared" si="10"/>
        <v>7.194</v>
      </c>
      <c r="R27" s="247">
        <f>IFERROR(Q27/Q31,"")</f>
        <v>0.52555448408871741</v>
      </c>
      <c r="S27" s="104"/>
      <c r="T27" s="104"/>
      <c r="U27" s="97"/>
      <c r="V27" s="97"/>
    </row>
    <row r="28" spans="1:22" s="19" customFormat="1" outlineLevel="1" x14ac:dyDescent="0.3">
      <c r="A28" s="3"/>
      <c r="B28" s="3" t="str">
        <f t="shared" si="6"/>
        <v>Ausgrid</v>
      </c>
      <c r="C28" s="3" t="str">
        <f t="shared" si="7"/>
        <v>Residential</v>
      </c>
      <c r="D28" s="3" t="str">
        <f t="shared" si="8"/>
        <v>with CL</v>
      </c>
      <c r="E28" s="3" t="s">
        <v>16</v>
      </c>
      <c r="F28" s="228">
        <f t="array" ref="F28">IFERROR(INDEX(Usage!$B$5:$P$18,MATCH($B28,Usage!$B$5:$B$18,0),MATCH($C28&amp;$D28&amp;$E28,Usage!$B$5:$S$5&amp;Usage!$B$6:$S$6&amp;Usage!$B$7:$S$7,0)),0)</f>
        <v>660</v>
      </c>
      <c r="G28" s="3" t="s">
        <v>72</v>
      </c>
      <c r="H28" s="226"/>
      <c r="I28" s="226">
        <f t="array" ref="I28">IFERROR(INDEX('Detail inputs'!$B$3:$K$193,MATCH($B28&amp;$G28&amp;I$5,'Detail inputs'!$B$3:$B$193&amp;'Detail inputs'!$G$3:$G$193&amp;'Detail inputs'!$H$3:$H$193,0),MATCH(I$4,'Detail inputs'!$B$3:$K$3,0)),0)</f>
        <v>2.48</v>
      </c>
      <c r="J28" s="226">
        <f t="shared" si="9"/>
        <v>1.6368</v>
      </c>
      <c r="K28" s="247">
        <f>IFERROR(J28/J31,"")</f>
        <v>0.12903225806451615</v>
      </c>
      <c r="L28" s="244"/>
      <c r="M28" s="247">
        <f t="shared" si="11"/>
        <v>0.36693548387096775</v>
      </c>
      <c r="N28" s="244"/>
      <c r="O28" s="226"/>
      <c r="P28" s="226">
        <f t="array" ref="P28">IFERROR(INDEX('Detail inputs'!$B$3:$K$193,MATCH($B28&amp;$G28&amp;P$5,'Detail inputs'!$B$3:$B$193&amp;'Detail inputs'!$G$3:$G$193&amp;'Detail inputs'!$H$3:$H$193,0),MATCH(P$4,'Detail inputs'!$B$3:$K$3,0)),0)</f>
        <v>3.39</v>
      </c>
      <c r="Q28" s="226">
        <f t="shared" si="10"/>
        <v>2.2374000000000001</v>
      </c>
      <c r="R28" s="247">
        <f>IFERROR(Q28/Q31,"")</f>
        <v>0.16345226615236258</v>
      </c>
      <c r="S28" s="104"/>
      <c r="T28" s="104"/>
      <c r="U28" s="3"/>
      <c r="V28" s="3"/>
    </row>
    <row r="29" spans="1:22" s="19" customFormat="1" outlineLevel="1" x14ac:dyDescent="0.3">
      <c r="A29" s="3"/>
      <c r="B29" s="3" t="str">
        <f t="shared" si="6"/>
        <v>Ausgrid</v>
      </c>
      <c r="C29" s="3" t="str">
        <f t="shared" si="7"/>
        <v>Residential</v>
      </c>
      <c r="D29" s="3" t="str">
        <f t="shared" si="8"/>
        <v>with CL</v>
      </c>
      <c r="E29" s="3" t="s">
        <v>16</v>
      </c>
      <c r="F29" s="228">
        <f t="array" ref="F29">IFERROR(INDEX(Usage!$B$5:$P$18,MATCH($B29,Usage!$B$5:$B$18,0),MATCH($C29&amp;$D29&amp;$E29,Usage!$B$5:$S$5&amp;Usage!$B$6:$S$6&amp;Usage!$B$7:$S$7,0)),0)</f>
        <v>660</v>
      </c>
      <c r="G29" s="3" t="s">
        <v>187</v>
      </c>
      <c r="H29" s="226"/>
      <c r="I29" s="226">
        <f t="array" ref="I29">IFERROR(INDEX('Detail inputs'!$B$3:$K$193,MATCH($B29&amp;$G29&amp;I$5,'Detail inputs'!$B$3:$B$193&amp;'Detail inputs'!$G$3:$G$193&amp;'Detail inputs'!$H$3:$H$193,0),MATCH(I$4,'Detail inputs'!$B$3:$K$3,0)),0)</f>
        <v>0</v>
      </c>
      <c r="J29" s="226">
        <f t="shared" ref="J29" si="15">IF(AND(H29="",I29=""),"",H29+I29*$F29/1000)</f>
        <v>0</v>
      </c>
      <c r="K29" s="247">
        <f>IFERROR(J29/J31,"")</f>
        <v>0</v>
      </c>
      <c r="L29" s="244"/>
      <c r="M29" s="247" t="str">
        <f t="shared" ref="M29" si="16">IF(OR(J29=0,Q29=""),"",Q29/J29-1)</f>
        <v/>
      </c>
      <c r="N29" s="244"/>
      <c r="O29" s="226"/>
      <c r="P29" s="226">
        <f t="array" ref="P29">IFERROR(INDEX('Detail inputs'!$B$3:$K$193,MATCH($B29&amp;$G29&amp;P$5,'Detail inputs'!$B$3:$B$193&amp;'Detail inputs'!$G$3:$G$193&amp;'Detail inputs'!$H$3:$H$193,0),MATCH(P$4,'Detail inputs'!$B$3:$K$3,0)),0)</f>
        <v>0.21803668755877201</v>
      </c>
      <c r="Q29" s="226">
        <f t="shared" ref="Q29" si="17">IF(AND(O29="",P29=""),"",O29+P29*$F29/1000)</f>
        <v>0.14390421378878951</v>
      </c>
      <c r="R29" s="247">
        <f>IFERROR(Q29/Q31,"")</f>
        <v>1.0512858609391128E-2</v>
      </c>
      <c r="S29" s="104"/>
      <c r="T29" s="104"/>
      <c r="U29" s="3"/>
      <c r="V29" s="3"/>
    </row>
    <row r="30" spans="1:22" s="19" customFormat="1" outlineLevel="1" x14ac:dyDescent="0.3">
      <c r="A30" s="3"/>
      <c r="B30" s="3" t="str">
        <f t="shared" si="6"/>
        <v>Ausgrid</v>
      </c>
      <c r="C30" s="3" t="str">
        <f t="shared" si="7"/>
        <v>Residential</v>
      </c>
      <c r="D30" s="3" t="str">
        <f t="shared" si="8"/>
        <v>with CL</v>
      </c>
      <c r="E30" s="3" t="s">
        <v>16</v>
      </c>
      <c r="F30" s="228">
        <f t="array" ref="F30">IFERROR(INDEX(Usage!$B$5:$P$18,MATCH($B30,Usage!$B$5:$B$18,0),MATCH($C30&amp;$D30&amp;$E30,Usage!$B$5:$S$5&amp;Usage!$B$6:$S$6&amp;Usage!$B$7:$S$7,0)),0)</f>
        <v>660</v>
      </c>
      <c r="G30" s="3" t="s">
        <v>69</v>
      </c>
      <c r="H30" s="226"/>
      <c r="I30" s="224" cm="1">
        <f t="array" ref="I30">ROUND(IFERROR(INDEX('Detail inputs'!$B$3:$K$193,MATCH($B30&amp;$C30&amp;$E30&amp;$G30&amp;I$5,'Detail inputs'!$B$3:$B$193&amp;'Detail inputs'!$D$3:$D$193&amp;'Detail inputs'!$F$3:$F$193&amp;'Detail inputs'!$G$3:$G$193&amp;'Detail inputs'!$H$3:$H$193,0),MATCH(I$4,'Detail inputs'!$B$3:$K$3,0)),0)*SUM(I26:I29),2)</f>
        <v>1</v>
      </c>
      <c r="J30" s="226">
        <f t="shared" si="9"/>
        <v>0.66</v>
      </c>
      <c r="K30" s="247">
        <f>IFERROR(J30/J31,"")</f>
        <v>5.2029136316337161E-2</v>
      </c>
      <c r="L30" s="244"/>
      <c r="M30" s="247">
        <f t="shared" si="11"/>
        <v>0.10000000000000009</v>
      </c>
      <c r="N30" s="244"/>
      <c r="O30" s="226"/>
      <c r="P30" s="224" cm="1">
        <f t="array" ref="P30">ROUND(IFERROR(INDEX('Detail inputs'!$B$3:$K$193,MATCH($B30&amp;$C30&amp;$E30&amp;$G30&amp;P$5,'Detail inputs'!$B$3:$B$193&amp;'Detail inputs'!$D$3:$D$193&amp;'Detail inputs'!$F$3:$F$193&amp;'Detail inputs'!$G$3:$G$193&amp;'Detail inputs'!$H$3:$H$193,0),MATCH(P$4,'Detail inputs'!$B$3:$K$3,0)),0)*SUM(P26:P29),2)</f>
        <v>1.1000000000000001</v>
      </c>
      <c r="Q30" s="226">
        <f t="shared" si="10"/>
        <v>0.72600000000000009</v>
      </c>
      <c r="R30" s="247">
        <f>IFERROR(Q30/Q31,"")</f>
        <v>5.3037608486017365E-2</v>
      </c>
      <c r="S30" s="104"/>
      <c r="T30" s="104"/>
      <c r="U30" s="3"/>
      <c r="V30" s="3"/>
    </row>
    <row r="31" spans="1:22" s="19" customFormat="1" outlineLevel="1" x14ac:dyDescent="0.3">
      <c r="A31" s="3"/>
      <c r="B31" s="3" t="str">
        <f t="shared" si="6"/>
        <v>Ausgrid</v>
      </c>
      <c r="C31" s="3" t="str">
        <f t="shared" si="7"/>
        <v>Residential</v>
      </c>
      <c r="D31" s="3" t="str">
        <f t="shared" si="8"/>
        <v>with CL</v>
      </c>
      <c r="E31" s="3" t="s">
        <v>16</v>
      </c>
      <c r="F31" s="228">
        <f t="array" ref="F31">IFERROR(INDEX(Usage!$B$5:$P$18,MATCH($B31,Usage!$B$5:$B$18,0),MATCH($C31&amp;$D31&amp;$E31,Usage!$B$5:$S$5&amp;Usage!$B$6:$S$6&amp;Usage!$B$7:$S$7,0)),0)</f>
        <v>660</v>
      </c>
      <c r="G31" s="3" t="s">
        <v>53</v>
      </c>
      <c r="H31" s="226"/>
      <c r="I31" s="226">
        <f t="array" ref="I31">INDEX('Key inputs'!$B$16:$N$40,MATCH($B31&amp;$C31&amp;$E31,'Key inputs'!$B$16:$B$40&amp;'Key inputs'!$C$16:$C$40&amp;'Key inputs'!$D$16:$D$40,0),MATCH($A$2&amp;I$4,'Key inputs'!$B$17:$N$17&amp;'Key inputs'!$B$18:$N$18,0))</f>
        <v>19.22</v>
      </c>
      <c r="J31" s="224">
        <f t="shared" si="9"/>
        <v>12.685199999999998</v>
      </c>
      <c r="K31" s="247"/>
      <c r="L31" s="253"/>
      <c r="M31" s="247">
        <f t="shared" si="11"/>
        <v>7.9084287200832604E-2</v>
      </c>
      <c r="N31" s="253"/>
      <c r="O31" s="226"/>
      <c r="P31" s="226">
        <f t="array" ref="P31">INDEX('Key inputs'!$B$16:$N$40,MATCH($B31&amp;$C31&amp;$E31,'Key inputs'!$B$16:$B$40&amp;'Key inputs'!$C$16:$C$40&amp;'Key inputs'!$D$16:$D$40,0),MATCH($A$2&amp;P$4,'Key inputs'!$B$17:$N$17&amp;'Key inputs'!$B$18:$N$18,0))</f>
        <v>20.74</v>
      </c>
      <c r="Q31" s="224">
        <f t="shared" si="10"/>
        <v>13.6884</v>
      </c>
      <c r="R31" s="247"/>
      <c r="S31" s="104"/>
      <c r="T31" s="104"/>
      <c r="U31" s="97"/>
      <c r="V31" s="97"/>
    </row>
    <row r="32" spans="1:22" s="65" customFormat="1" x14ac:dyDescent="0.35">
      <c r="A32" s="60"/>
      <c r="B32" s="60" t="str">
        <f t="shared" si="6"/>
        <v>Ausgrid</v>
      </c>
      <c r="C32" s="60" t="str">
        <f t="shared" si="7"/>
        <v>Residential</v>
      </c>
      <c r="D32" s="60" t="str">
        <f t="shared" si="8"/>
        <v>with CL</v>
      </c>
      <c r="E32" s="60" t="s">
        <v>53</v>
      </c>
      <c r="F32" s="228">
        <f t="array" ref="F32">IFERROR(INDEX(Usage!$B$5:$P$18,MATCH($B32,Usage!$B$5:$B$18,0),MATCH($C32&amp;$D32&amp;$E32,Usage!$B$5:$S$5&amp;Usage!$B$6:$S$6&amp;Usage!$B$7:$S$7,0)),0)</f>
        <v>6800</v>
      </c>
      <c r="G32" s="60" t="s">
        <v>53</v>
      </c>
      <c r="H32" s="226"/>
      <c r="I32" s="226">
        <f>I19+I25+I31</f>
        <v>57.61</v>
      </c>
      <c r="J32" s="226">
        <f>J19+J25+J31</f>
        <v>130.45600000000002</v>
      </c>
      <c r="K32" s="247"/>
      <c r="L32" s="253"/>
      <c r="M32" s="247">
        <f t="shared" si="11"/>
        <v>7.8861838474274748E-2</v>
      </c>
      <c r="N32" s="253"/>
      <c r="O32" s="226"/>
      <c r="P32" s="226">
        <f>P19+P25+P31</f>
        <v>62.16</v>
      </c>
      <c r="Q32" s="226">
        <f>Q19+Q25+Q31</f>
        <v>140.744</v>
      </c>
      <c r="R32" s="247"/>
      <c r="U32" s="3"/>
      <c r="V32" s="3"/>
    </row>
    <row r="33" spans="1:22" s="19" customFormat="1" outlineLevel="1" x14ac:dyDescent="0.35">
      <c r="A33" s="3"/>
      <c r="B33" s="3" t="str">
        <f t="shared" ref="B33:D34" si="18">B32</f>
        <v>Ausgrid</v>
      </c>
      <c r="C33" s="3" t="str">
        <f t="shared" si="18"/>
        <v>Residential</v>
      </c>
      <c r="D33" s="3" t="str">
        <f t="shared" si="18"/>
        <v>with CL</v>
      </c>
      <c r="E33" s="3"/>
      <c r="F33" s="228"/>
      <c r="G33" s="60" t="s">
        <v>35</v>
      </c>
      <c r="H33" s="226"/>
      <c r="I33" s="226"/>
      <c r="J33" s="226">
        <f>J32*GST</f>
        <v>13.045600000000002</v>
      </c>
      <c r="K33" s="247"/>
      <c r="L33" s="253"/>
      <c r="M33" s="247"/>
      <c r="N33" s="253"/>
      <c r="O33" s="226"/>
      <c r="P33" s="226"/>
      <c r="Q33" s="226">
        <f>Q32*GST</f>
        <v>14.074400000000001</v>
      </c>
      <c r="R33" s="248"/>
      <c r="U33" s="3"/>
      <c r="V33" s="3"/>
    </row>
    <row r="34" spans="1:22" s="19" customFormat="1" x14ac:dyDescent="0.35">
      <c r="A34" s="3"/>
      <c r="B34" s="3" t="str">
        <f t="shared" si="18"/>
        <v>Ausgrid</v>
      </c>
      <c r="C34" s="3" t="str">
        <f t="shared" si="18"/>
        <v>Residential</v>
      </c>
      <c r="D34" s="3" t="str">
        <f t="shared" si="18"/>
        <v>with CL</v>
      </c>
      <c r="E34" s="3"/>
      <c r="F34" s="228"/>
      <c r="G34" s="5" t="s">
        <v>77</v>
      </c>
      <c r="H34" s="227"/>
      <c r="I34" s="227"/>
      <c r="J34" s="227">
        <f>SUM(J32:J33)</f>
        <v>143.50160000000002</v>
      </c>
      <c r="K34" s="248"/>
      <c r="L34" s="254"/>
      <c r="M34" s="248">
        <f>IF(OR(J34=0,Q34=""),"",Q34/J34-1)</f>
        <v>7.8861838474274748E-2</v>
      </c>
      <c r="N34" s="254"/>
      <c r="O34" s="227"/>
      <c r="P34" s="227"/>
      <c r="Q34" s="227">
        <f>SUM(Q32:Q33)</f>
        <v>154.8184</v>
      </c>
      <c r="R34" s="248"/>
      <c r="U34" s="97"/>
      <c r="V34" s="97"/>
    </row>
    <row r="35" spans="1:22" s="19" customFormat="1" x14ac:dyDescent="0.35">
      <c r="A35" s="3"/>
      <c r="B35" s="3"/>
      <c r="C35" s="3"/>
      <c r="D35" s="3"/>
      <c r="E35" s="3"/>
      <c r="F35" s="228"/>
      <c r="G35" s="3"/>
      <c r="H35" s="224"/>
      <c r="I35" s="224"/>
      <c r="J35" s="224"/>
      <c r="K35" s="246"/>
      <c r="L35" s="252"/>
      <c r="M35" s="246"/>
      <c r="N35" s="252"/>
      <c r="O35" s="224"/>
      <c r="P35" s="224"/>
      <c r="Q35" s="224"/>
      <c r="R35" s="246"/>
      <c r="U35" s="60"/>
      <c r="V35" s="60"/>
    </row>
    <row r="36" spans="1:22" s="19" customFormat="1" x14ac:dyDescent="0.35">
      <c r="A36" s="3"/>
      <c r="B36" s="5" t="s">
        <v>2</v>
      </c>
      <c r="C36" s="5" t="s">
        <v>14</v>
      </c>
      <c r="D36" s="5" t="s">
        <v>136</v>
      </c>
      <c r="E36" s="3"/>
      <c r="F36" s="228"/>
      <c r="G36" s="3"/>
      <c r="H36" s="224"/>
      <c r="I36" s="224"/>
      <c r="J36" s="224"/>
      <c r="K36" s="246"/>
      <c r="L36" s="252"/>
      <c r="M36" s="246"/>
      <c r="N36" s="252"/>
      <c r="O36" s="224"/>
      <c r="P36" s="224"/>
      <c r="Q36" s="224"/>
      <c r="R36" s="246"/>
      <c r="U36" s="3"/>
      <c r="V36" s="3"/>
    </row>
    <row r="37" spans="1:22" s="19" customFormat="1" outlineLevel="1" x14ac:dyDescent="0.35">
      <c r="A37" s="3"/>
      <c r="B37" s="3" t="str">
        <f t="shared" ref="B37:D44" si="19">B36</f>
        <v>Ausgrid</v>
      </c>
      <c r="C37" s="3" t="str">
        <f t="shared" si="19"/>
        <v>Small business</v>
      </c>
      <c r="D37" s="3" t="str">
        <f t="shared" si="19"/>
        <v>without CL</v>
      </c>
      <c r="E37" s="3" t="s">
        <v>21</v>
      </c>
      <c r="F37" s="228">
        <f t="array" ref="F37">IFERROR(INDEX(Usage!$B$5:$P$18,MATCH($B37,Usage!$B$5:$B$18,0),MATCH($C37&amp;$D37&amp;$E37,Usage!$B$5:$S$5&amp;Usage!$B$6:$S$6&amp;Usage!$B$7:$S$7,0)),0)</f>
        <v>10000</v>
      </c>
      <c r="G37" s="3" t="s">
        <v>70</v>
      </c>
      <c r="H37" s="224"/>
      <c r="I37" s="224"/>
      <c r="J37" s="224"/>
      <c r="K37" s="246"/>
      <c r="L37" s="243"/>
      <c r="M37" s="246"/>
      <c r="N37" s="243"/>
      <c r="O37" s="224"/>
      <c r="P37" s="224">
        <f t="array" ref="P37">IFERROR(INDEX('Detail inputs'!$B$3:$K$193,MATCH($B37&amp;$G37&amp;P$5,'Detail inputs'!$B$3:$B$193&amp;'Detail inputs'!$G$3:$G$193&amp;'Detail inputs'!$H$3:$H$193,0),MATCH(P$4,'Detail inputs'!$B$3:$K$3,0)),0)</f>
        <v>5.13</v>
      </c>
      <c r="Q37" s="224">
        <f t="shared" ref="Q37:Q42" si="20">IF(AND(O37="",P37=""),"",O37+P37*$F37/1000)</f>
        <v>51.3</v>
      </c>
      <c r="R37" s="246">
        <f>IFERROR(Q37/Q42,"")</f>
        <v>0.24806576402321082</v>
      </c>
      <c r="U37" s="3"/>
      <c r="V37" s="3"/>
    </row>
    <row r="38" spans="1:22" s="19" customFormat="1" outlineLevel="1" x14ac:dyDescent="0.35">
      <c r="A38" s="3"/>
      <c r="B38" s="3" t="str">
        <f t="shared" si="19"/>
        <v>Ausgrid</v>
      </c>
      <c r="C38" s="3" t="str">
        <f t="shared" si="19"/>
        <v>Small business</v>
      </c>
      <c r="D38" s="3" t="str">
        <f t="shared" si="19"/>
        <v>without CL</v>
      </c>
      <c r="E38" s="3" t="s">
        <v>21</v>
      </c>
      <c r="F38" s="228">
        <f t="array" ref="F38">IFERROR(INDEX(Usage!$B$5:$P$18,MATCH($B38,Usage!$B$5:$B$18,0),MATCH($C38&amp;$D38&amp;$E38,Usage!$B$5:$S$5&amp;Usage!$B$6:$S$6&amp;Usage!$B$7:$S$7,0)),0)</f>
        <v>10000</v>
      </c>
      <c r="G38" s="3" t="s">
        <v>71</v>
      </c>
      <c r="H38" s="224"/>
      <c r="I38" s="224"/>
      <c r="J38" s="224"/>
      <c r="K38" s="246"/>
      <c r="L38" s="243"/>
      <c r="M38" s="246"/>
      <c r="N38" s="243"/>
      <c r="O38" s="224"/>
      <c r="P38" s="224">
        <f t="array" ref="P38">IFERROR(INDEX('Detail inputs'!$B$3:$K$193,MATCH($B38&amp;$G38&amp;P$5,'Detail inputs'!$B$3:$B$193&amp;'Detail inputs'!$G$3:$G$193&amp;'Detail inputs'!$H$3:$H$193,0),MATCH(P$4,'Detail inputs'!$B$3:$K$3,0)),0)</f>
        <v>10.9</v>
      </c>
      <c r="Q38" s="224">
        <f t="shared" si="20"/>
        <v>109</v>
      </c>
      <c r="R38" s="246">
        <f>IFERROR(Q38/Q42,"")</f>
        <v>0.52707930367504829</v>
      </c>
      <c r="U38" s="3"/>
      <c r="V38" s="3"/>
    </row>
    <row r="39" spans="1:22" s="19" customFormat="1" outlineLevel="1" x14ac:dyDescent="0.35">
      <c r="A39" s="3"/>
      <c r="B39" s="3" t="str">
        <f t="shared" si="19"/>
        <v>Ausgrid</v>
      </c>
      <c r="C39" s="3" t="str">
        <f t="shared" si="19"/>
        <v>Small business</v>
      </c>
      <c r="D39" s="3" t="str">
        <f t="shared" si="19"/>
        <v>without CL</v>
      </c>
      <c r="E39" s="3" t="s">
        <v>21</v>
      </c>
      <c r="F39" s="228">
        <f t="array" ref="F39">IFERROR(INDEX(Usage!$B$5:$P$18,MATCH($B39,Usage!$B$5:$B$18,0),MATCH($C39&amp;$D39&amp;$E39,Usage!$B$5:$S$5&amp;Usage!$B$6:$S$6&amp;Usage!$B$7:$S$7,0)),0)</f>
        <v>10000</v>
      </c>
      <c r="G39" s="3" t="s">
        <v>72</v>
      </c>
      <c r="H39" s="224"/>
      <c r="I39" s="224"/>
      <c r="J39" s="224"/>
      <c r="K39" s="246"/>
      <c r="L39" s="243"/>
      <c r="M39" s="246"/>
      <c r="N39" s="243"/>
      <c r="O39" s="224"/>
      <c r="P39" s="224">
        <f t="array" ref="P39">IFERROR(INDEX('Detail inputs'!$B$3:$K$193,MATCH($B39&amp;$G39&amp;P$5,'Detail inputs'!$B$3:$B$193&amp;'Detail inputs'!$G$3:$G$193&amp;'Detail inputs'!$H$3:$H$193,0),MATCH(P$4,'Detail inputs'!$B$3:$K$3,0)),0)</f>
        <v>3.39</v>
      </c>
      <c r="Q39" s="224">
        <f t="shared" si="20"/>
        <v>33.9</v>
      </c>
      <c r="R39" s="246">
        <f>IFERROR(Q39/Q42,"")</f>
        <v>0.16392649903288201</v>
      </c>
      <c r="U39" s="3"/>
      <c r="V39" s="3"/>
    </row>
    <row r="40" spans="1:22" s="19" customFormat="1" outlineLevel="1" x14ac:dyDescent="0.35">
      <c r="A40" s="3"/>
      <c r="B40" s="3" t="str">
        <f t="shared" si="19"/>
        <v>Ausgrid</v>
      </c>
      <c r="C40" s="3" t="str">
        <f t="shared" si="19"/>
        <v>Small business</v>
      </c>
      <c r="D40" s="3" t="str">
        <f t="shared" si="19"/>
        <v>without CL</v>
      </c>
      <c r="E40" s="3" t="s">
        <v>21</v>
      </c>
      <c r="F40" s="228">
        <f t="array" ref="F40">IFERROR(INDEX(Usage!$B$5:$P$18,MATCH($B40,Usage!$B$5:$B$18,0),MATCH($C40&amp;$D40&amp;$E40,Usage!$B$5:$S$5&amp;Usage!$B$6:$S$6&amp;Usage!$B$7:$S$7,0)),0)</f>
        <v>10000</v>
      </c>
      <c r="G40" s="3" t="s">
        <v>187</v>
      </c>
      <c r="H40" s="224"/>
      <c r="I40" s="224"/>
      <c r="J40" s="224"/>
      <c r="K40" s="246"/>
      <c r="L40" s="243"/>
      <c r="M40" s="246"/>
      <c r="N40" s="243"/>
      <c r="O40" s="224"/>
      <c r="P40" s="224">
        <f t="array" ref="P40">IFERROR(INDEX('Detail inputs'!$B$3:$K$193,MATCH($B40&amp;$G40&amp;P$5,'Detail inputs'!$B$3:$B$193&amp;'Detail inputs'!$G$3:$G$193&amp;'Detail inputs'!$H$3:$H$193,0),MATCH(P$4,'Detail inputs'!$B$3:$K$3,0)),0)</f>
        <v>0.21803668755877201</v>
      </c>
      <c r="Q40" s="224">
        <f t="shared" si="20"/>
        <v>2.1803668755877204</v>
      </c>
      <c r="R40" s="246">
        <f>IFERROR(Q40/Q42,"")</f>
        <v>1.0543360133402903E-2</v>
      </c>
      <c r="U40" s="3"/>
      <c r="V40" s="3"/>
    </row>
    <row r="41" spans="1:22" s="19" customFormat="1" outlineLevel="1" x14ac:dyDescent="0.35">
      <c r="A41" s="3"/>
      <c r="B41" s="3" t="str">
        <f t="shared" si="19"/>
        <v>Ausgrid</v>
      </c>
      <c r="C41" s="3" t="str">
        <f t="shared" si="19"/>
        <v>Small business</v>
      </c>
      <c r="D41" s="3" t="str">
        <f t="shared" si="19"/>
        <v>without CL</v>
      </c>
      <c r="E41" s="3" t="s">
        <v>21</v>
      </c>
      <c r="F41" s="228">
        <f t="array" ref="F41">IFERROR(INDEX(Usage!$B$5:$P$18,MATCH($B41,Usage!$B$5:$B$18,0),MATCH($C41&amp;$D41&amp;$E41,Usage!$B$5:$S$5&amp;Usage!$B$6:$S$6&amp;Usage!$B$7:$S$7,0)),0)</f>
        <v>10000</v>
      </c>
      <c r="G41" s="3" t="s">
        <v>69</v>
      </c>
      <c r="H41" s="224"/>
      <c r="I41" s="224"/>
      <c r="J41" s="224"/>
      <c r="K41" s="246"/>
      <c r="L41" s="243"/>
      <c r="M41" s="246"/>
      <c r="N41" s="243"/>
      <c r="O41" s="224"/>
      <c r="P41" s="224" cm="1">
        <f t="array" ref="P41">ROUND(IFERROR(INDEX('Detail inputs'!$B$3:$K$193,MATCH($B41&amp;$C41&amp;$E41&amp;$G41&amp;P$5,'Detail inputs'!$B$3:$B$193&amp;'Detail inputs'!$D$3:$D$193&amp;'Detail inputs'!$F$3:$F$193&amp;'Detail inputs'!$G$3:$G$193&amp;'Detail inputs'!$H$3:$H$193,0),MATCH(P$4,'Detail inputs'!$B$3:$K$3,0)),0)*SUM(P37:P40),2)</f>
        <v>1.04</v>
      </c>
      <c r="Q41" s="224">
        <f t="shared" si="20"/>
        <v>10.4</v>
      </c>
      <c r="R41" s="246">
        <f>IFERROR(Q41/Q42,"")</f>
        <v>5.0290135396518373E-2</v>
      </c>
      <c r="U41" s="3"/>
      <c r="V41" s="3"/>
    </row>
    <row r="42" spans="1:22" s="65" customFormat="1" x14ac:dyDescent="0.3">
      <c r="A42" s="60"/>
      <c r="B42" s="60" t="str">
        <f t="shared" si="19"/>
        <v>Ausgrid</v>
      </c>
      <c r="C42" s="60" t="str">
        <f t="shared" si="19"/>
        <v>Small business</v>
      </c>
      <c r="D42" s="60" t="str">
        <f t="shared" si="19"/>
        <v>without CL</v>
      </c>
      <c r="E42" s="3" t="s">
        <v>21</v>
      </c>
      <c r="F42" s="228">
        <f t="array" ref="F42">IFERROR(INDEX(Usage!$B$5:$P$18,MATCH($B42,Usage!$B$5:$B$18,0),MATCH($C42&amp;$D42&amp;$E42,Usage!$B$5:$S$5&amp;Usage!$B$6:$S$6&amp;Usage!$B$7:$S$7,0)),0)</f>
        <v>10000</v>
      </c>
      <c r="G42" s="60" t="s">
        <v>53</v>
      </c>
      <c r="H42" s="226"/>
      <c r="I42" s="226"/>
      <c r="J42" s="224"/>
      <c r="K42" s="247"/>
      <c r="L42" s="253"/>
      <c r="M42" s="247"/>
      <c r="N42" s="253"/>
      <c r="O42" s="226"/>
      <c r="P42" s="226">
        <f t="array" ref="P42">INDEX('Key inputs'!$B$16:$N$40,MATCH($B42&amp;$C42&amp;$E42,'Key inputs'!$B$16:$B$40&amp;'Key inputs'!$C$16:$C$40&amp;'Key inputs'!$D$16:$D$40,0),MATCH($A$2&amp;P$4,'Key inputs'!$B$17:$N$17&amp;'Key inputs'!$B$18:$N$18,0))</f>
        <v>20.68</v>
      </c>
      <c r="Q42" s="224">
        <f t="shared" si="20"/>
        <v>206.8</v>
      </c>
      <c r="R42" s="247"/>
      <c r="S42" s="104"/>
      <c r="T42" s="104"/>
      <c r="U42" s="97"/>
      <c r="V42" s="97"/>
    </row>
    <row r="43" spans="1:22" s="19" customFormat="1" outlineLevel="1" x14ac:dyDescent="0.35">
      <c r="A43" s="3"/>
      <c r="B43" s="3" t="str">
        <f t="shared" si="19"/>
        <v>Ausgrid</v>
      </c>
      <c r="C43" s="3" t="str">
        <f t="shared" si="19"/>
        <v>Small business</v>
      </c>
      <c r="D43" s="3" t="str">
        <f t="shared" si="19"/>
        <v>without CL</v>
      </c>
      <c r="E43" s="3"/>
      <c r="F43" s="228"/>
      <c r="G43" s="60" t="s">
        <v>35</v>
      </c>
      <c r="H43" s="226"/>
      <c r="I43" s="226"/>
      <c r="J43" s="226"/>
      <c r="K43" s="247"/>
      <c r="L43" s="253"/>
      <c r="M43" s="247"/>
      <c r="N43" s="253"/>
      <c r="O43" s="226"/>
      <c r="P43" s="226"/>
      <c r="Q43" s="226">
        <f>Q42*GST</f>
        <v>20.680000000000003</v>
      </c>
      <c r="R43" s="246"/>
      <c r="U43" s="3"/>
      <c r="V43" s="3"/>
    </row>
    <row r="44" spans="1:22" s="19" customFormat="1" x14ac:dyDescent="0.35">
      <c r="A44" s="3"/>
      <c r="B44" s="3" t="str">
        <f t="shared" si="19"/>
        <v>Ausgrid</v>
      </c>
      <c r="C44" s="3" t="str">
        <f t="shared" si="19"/>
        <v>Small business</v>
      </c>
      <c r="D44" s="3" t="str">
        <f t="shared" si="19"/>
        <v>without CL</v>
      </c>
      <c r="E44" s="3"/>
      <c r="F44" s="228"/>
      <c r="G44" s="5" t="s">
        <v>77</v>
      </c>
      <c r="H44" s="227"/>
      <c r="I44" s="227"/>
      <c r="J44" s="227"/>
      <c r="K44" s="248"/>
      <c r="L44" s="254"/>
      <c r="M44" s="248"/>
      <c r="N44" s="254"/>
      <c r="O44" s="227"/>
      <c r="P44" s="227"/>
      <c r="Q44" s="227">
        <f>SUM(Q42:Q43)</f>
        <v>227.48000000000002</v>
      </c>
      <c r="R44" s="246"/>
      <c r="U44" s="3"/>
      <c r="V44" s="3"/>
    </row>
    <row r="45" spans="1:22" s="19" customFormat="1" x14ac:dyDescent="0.35">
      <c r="A45" s="3"/>
      <c r="B45" s="3"/>
      <c r="C45" s="3"/>
      <c r="D45" s="3"/>
      <c r="E45" s="3"/>
      <c r="F45" s="228"/>
      <c r="G45" s="3"/>
      <c r="H45" s="224"/>
      <c r="I45" s="224"/>
      <c r="J45" s="224"/>
      <c r="K45" s="246"/>
      <c r="L45" s="252"/>
      <c r="M45" s="246"/>
      <c r="N45" s="252"/>
      <c r="O45" s="224"/>
      <c r="P45" s="224"/>
      <c r="Q45" s="224"/>
      <c r="R45" s="246"/>
      <c r="U45" s="3"/>
      <c r="V45" s="3"/>
    </row>
    <row r="46" spans="1:22" s="19" customFormat="1" x14ac:dyDescent="0.35">
      <c r="A46" s="3"/>
      <c r="B46" s="5" t="s">
        <v>4</v>
      </c>
      <c r="C46" s="5" t="s">
        <v>6</v>
      </c>
      <c r="D46" s="5" t="s">
        <v>136</v>
      </c>
      <c r="E46" s="3"/>
      <c r="F46" s="228"/>
      <c r="G46" s="3"/>
      <c r="H46" s="224"/>
      <c r="I46" s="224"/>
      <c r="J46" s="224"/>
      <c r="K46" s="246"/>
      <c r="L46" s="252"/>
      <c r="M46" s="246"/>
      <c r="N46" s="252"/>
      <c r="O46" s="224"/>
      <c r="P46" s="224"/>
      <c r="Q46" s="224"/>
      <c r="R46" s="246"/>
      <c r="U46" s="97"/>
      <c r="V46" s="97"/>
    </row>
    <row r="47" spans="1:22" s="19" customFormat="1" outlineLevel="1" x14ac:dyDescent="0.35">
      <c r="A47" s="3"/>
      <c r="B47" s="3" t="str">
        <f t="shared" ref="B47:D54" si="21">B46</f>
        <v>Endeavour</v>
      </c>
      <c r="C47" s="3" t="str">
        <f t="shared" si="21"/>
        <v>Residential</v>
      </c>
      <c r="D47" s="3" t="str">
        <f t="shared" si="21"/>
        <v>without CL</v>
      </c>
      <c r="E47" s="3" t="s">
        <v>21</v>
      </c>
      <c r="F47" s="228">
        <f t="array" ref="F47">IFERROR(INDEX(Usage!$B$5:$P$18,MATCH($B47,Usage!$B$5:$B$18,0),MATCH($C47&amp;$D47&amp;$E47&amp;"Total",Usage!$B$5:$S$5&amp;Usage!$B$6:$S$6&amp;Usage!$B$7:$S$7&amp;Usage!$B$13:$S$13,0)),0)</f>
        <v>4900</v>
      </c>
      <c r="G47" s="3" t="s">
        <v>70</v>
      </c>
      <c r="H47" s="224"/>
      <c r="I47" s="224">
        <f t="array" ref="I47">IFERROR(INDEX('Detail inputs'!$B$3:$K$193,MATCH($B47&amp;$G47&amp;I$5,'Detail inputs'!$B$3:$B$193&amp;'Detail inputs'!$G$3:$G$193&amp;'Detail inputs'!$H$3:$H$193,0),MATCH(I$4,'Detail inputs'!$B$3:$K$3,0)),0)</f>
        <v>4.22</v>
      </c>
      <c r="J47" s="224">
        <f t="shared" ref="J47:J52" si="22">IF(AND(H47="",I47=""),"",H47+I47*$F47/1000)</f>
        <v>20.678000000000001</v>
      </c>
      <c r="K47" s="246">
        <f>IFERROR(J47/J52,"")</f>
        <v>0.21853961677887107</v>
      </c>
      <c r="L47" s="243"/>
      <c r="M47" s="246">
        <f t="shared" ref="M47:M52" si="23">IF(OR(J47=0,Q47=""),"",Q47/J47-1)</f>
        <v>0.21563981042654023</v>
      </c>
      <c r="N47" s="243"/>
      <c r="O47" s="224"/>
      <c r="P47" s="224">
        <f t="array" ref="P47">IFERROR(INDEX('Detail inputs'!$B$3:$K$193,MATCH($B47&amp;$G47&amp;P$5,'Detail inputs'!$B$3:$B$193&amp;'Detail inputs'!$G$3:$G$193&amp;'Detail inputs'!$H$3:$H$193,0),MATCH(P$4,'Detail inputs'!$B$3:$K$3,0)),0)</f>
        <v>5.13</v>
      </c>
      <c r="Q47" s="224">
        <f t="shared" ref="Q47:Q52" si="24">IF(AND(O47="",P47=""),"",O47+P47*$F47/1000)</f>
        <v>25.137</v>
      </c>
      <c r="R47" s="246">
        <f>IFERROR(Q47/Q52,"")</f>
        <v>0.24639769452449567</v>
      </c>
      <c r="U47" s="3"/>
      <c r="V47" s="3"/>
    </row>
    <row r="48" spans="1:22" s="19" customFormat="1" outlineLevel="1" x14ac:dyDescent="0.35">
      <c r="A48" s="3"/>
      <c r="B48" s="3" t="str">
        <f t="shared" si="21"/>
        <v>Endeavour</v>
      </c>
      <c r="C48" s="3" t="str">
        <f t="shared" si="21"/>
        <v>Residential</v>
      </c>
      <c r="D48" s="3" t="str">
        <f t="shared" si="21"/>
        <v>without CL</v>
      </c>
      <c r="E48" s="3" t="s">
        <v>21</v>
      </c>
      <c r="F48" s="228">
        <f t="array" ref="F48">IFERROR(INDEX(Usage!$B$5:$P$18,MATCH($B48,Usage!$B$5:$B$18,0),MATCH($C48&amp;$D48&amp;$E48&amp;"Total",Usage!$B$5:$S$5&amp;Usage!$B$6:$S$6&amp;Usage!$B$7:$S$7&amp;Usage!$B$13:$S$13,0)),0)</f>
        <v>4900</v>
      </c>
      <c r="G48" s="3" t="s">
        <v>71</v>
      </c>
      <c r="H48" s="224"/>
      <c r="I48" s="224">
        <f t="array" ref="I48">IFERROR(INDEX('Detail inputs'!$B$3:$K$193,MATCH($B48&amp;$G48&amp;I$5,'Detail inputs'!$B$3:$B$193&amp;'Detail inputs'!$G$3:$G$193&amp;'Detail inputs'!$H$3:$H$193,0),MATCH(I$4,'Detail inputs'!$B$3:$K$3,0)),0)</f>
        <v>11.52</v>
      </c>
      <c r="J48" s="224">
        <f t="shared" si="22"/>
        <v>56.448</v>
      </c>
      <c r="K48" s="246">
        <f>IFERROR(J48/J52,"")</f>
        <v>0.59658208182288974</v>
      </c>
      <c r="L48" s="243"/>
      <c r="M48" s="246">
        <f t="shared" si="23"/>
        <v>-5.3819444444444531E-2</v>
      </c>
      <c r="N48" s="243"/>
      <c r="O48" s="224"/>
      <c r="P48" s="224">
        <f t="array" ref="P48">IFERROR(INDEX('Detail inputs'!$B$3:$K$193,MATCH($B48&amp;$G48&amp;P$5,'Detail inputs'!$B$3:$B$193&amp;'Detail inputs'!$G$3:$G$193&amp;'Detail inputs'!$H$3:$H$193,0),MATCH(P$4,'Detail inputs'!$B$3:$K$3,0)),0)</f>
        <v>10.9</v>
      </c>
      <c r="Q48" s="224">
        <f t="shared" si="24"/>
        <v>53.41</v>
      </c>
      <c r="R48" s="246">
        <f>IFERROR(Q48/Q52,"")</f>
        <v>0.52353506243996151</v>
      </c>
      <c r="U48" s="3"/>
      <c r="V48" s="3"/>
    </row>
    <row r="49" spans="1:22" s="19" customFormat="1" outlineLevel="1" x14ac:dyDescent="0.35">
      <c r="A49" s="3"/>
      <c r="B49" s="3" t="str">
        <f t="shared" si="21"/>
        <v>Endeavour</v>
      </c>
      <c r="C49" s="3" t="str">
        <f t="shared" si="21"/>
        <v>Residential</v>
      </c>
      <c r="D49" s="3" t="str">
        <f t="shared" si="21"/>
        <v>without CL</v>
      </c>
      <c r="E49" s="3" t="s">
        <v>21</v>
      </c>
      <c r="F49" s="228">
        <f t="array" ref="F49">IFERROR(INDEX(Usage!$B$5:$P$18,MATCH($B49,Usage!$B$5:$B$18,0),MATCH($C49&amp;$D49&amp;$E49&amp;"Total",Usage!$B$5:$S$5&amp;Usage!$B$6:$S$6&amp;Usage!$B$7:$S$7&amp;Usage!$B$13:$S$13,0)),0)</f>
        <v>4900</v>
      </c>
      <c r="G49" s="3" t="s">
        <v>72</v>
      </c>
      <c r="H49" s="224"/>
      <c r="I49" s="224">
        <f t="array" ref="I49">IFERROR(INDEX('Detail inputs'!$B$3:$K$193,MATCH($B49&amp;$G49&amp;I$5,'Detail inputs'!$B$3:$B$193&amp;'Detail inputs'!$G$3:$G$193&amp;'Detail inputs'!$H$3:$H$193,0),MATCH(I$4,'Detail inputs'!$B$3:$K$3,0)),0)</f>
        <v>2.48</v>
      </c>
      <c r="J49" s="224">
        <f t="shared" si="22"/>
        <v>12.151999999999999</v>
      </c>
      <c r="K49" s="246">
        <f>IFERROR(J49/J52,"")</f>
        <v>0.12843086483687208</v>
      </c>
      <c r="L49" s="243"/>
      <c r="M49" s="246">
        <f t="shared" si="23"/>
        <v>0.36693548387096797</v>
      </c>
      <c r="N49" s="243"/>
      <c r="O49" s="224"/>
      <c r="P49" s="224">
        <f t="array" ref="P49">IFERROR(INDEX('Detail inputs'!$B$3:$K$193,MATCH($B49&amp;$G49&amp;P$5,'Detail inputs'!$B$3:$B$193&amp;'Detail inputs'!$G$3:$G$193&amp;'Detail inputs'!$H$3:$H$193,0),MATCH(P$4,'Detail inputs'!$B$3:$K$3,0)),0)</f>
        <v>3.39</v>
      </c>
      <c r="Q49" s="224">
        <f t="shared" si="24"/>
        <v>16.611000000000001</v>
      </c>
      <c r="R49" s="246">
        <f>IFERROR(Q49/Q52,"")</f>
        <v>0.16282420749279539</v>
      </c>
      <c r="U49" s="3"/>
      <c r="V49" s="3"/>
    </row>
    <row r="50" spans="1:22" s="19" customFormat="1" outlineLevel="1" x14ac:dyDescent="0.35">
      <c r="A50" s="3"/>
      <c r="B50" s="3" t="str">
        <f t="shared" si="21"/>
        <v>Endeavour</v>
      </c>
      <c r="C50" s="3" t="str">
        <f t="shared" si="21"/>
        <v>Residential</v>
      </c>
      <c r="D50" s="3" t="str">
        <f t="shared" si="21"/>
        <v>without CL</v>
      </c>
      <c r="E50" s="3" t="s">
        <v>21</v>
      </c>
      <c r="F50" s="228">
        <f t="array" ref="F50">IFERROR(INDEX(Usage!$B$5:$P$18,MATCH($B50,Usage!$B$5:$B$18,0),MATCH($C50&amp;$D50&amp;$E50&amp;"Total",Usage!$B$5:$S$5&amp;Usage!$B$6:$S$6&amp;Usage!$B$7:$S$7&amp;Usage!$B$13:$S$13,0)),0)</f>
        <v>4900</v>
      </c>
      <c r="G50" s="3" t="s">
        <v>187</v>
      </c>
      <c r="H50" s="224"/>
      <c r="I50" s="224">
        <f t="array" ref="I50">IFERROR(INDEX('Detail inputs'!$B$3:$K$193,MATCH($B50&amp;$G50&amp;I$5,'Detail inputs'!$B$3:$B$193&amp;'Detail inputs'!$G$3:$G$193&amp;'Detail inputs'!$H$3:$H$193,0),MATCH(I$4,'Detail inputs'!$B$3:$K$3,0)),0)</f>
        <v>0</v>
      </c>
      <c r="J50" s="224">
        <f t="shared" si="22"/>
        <v>0</v>
      </c>
      <c r="K50" s="246">
        <f>IFERROR(J50/J52,"")</f>
        <v>0</v>
      </c>
      <c r="L50" s="243"/>
      <c r="M50" s="246" t="str">
        <f t="shared" si="23"/>
        <v/>
      </c>
      <c r="N50" s="243"/>
      <c r="O50" s="224"/>
      <c r="P50" s="224">
        <f t="array" ref="P50">IFERROR(INDEX('Detail inputs'!$B$3:$K$193,MATCH($B50&amp;$G50&amp;P$5,'Detail inputs'!$B$3:$B$193&amp;'Detail inputs'!$G$3:$G$193&amp;'Detail inputs'!$H$3:$H$193,0),MATCH(P$4,'Detail inputs'!$B$3:$K$3,0)),0)</f>
        <v>0.21803668755877201</v>
      </c>
      <c r="Q50" s="224">
        <f t="shared" si="24"/>
        <v>1.0683797690379828</v>
      </c>
      <c r="R50" s="246">
        <f>IFERROR(Q50/Q52,"")</f>
        <v>1.0472463379383862E-2</v>
      </c>
      <c r="U50" s="3"/>
      <c r="V50" s="3"/>
    </row>
    <row r="51" spans="1:22" s="19" customFormat="1" outlineLevel="1" x14ac:dyDescent="0.35">
      <c r="A51" s="3"/>
      <c r="B51" s="3" t="str">
        <f t="shared" si="21"/>
        <v>Endeavour</v>
      </c>
      <c r="C51" s="3" t="str">
        <f t="shared" si="21"/>
        <v>Residential</v>
      </c>
      <c r="D51" s="3" t="str">
        <f t="shared" si="21"/>
        <v>without CL</v>
      </c>
      <c r="E51" s="3" t="s">
        <v>21</v>
      </c>
      <c r="F51" s="228">
        <f t="array" ref="F51">IFERROR(INDEX(Usage!$B$5:$P$18,MATCH($B51,Usage!$B$5:$B$18,0),MATCH($C51&amp;$D51&amp;$E51&amp;"Total",Usage!$B$5:$S$5&amp;Usage!$B$6:$S$6&amp;Usage!$B$7:$S$7&amp;Usage!$B$13:$S$13,0)),0)</f>
        <v>4900</v>
      </c>
      <c r="G51" s="3" t="s">
        <v>69</v>
      </c>
      <c r="H51" s="224"/>
      <c r="I51" s="224" cm="1">
        <f t="array" ref="I51">ROUND(IFERROR(INDEX('Detail inputs'!$B$3:$K$193,MATCH($B51&amp;$C51&amp;$E51&amp;$G51&amp;I$5,'Detail inputs'!$B$3:$B$193&amp;'Detail inputs'!$D$3:$D$193&amp;'Detail inputs'!$F$3:$F$193&amp;'Detail inputs'!$G$3:$G$193&amp;'Detail inputs'!$H$3:$H$193,0),MATCH(I$4,'Detail inputs'!$B$3:$K$3,0)),0)*SUM(I47:I50),2)</f>
        <v>1.0900000000000001</v>
      </c>
      <c r="J51" s="224">
        <f t="shared" si="22"/>
        <v>5.3410000000000002</v>
      </c>
      <c r="K51" s="246">
        <f>IFERROR(J51/J52,"")</f>
        <v>5.6447436561367172E-2</v>
      </c>
      <c r="L51" s="243"/>
      <c r="M51" s="246">
        <f t="shared" si="23"/>
        <v>8.256880733944949E-2</v>
      </c>
      <c r="N51" s="243"/>
      <c r="O51" s="224"/>
      <c r="P51" s="224" cm="1">
        <f t="array" ref="P51">ROUND(IFERROR(INDEX('Detail inputs'!$B$3:$K$193,MATCH($B51&amp;$C51&amp;$E51&amp;$G51&amp;P$5,'Detail inputs'!$B$3:$B$193&amp;'Detail inputs'!$D$3:$D$193&amp;'Detail inputs'!$F$3:$F$193&amp;'Detail inputs'!$G$3:$G$193&amp;'Detail inputs'!$H$3:$H$193,0),MATCH(P$4,'Detail inputs'!$B$3:$K$3,0)),0)*SUM(P47:P50),2)</f>
        <v>1.18</v>
      </c>
      <c r="Q51" s="224">
        <f t="shared" si="24"/>
        <v>5.782</v>
      </c>
      <c r="R51" s="246">
        <f>IFERROR(Q51/Q52,"")</f>
        <v>5.6676272814601344E-2</v>
      </c>
      <c r="U51" s="3"/>
      <c r="V51" s="3"/>
    </row>
    <row r="52" spans="1:22" s="65" customFormat="1" x14ac:dyDescent="0.3">
      <c r="A52" s="60"/>
      <c r="B52" s="60" t="str">
        <f t="shared" si="21"/>
        <v>Endeavour</v>
      </c>
      <c r="C52" s="60" t="str">
        <f t="shared" si="21"/>
        <v>Residential</v>
      </c>
      <c r="D52" s="60" t="str">
        <f t="shared" si="21"/>
        <v>without CL</v>
      </c>
      <c r="E52" s="3" t="s">
        <v>21</v>
      </c>
      <c r="F52" s="228">
        <f t="array" ref="F52">IFERROR(INDEX(Usage!$B$5:$P$18,MATCH($B52,Usage!$B$5:$B$18,0),MATCH($C52&amp;$D52&amp;$E52&amp;"Total",Usage!$B$5:$S$5&amp;Usage!$B$6:$S$6&amp;Usage!$B$7:$S$7&amp;Usage!$B$13:$S$13,0)),0)</f>
        <v>4900</v>
      </c>
      <c r="G52" s="60" t="s">
        <v>53</v>
      </c>
      <c r="H52" s="226"/>
      <c r="I52" s="226">
        <f t="array" ref="I52">INDEX('Key inputs'!$B$16:$N$40,MATCH($B52&amp;$C52&amp;$E52,'Key inputs'!$B$16:$B$40&amp;'Key inputs'!$C$16:$C$40&amp;'Key inputs'!$D$16:$D$40,0),MATCH($A$2&amp;I$4,'Key inputs'!$B$17:$N$17&amp;'Key inputs'!$B$18:$N$18,0))</f>
        <v>19.309999999999999</v>
      </c>
      <c r="J52" s="224">
        <f t="shared" si="22"/>
        <v>94.619</v>
      </c>
      <c r="K52" s="247"/>
      <c r="L52" s="253"/>
      <c r="M52" s="247">
        <f t="shared" si="23"/>
        <v>7.8197824961160123E-2</v>
      </c>
      <c r="N52" s="253"/>
      <c r="O52" s="226"/>
      <c r="P52" s="226">
        <f t="array" ref="P52">INDEX('Key inputs'!$B$16:$N$40,MATCH($B52&amp;$C52&amp;$E52,'Key inputs'!$B$16:$B$40&amp;'Key inputs'!$C$16:$C$40&amp;'Key inputs'!$D$16:$D$40,0),MATCH($A$2&amp;P$4,'Key inputs'!$B$17:$N$17&amp;'Key inputs'!$B$18:$N$18,0))</f>
        <v>20.82</v>
      </c>
      <c r="Q52" s="224">
        <f t="shared" si="24"/>
        <v>102.018</v>
      </c>
      <c r="R52" s="247"/>
      <c r="S52" s="104"/>
      <c r="T52" s="104"/>
      <c r="U52" s="97"/>
      <c r="V52" s="97"/>
    </row>
    <row r="53" spans="1:22" s="19" customFormat="1" outlineLevel="1" x14ac:dyDescent="0.35">
      <c r="A53" s="3"/>
      <c r="B53" s="3" t="str">
        <f t="shared" si="21"/>
        <v>Endeavour</v>
      </c>
      <c r="C53" s="3" t="str">
        <f t="shared" si="21"/>
        <v>Residential</v>
      </c>
      <c r="D53" s="3" t="str">
        <f t="shared" si="21"/>
        <v>without CL</v>
      </c>
      <c r="E53" s="3"/>
      <c r="F53" s="228"/>
      <c r="G53" s="60" t="s">
        <v>35</v>
      </c>
      <c r="H53" s="226"/>
      <c r="I53" s="226"/>
      <c r="J53" s="226">
        <f>J52*GST</f>
        <v>9.4619</v>
      </c>
      <c r="K53" s="247"/>
      <c r="L53" s="253"/>
      <c r="M53" s="247"/>
      <c r="N53" s="253"/>
      <c r="O53" s="226"/>
      <c r="P53" s="226"/>
      <c r="Q53" s="226">
        <f>Q52*GST</f>
        <v>10.2018</v>
      </c>
      <c r="R53" s="248"/>
      <c r="U53" s="3"/>
      <c r="V53" s="3"/>
    </row>
    <row r="54" spans="1:22" s="19" customFormat="1" x14ac:dyDescent="0.35">
      <c r="A54" s="3"/>
      <c r="B54" s="3" t="str">
        <f t="shared" si="21"/>
        <v>Endeavour</v>
      </c>
      <c r="C54" s="3" t="str">
        <f t="shared" si="21"/>
        <v>Residential</v>
      </c>
      <c r="D54" s="3" t="str">
        <f t="shared" si="21"/>
        <v>without CL</v>
      </c>
      <c r="E54" s="3"/>
      <c r="F54" s="228"/>
      <c r="G54" s="5" t="s">
        <v>77</v>
      </c>
      <c r="H54" s="227"/>
      <c r="I54" s="227"/>
      <c r="J54" s="227">
        <f>SUM(J52:J53)</f>
        <v>104.0809</v>
      </c>
      <c r="K54" s="248"/>
      <c r="L54" s="254"/>
      <c r="M54" s="248">
        <f>IF(OR(J54=0,Q54=""),"",Q54/J54-1)</f>
        <v>7.8197824961160123E-2</v>
      </c>
      <c r="N54" s="254"/>
      <c r="O54" s="227"/>
      <c r="P54" s="227"/>
      <c r="Q54" s="227">
        <f>SUM(Q52:Q53)</f>
        <v>112.21980000000001</v>
      </c>
      <c r="R54" s="248"/>
      <c r="U54" s="3"/>
      <c r="V54" s="3"/>
    </row>
    <row r="55" spans="1:22" s="19" customFormat="1" x14ac:dyDescent="0.35">
      <c r="A55" s="3"/>
      <c r="B55" s="3"/>
      <c r="C55" s="3"/>
      <c r="D55" s="3"/>
      <c r="E55" s="3"/>
      <c r="F55" s="228"/>
      <c r="G55" s="3"/>
      <c r="H55" s="224"/>
      <c r="I55" s="224"/>
      <c r="J55" s="224"/>
      <c r="K55" s="246"/>
      <c r="L55" s="252"/>
      <c r="M55" s="246"/>
      <c r="N55" s="252"/>
      <c r="O55" s="224"/>
      <c r="P55" s="224"/>
      <c r="Q55" s="224"/>
      <c r="R55" s="246"/>
      <c r="U55" s="3"/>
      <c r="V55" s="3"/>
    </row>
    <row r="56" spans="1:22" s="19" customFormat="1" x14ac:dyDescent="0.35">
      <c r="A56" s="3"/>
      <c r="B56" s="5" t="s">
        <v>4</v>
      </c>
      <c r="C56" s="5" t="s">
        <v>6</v>
      </c>
      <c r="D56" s="5" t="s">
        <v>137</v>
      </c>
      <c r="E56" s="3"/>
      <c r="F56" s="228"/>
      <c r="G56" s="3"/>
      <c r="H56" s="224"/>
      <c r="I56" s="224"/>
      <c r="J56" s="224"/>
      <c r="K56" s="246"/>
      <c r="L56" s="252"/>
      <c r="M56" s="246"/>
      <c r="N56" s="252"/>
      <c r="O56" s="224"/>
      <c r="P56" s="224"/>
      <c r="Q56" s="224"/>
      <c r="R56" s="246"/>
      <c r="U56" s="3"/>
      <c r="V56" s="3"/>
    </row>
    <row r="57" spans="1:22" s="19" customFormat="1" outlineLevel="1" x14ac:dyDescent="0.35">
      <c r="A57" s="3"/>
      <c r="B57" s="3" t="str">
        <f t="shared" ref="B57:B70" si="25">B56</f>
        <v>Endeavour</v>
      </c>
      <c r="C57" s="3" t="str">
        <f t="shared" ref="C57:C70" si="26">C56</f>
        <v>Residential</v>
      </c>
      <c r="D57" s="3" t="str">
        <f t="shared" ref="D57:D70" si="27">D56</f>
        <v>with CL</v>
      </c>
      <c r="E57" s="3" t="s">
        <v>21</v>
      </c>
      <c r="F57" s="228">
        <f t="array" ref="F57">IFERROR(INDEX(Usage!$B$5:$P$18,MATCH($B57,Usage!$B$5:$B$18,0),MATCH($C57&amp;$D57&amp;$E57&amp;"Total",Usage!$B$5:$S$5&amp;Usage!$B$6:$S$6&amp;Usage!$B$7:$S$7&amp;Usage!$B$13:$S$13,0)),0)</f>
        <v>5200</v>
      </c>
      <c r="G57" s="3" t="s">
        <v>53</v>
      </c>
      <c r="H57" s="224"/>
      <c r="I57" s="224">
        <f>I52</f>
        <v>19.309999999999999</v>
      </c>
      <c r="J57" s="224">
        <f t="shared" ref="J57:J69" si="28">IF(AND(H57="",I57=""),"",H57+I57*$F57/1000)</f>
        <v>100.41200000000001</v>
      </c>
      <c r="K57" s="246"/>
      <c r="L57" s="252"/>
      <c r="M57" s="246">
        <f>IF(OR(J57=0,Q57=""),"",Q57/J57-1)</f>
        <v>7.8197824961159901E-2</v>
      </c>
      <c r="N57" s="252"/>
      <c r="O57" s="224"/>
      <c r="P57" s="224">
        <f>P52</f>
        <v>20.82</v>
      </c>
      <c r="Q57" s="224">
        <f t="shared" ref="Q57:Q69" si="29">IF(AND(O57="",P57=""),"",O57+P57*$F57/1000)</f>
        <v>108.264</v>
      </c>
      <c r="R57" s="246"/>
      <c r="U57" s="97"/>
      <c r="V57" s="97"/>
    </row>
    <row r="58" spans="1:22" s="19" customFormat="1" outlineLevel="1" x14ac:dyDescent="0.35">
      <c r="A58" s="3"/>
      <c r="B58" s="3" t="str">
        <f t="shared" si="25"/>
        <v>Endeavour</v>
      </c>
      <c r="C58" s="3" t="str">
        <f t="shared" si="26"/>
        <v>Residential</v>
      </c>
      <c r="D58" s="3" t="str">
        <f t="shared" si="27"/>
        <v>with CL</v>
      </c>
      <c r="E58" s="3" t="s">
        <v>15</v>
      </c>
      <c r="F58" s="228">
        <f t="array" ref="F58">IFERROR(INDEX(Usage!$B$5:$P$18,MATCH($B58,Usage!$B$5:$B$18,0),MATCH($C58&amp;$D58&amp;$E58,Usage!$B$5:$S$5&amp;Usage!$B$6:$S$6&amp;Usage!$B$7:$S$7,0)),0)</f>
        <v>1474</v>
      </c>
      <c r="G58" s="3" t="s">
        <v>70</v>
      </c>
      <c r="H58" s="224"/>
      <c r="I58" s="224">
        <f t="array" ref="I58">IFERROR(INDEX('Detail inputs'!$B$3:$K$193,MATCH($B58&amp;$G58&amp;I$5,'Detail inputs'!$B$3:$B$193&amp;'Detail inputs'!$G$3:$G$193&amp;'Detail inputs'!$H$3:$H$193,0),MATCH(I$4,'Detail inputs'!$B$3:$K$3,0)),0)</f>
        <v>4.22</v>
      </c>
      <c r="J58" s="224">
        <f t="shared" si="28"/>
        <v>6.2202799999999998</v>
      </c>
      <c r="K58" s="246">
        <f>IFERROR(J58/J63,"")</f>
        <v>0.21853961677887104</v>
      </c>
      <c r="L58" s="243"/>
      <c r="M58" s="246">
        <f t="shared" ref="M58:M70" si="30">IF(OR(J58=0,Q58=""),"",Q58/J58-1)</f>
        <v>0.21563981042654023</v>
      </c>
      <c r="N58" s="243"/>
      <c r="O58" s="224"/>
      <c r="P58" s="224">
        <f t="array" ref="P58">IFERROR(INDEX('Detail inputs'!$B$3:$K$193,MATCH($B58&amp;$G58&amp;P$5,'Detail inputs'!$B$3:$B$193&amp;'Detail inputs'!$G$3:$G$193&amp;'Detail inputs'!$H$3:$H$193,0),MATCH(P$4,'Detail inputs'!$B$3:$K$3,0)),0)</f>
        <v>5.13</v>
      </c>
      <c r="Q58" s="224">
        <f t="shared" si="29"/>
        <v>7.5616199999999996</v>
      </c>
      <c r="R58" s="246">
        <f>IFERROR(Q58/Q63,"")</f>
        <v>0.24639769452449564</v>
      </c>
      <c r="U58" s="3"/>
      <c r="V58" s="3"/>
    </row>
    <row r="59" spans="1:22" s="19" customFormat="1" outlineLevel="1" x14ac:dyDescent="0.35">
      <c r="A59" s="3"/>
      <c r="B59" s="3" t="str">
        <f t="shared" si="25"/>
        <v>Endeavour</v>
      </c>
      <c r="C59" s="3" t="str">
        <f t="shared" si="26"/>
        <v>Residential</v>
      </c>
      <c r="D59" s="3" t="str">
        <f t="shared" si="27"/>
        <v>with CL</v>
      </c>
      <c r="E59" s="3" t="s">
        <v>15</v>
      </c>
      <c r="F59" s="228">
        <f t="array" ref="F59">IFERROR(INDEX(Usage!$B$5:$P$18,MATCH($B59,Usage!$B$5:$B$18,0),MATCH($C59&amp;$D59&amp;$E59,Usage!$B$5:$S$5&amp;Usage!$B$6:$S$6&amp;Usage!$B$7:$S$7,0)),0)</f>
        <v>1474</v>
      </c>
      <c r="G59" s="3" t="s">
        <v>71</v>
      </c>
      <c r="H59" s="224"/>
      <c r="I59" s="224">
        <f t="array" ref="I59">IFERROR(INDEX('Detail inputs'!$B$3:$K$193,MATCH($B59&amp;$G59&amp;I$5,'Detail inputs'!$B$3:$B$193&amp;'Detail inputs'!$G$3:$G$193&amp;'Detail inputs'!$H$3:$H$193,0),MATCH(I$4,'Detail inputs'!$B$3:$K$3,0)),0)</f>
        <v>11.52</v>
      </c>
      <c r="J59" s="224">
        <f t="shared" si="28"/>
        <v>16.98048</v>
      </c>
      <c r="K59" s="246">
        <f>IFERROR(J59/J63,"")</f>
        <v>0.59658208182288974</v>
      </c>
      <c r="L59" s="243"/>
      <c r="M59" s="246">
        <f t="shared" si="30"/>
        <v>-5.381944444444442E-2</v>
      </c>
      <c r="N59" s="243"/>
      <c r="O59" s="224"/>
      <c r="P59" s="224">
        <f t="array" ref="P59">IFERROR(INDEX('Detail inputs'!$B$3:$K$193,MATCH($B59&amp;$G59&amp;P$5,'Detail inputs'!$B$3:$B$193&amp;'Detail inputs'!$G$3:$G$193&amp;'Detail inputs'!$H$3:$H$193,0),MATCH(P$4,'Detail inputs'!$B$3:$K$3,0)),0)</f>
        <v>10.9</v>
      </c>
      <c r="Q59" s="224">
        <f t="shared" si="29"/>
        <v>16.066600000000001</v>
      </c>
      <c r="R59" s="246">
        <f>IFERROR(Q59/Q63,"")</f>
        <v>0.52353506243996162</v>
      </c>
      <c r="U59" s="3"/>
      <c r="V59" s="3"/>
    </row>
    <row r="60" spans="1:22" s="19" customFormat="1" outlineLevel="1" x14ac:dyDescent="0.35">
      <c r="A60" s="3"/>
      <c r="B60" s="3" t="str">
        <f t="shared" si="25"/>
        <v>Endeavour</v>
      </c>
      <c r="C60" s="3" t="str">
        <f t="shared" si="26"/>
        <v>Residential</v>
      </c>
      <c r="D60" s="3" t="str">
        <f t="shared" si="27"/>
        <v>with CL</v>
      </c>
      <c r="E60" s="3" t="s">
        <v>15</v>
      </c>
      <c r="F60" s="228">
        <f t="array" ref="F60">IFERROR(INDEX(Usage!$B$5:$P$18,MATCH($B60,Usage!$B$5:$B$18,0),MATCH($C60&amp;$D60&amp;$E60,Usage!$B$5:$S$5&amp;Usage!$B$6:$S$6&amp;Usage!$B$7:$S$7,0)),0)</f>
        <v>1474</v>
      </c>
      <c r="G60" s="3" t="s">
        <v>72</v>
      </c>
      <c r="H60" s="224"/>
      <c r="I60" s="224">
        <f t="array" ref="I60">IFERROR(INDEX('Detail inputs'!$B$3:$K$193,MATCH($B60&amp;$G60&amp;I$5,'Detail inputs'!$B$3:$B$193&amp;'Detail inputs'!$G$3:$G$193&amp;'Detail inputs'!$H$3:$H$193,0),MATCH(I$4,'Detail inputs'!$B$3:$K$3,0)),0)</f>
        <v>2.48</v>
      </c>
      <c r="J60" s="224">
        <f t="shared" si="28"/>
        <v>3.6555200000000001</v>
      </c>
      <c r="K60" s="246">
        <f>IFERROR(J60/J63,"")</f>
        <v>0.12843086483687211</v>
      </c>
      <c r="L60" s="243"/>
      <c r="M60" s="246">
        <f t="shared" si="30"/>
        <v>0.36693548387096797</v>
      </c>
      <c r="N60" s="243"/>
      <c r="O60" s="224"/>
      <c r="P60" s="224">
        <f t="array" ref="P60">IFERROR(INDEX('Detail inputs'!$B$3:$K$193,MATCH($B60&amp;$G60&amp;P$5,'Detail inputs'!$B$3:$B$193&amp;'Detail inputs'!$G$3:$G$193&amp;'Detail inputs'!$H$3:$H$193,0),MATCH(P$4,'Detail inputs'!$B$3:$K$3,0)),0)</f>
        <v>3.39</v>
      </c>
      <c r="Q60" s="224">
        <f t="shared" si="29"/>
        <v>4.9968600000000007</v>
      </c>
      <c r="R60" s="246">
        <f>IFERROR(Q60/Q63,"")</f>
        <v>0.16282420749279541</v>
      </c>
      <c r="U60" s="3"/>
      <c r="V60" s="3"/>
    </row>
    <row r="61" spans="1:22" s="19" customFormat="1" outlineLevel="1" x14ac:dyDescent="0.35">
      <c r="A61" s="3"/>
      <c r="B61" s="3" t="str">
        <f t="shared" si="25"/>
        <v>Endeavour</v>
      </c>
      <c r="C61" s="3" t="str">
        <f t="shared" si="26"/>
        <v>Residential</v>
      </c>
      <c r="D61" s="3" t="str">
        <f t="shared" si="27"/>
        <v>with CL</v>
      </c>
      <c r="E61" s="3" t="s">
        <v>15</v>
      </c>
      <c r="F61" s="228">
        <f t="array" ref="F61">IFERROR(INDEX(Usage!$B$5:$P$18,MATCH($B61,Usage!$B$5:$B$18,0),MATCH($C61&amp;$D61&amp;$E61,Usage!$B$5:$S$5&amp;Usage!$B$6:$S$6&amp;Usage!$B$7:$S$7,0)),0)</f>
        <v>1474</v>
      </c>
      <c r="G61" s="3" t="s">
        <v>187</v>
      </c>
      <c r="H61" s="224"/>
      <c r="I61" s="224">
        <f t="array" ref="I61">IFERROR(INDEX('Detail inputs'!$B$3:$K$193,MATCH($B61&amp;$G61&amp;I$5,'Detail inputs'!$B$3:$B$193&amp;'Detail inputs'!$G$3:$G$193&amp;'Detail inputs'!$H$3:$H$193,0),MATCH(I$4,'Detail inputs'!$B$3:$K$3,0)),0)</f>
        <v>0</v>
      </c>
      <c r="J61" s="224">
        <f t="shared" ref="J61" si="31">IF(AND(H61="",I61=""),"",H61+I61*$F61/1000)</f>
        <v>0</v>
      </c>
      <c r="K61" s="246">
        <f>IFERROR(J61/J63,"")</f>
        <v>0</v>
      </c>
      <c r="L61" s="243"/>
      <c r="M61" s="246" t="str">
        <f t="shared" ref="M61" si="32">IF(OR(J61=0,Q61=""),"",Q61/J61-1)</f>
        <v/>
      </c>
      <c r="N61" s="243"/>
      <c r="O61" s="224"/>
      <c r="P61" s="224">
        <f t="array" ref="P61">IFERROR(INDEX('Detail inputs'!$B$3:$K$193,MATCH($B61&amp;$G61&amp;P$5,'Detail inputs'!$B$3:$B$193&amp;'Detail inputs'!$G$3:$G$193&amp;'Detail inputs'!$H$3:$H$193,0),MATCH(P$4,'Detail inputs'!$B$3:$K$3,0)),0)</f>
        <v>0.21803668755877201</v>
      </c>
      <c r="Q61" s="224">
        <f t="shared" ref="Q61" si="33">IF(AND(O61="",P61=""),"",O61+P61*$F61/1000)</f>
        <v>0.32138607746162995</v>
      </c>
      <c r="R61" s="246">
        <f>IFERROR(Q61/Q63,"")</f>
        <v>1.0472463379383862E-2</v>
      </c>
      <c r="U61" s="3"/>
      <c r="V61" s="3"/>
    </row>
    <row r="62" spans="1:22" s="19" customFormat="1" outlineLevel="1" x14ac:dyDescent="0.35">
      <c r="A62" s="3"/>
      <c r="B62" s="3" t="str">
        <f t="shared" si="25"/>
        <v>Endeavour</v>
      </c>
      <c r="C62" s="3" t="str">
        <f t="shared" si="26"/>
        <v>Residential</v>
      </c>
      <c r="D62" s="3" t="str">
        <f t="shared" si="27"/>
        <v>with CL</v>
      </c>
      <c r="E62" s="3" t="s">
        <v>15</v>
      </c>
      <c r="F62" s="228">
        <f t="array" ref="F62">IFERROR(INDEX(Usage!$B$5:$P$18,MATCH($B62,Usage!$B$5:$B$18,0),MATCH($C62&amp;$D62&amp;$E62,Usage!$B$5:$S$5&amp;Usage!$B$6:$S$6&amp;Usage!$B$7:$S$7,0)),0)</f>
        <v>1474</v>
      </c>
      <c r="G62" s="3" t="s">
        <v>69</v>
      </c>
      <c r="H62" s="224"/>
      <c r="I62" s="224" cm="1">
        <f t="array" ref="I62">ROUND(IFERROR(INDEX('Detail inputs'!$B$3:$K$193,MATCH($B62&amp;$C62&amp;$E62&amp;$G62&amp;I$5,'Detail inputs'!$B$3:$B$193&amp;'Detail inputs'!$D$3:$D$193&amp;'Detail inputs'!$F$3:$F$193&amp;'Detail inputs'!$G$3:$G$193&amp;'Detail inputs'!$H$3:$H$193,0),MATCH(I$4,'Detail inputs'!$B$3:$K$3,0)),0)*SUM(I58:I61),2)</f>
        <v>1.0900000000000001</v>
      </c>
      <c r="J62" s="224">
        <f t="shared" si="28"/>
        <v>1.60666</v>
      </c>
      <c r="K62" s="246">
        <f>IFERROR(J62/J63,"")</f>
        <v>5.6447436561367165E-2</v>
      </c>
      <c r="L62" s="243"/>
      <c r="M62" s="246">
        <f t="shared" si="30"/>
        <v>8.256880733944949E-2</v>
      </c>
      <c r="N62" s="243"/>
      <c r="O62" s="224"/>
      <c r="P62" s="224" cm="1">
        <f t="array" ref="P62">ROUND(IFERROR(INDEX('Detail inputs'!$B$3:$K$193,MATCH($B62&amp;$C62&amp;$E62&amp;$G62&amp;P$5,'Detail inputs'!$B$3:$B$193&amp;'Detail inputs'!$D$3:$D$193&amp;'Detail inputs'!$F$3:$F$193&amp;'Detail inputs'!$G$3:$G$193&amp;'Detail inputs'!$H$3:$H$193,0),MATCH(P$4,'Detail inputs'!$B$3:$K$3,0)),0)*SUM(P58:P61),2)</f>
        <v>1.18</v>
      </c>
      <c r="Q62" s="224">
        <f t="shared" si="29"/>
        <v>1.73932</v>
      </c>
      <c r="R62" s="246">
        <f>IFERROR(Q62/Q63,"")</f>
        <v>5.6676272814601344E-2</v>
      </c>
      <c r="U62" s="3"/>
      <c r="V62" s="3"/>
    </row>
    <row r="63" spans="1:22" s="19" customFormat="1" outlineLevel="1" x14ac:dyDescent="0.3">
      <c r="A63" s="3"/>
      <c r="B63" s="3" t="str">
        <f t="shared" si="25"/>
        <v>Endeavour</v>
      </c>
      <c r="C63" s="3" t="str">
        <f t="shared" si="26"/>
        <v>Residential</v>
      </c>
      <c r="D63" s="3" t="str">
        <f t="shared" si="27"/>
        <v>with CL</v>
      </c>
      <c r="E63" s="3" t="s">
        <v>15</v>
      </c>
      <c r="F63" s="228">
        <f t="array" ref="F63">IFERROR(INDEX(Usage!$B$5:$P$18,MATCH($B63,Usage!$B$5:$B$18,0),MATCH($C63&amp;$D63&amp;$E63,Usage!$B$5:$S$5&amp;Usage!$B$6:$S$6&amp;Usage!$B$7:$S$7,0)),0)</f>
        <v>1474</v>
      </c>
      <c r="G63" s="3" t="s">
        <v>53</v>
      </c>
      <c r="H63" s="226"/>
      <c r="I63" s="226">
        <f t="array" ref="I63">INDEX('Key inputs'!$B$16:$N$40,MATCH($B63&amp;$C63&amp;$E63,'Key inputs'!$B$16:$B$40&amp;'Key inputs'!$C$16:$C$40&amp;'Key inputs'!$D$16:$D$40,0),MATCH($A$2&amp;I$4,'Key inputs'!$B$17:$N$17&amp;'Key inputs'!$B$18:$N$18,0))</f>
        <v>19.309999999999999</v>
      </c>
      <c r="J63" s="224">
        <f t="shared" si="28"/>
        <v>28.46294</v>
      </c>
      <c r="K63" s="247"/>
      <c r="L63" s="253"/>
      <c r="M63" s="247">
        <f t="shared" si="30"/>
        <v>7.8197824961160123E-2</v>
      </c>
      <c r="N63" s="253"/>
      <c r="O63" s="226"/>
      <c r="P63" s="226">
        <f t="array" ref="P63">INDEX('Key inputs'!$B$16:$N$40,MATCH($B63&amp;$C63&amp;$E63,'Key inputs'!$B$16:$B$40&amp;'Key inputs'!$C$16:$C$40&amp;'Key inputs'!$D$16:$D$40,0),MATCH($A$2&amp;P$4,'Key inputs'!$B$17:$N$17&amp;'Key inputs'!$B$18:$N$18,0))</f>
        <v>20.82</v>
      </c>
      <c r="Q63" s="224">
        <f t="shared" si="29"/>
        <v>30.688680000000002</v>
      </c>
      <c r="R63" s="247"/>
      <c r="S63" s="104"/>
      <c r="T63" s="104"/>
      <c r="U63" s="97"/>
      <c r="V63" s="97"/>
    </row>
    <row r="64" spans="1:22" s="19" customFormat="1" outlineLevel="1" x14ac:dyDescent="0.35">
      <c r="A64" s="3"/>
      <c r="B64" s="3" t="str">
        <f t="shared" si="25"/>
        <v>Endeavour</v>
      </c>
      <c r="C64" s="3" t="str">
        <f t="shared" si="26"/>
        <v>Residential</v>
      </c>
      <c r="D64" s="3" t="str">
        <f t="shared" si="27"/>
        <v>with CL</v>
      </c>
      <c r="E64" s="3" t="s">
        <v>16</v>
      </c>
      <c r="F64" s="228">
        <f t="array" ref="F64">IFERROR(INDEX(Usage!$B$5:$P$18,MATCH($B64,Usage!$B$5:$B$18,0),MATCH($C64&amp;$D64&amp;$E64,Usage!$B$5:$S$5&amp;Usage!$B$6:$S$6&amp;Usage!$B$7:$S$7,0)),0)</f>
        <v>726</v>
      </c>
      <c r="G64" s="3" t="s">
        <v>70</v>
      </c>
      <c r="H64" s="224"/>
      <c r="I64" s="224">
        <f t="array" ref="I64">IFERROR(INDEX('Detail inputs'!$B$3:$K$193,MATCH($B64&amp;$G64&amp;I$5,'Detail inputs'!$B$3:$B$193&amp;'Detail inputs'!$G$3:$G$193&amp;'Detail inputs'!$H$3:$H$193,0),MATCH(I$4,'Detail inputs'!$B$3:$K$3,0)),0)</f>
        <v>4.22</v>
      </c>
      <c r="J64" s="224">
        <f t="shared" si="28"/>
        <v>3.06372</v>
      </c>
      <c r="K64" s="246">
        <f>IFERROR(J64/J69,"")</f>
        <v>0.21853961677887104</v>
      </c>
      <c r="L64" s="243"/>
      <c r="M64" s="246">
        <f t="shared" si="30"/>
        <v>0.21563981042654023</v>
      </c>
      <c r="N64" s="243"/>
      <c r="O64" s="224"/>
      <c r="P64" s="224">
        <f t="array" ref="P64">IFERROR(INDEX('Detail inputs'!$B$3:$K$193,MATCH($B64&amp;$G64&amp;P$5,'Detail inputs'!$B$3:$B$193&amp;'Detail inputs'!$G$3:$G$193&amp;'Detail inputs'!$H$3:$H$193,0),MATCH(P$4,'Detail inputs'!$B$3:$K$3,0)),0)</f>
        <v>5.13</v>
      </c>
      <c r="Q64" s="224">
        <f t="shared" si="29"/>
        <v>3.72438</v>
      </c>
      <c r="R64" s="246">
        <f>IFERROR(Q64/Q69,"")</f>
        <v>0.24639769452449567</v>
      </c>
      <c r="U64" s="3"/>
      <c r="V64" s="3"/>
    </row>
    <row r="65" spans="1:22" s="19" customFormat="1" outlineLevel="1" x14ac:dyDescent="0.35">
      <c r="A65" s="3"/>
      <c r="B65" s="3" t="str">
        <f t="shared" si="25"/>
        <v>Endeavour</v>
      </c>
      <c r="C65" s="3" t="str">
        <f t="shared" si="26"/>
        <v>Residential</v>
      </c>
      <c r="D65" s="3" t="str">
        <f t="shared" si="27"/>
        <v>with CL</v>
      </c>
      <c r="E65" s="3" t="s">
        <v>16</v>
      </c>
      <c r="F65" s="228">
        <f t="array" ref="F65">IFERROR(INDEX(Usage!$B$5:$P$18,MATCH($B65,Usage!$B$5:$B$18,0),MATCH($C65&amp;$D65&amp;$E65,Usage!$B$5:$S$5&amp;Usage!$B$6:$S$6&amp;Usage!$B$7:$S$7,0)),0)</f>
        <v>726</v>
      </c>
      <c r="G65" s="3" t="s">
        <v>71</v>
      </c>
      <c r="H65" s="226"/>
      <c r="I65" s="226">
        <f t="array" ref="I65">IFERROR(INDEX('Detail inputs'!$B$3:$K$193,MATCH($B65&amp;$G65&amp;I$5,'Detail inputs'!$B$3:$B$193&amp;'Detail inputs'!$G$3:$G$193&amp;'Detail inputs'!$H$3:$H$193,0),MATCH(I$4,'Detail inputs'!$B$3:$K$3,0)),0)</f>
        <v>11.52</v>
      </c>
      <c r="J65" s="226">
        <f t="shared" si="28"/>
        <v>8.3635200000000012</v>
      </c>
      <c r="K65" s="247">
        <f>IFERROR(J65/J69,"")</f>
        <v>0.59658208182288974</v>
      </c>
      <c r="L65" s="244"/>
      <c r="M65" s="247">
        <f t="shared" si="30"/>
        <v>-5.3819444444444531E-2</v>
      </c>
      <c r="N65" s="244"/>
      <c r="O65" s="226"/>
      <c r="P65" s="226">
        <f t="array" ref="P65">IFERROR(INDEX('Detail inputs'!$B$3:$K$193,MATCH($B65&amp;$G65&amp;P$5,'Detail inputs'!$B$3:$B$193&amp;'Detail inputs'!$G$3:$G$193&amp;'Detail inputs'!$H$3:$H$193,0),MATCH(P$4,'Detail inputs'!$B$3:$K$3,0)),0)</f>
        <v>10.9</v>
      </c>
      <c r="Q65" s="226">
        <f t="shared" si="29"/>
        <v>7.9134000000000002</v>
      </c>
      <c r="R65" s="247">
        <f>IFERROR(Q65/Q69,"")</f>
        <v>0.52353506243996162</v>
      </c>
      <c r="U65" s="3"/>
      <c r="V65" s="3"/>
    </row>
    <row r="66" spans="1:22" s="19" customFormat="1" outlineLevel="1" x14ac:dyDescent="0.35">
      <c r="A66" s="3"/>
      <c r="B66" s="3" t="str">
        <f t="shared" si="25"/>
        <v>Endeavour</v>
      </c>
      <c r="C66" s="3" t="str">
        <f t="shared" si="26"/>
        <v>Residential</v>
      </c>
      <c r="D66" s="3" t="str">
        <f t="shared" si="27"/>
        <v>with CL</v>
      </c>
      <c r="E66" s="3" t="s">
        <v>16</v>
      </c>
      <c r="F66" s="228">
        <f t="array" ref="F66">IFERROR(INDEX(Usage!$B$5:$P$18,MATCH($B66,Usage!$B$5:$B$18,0),MATCH($C66&amp;$D66&amp;$E66,Usage!$B$5:$S$5&amp;Usage!$B$6:$S$6&amp;Usage!$B$7:$S$7,0)),0)</f>
        <v>726</v>
      </c>
      <c r="G66" s="3" t="s">
        <v>72</v>
      </c>
      <c r="H66" s="226"/>
      <c r="I66" s="226">
        <f t="array" ref="I66">IFERROR(INDEX('Detail inputs'!$B$3:$K$193,MATCH($B66&amp;$G66&amp;I$5,'Detail inputs'!$B$3:$B$193&amp;'Detail inputs'!$G$3:$G$193&amp;'Detail inputs'!$H$3:$H$193,0),MATCH(I$4,'Detail inputs'!$B$3:$K$3,0)),0)</f>
        <v>2.48</v>
      </c>
      <c r="J66" s="226">
        <f t="shared" si="28"/>
        <v>1.8004800000000001</v>
      </c>
      <c r="K66" s="247">
        <f>IFERROR(J66/J69,"")</f>
        <v>0.12843086483687211</v>
      </c>
      <c r="L66" s="244"/>
      <c r="M66" s="247">
        <f t="shared" si="30"/>
        <v>0.36693548387096753</v>
      </c>
      <c r="N66" s="244"/>
      <c r="O66" s="226"/>
      <c r="P66" s="226">
        <f t="array" ref="P66">IFERROR(INDEX('Detail inputs'!$B$3:$K$193,MATCH($B66&amp;$G66&amp;P$5,'Detail inputs'!$B$3:$B$193&amp;'Detail inputs'!$G$3:$G$193&amp;'Detail inputs'!$H$3:$H$193,0),MATCH(P$4,'Detail inputs'!$B$3:$K$3,0)),0)</f>
        <v>3.39</v>
      </c>
      <c r="Q66" s="226">
        <f t="shared" si="29"/>
        <v>2.4611399999999999</v>
      </c>
      <c r="R66" s="247">
        <f>IFERROR(Q66/Q69,"")</f>
        <v>0.16282420749279539</v>
      </c>
      <c r="U66" s="3"/>
      <c r="V66" s="3"/>
    </row>
    <row r="67" spans="1:22" s="19" customFormat="1" outlineLevel="1" x14ac:dyDescent="0.35">
      <c r="A67" s="3"/>
      <c r="B67" s="3" t="str">
        <f t="shared" si="25"/>
        <v>Endeavour</v>
      </c>
      <c r="C67" s="3" t="str">
        <f t="shared" si="26"/>
        <v>Residential</v>
      </c>
      <c r="D67" s="3" t="str">
        <f t="shared" si="27"/>
        <v>with CL</v>
      </c>
      <c r="E67" s="3" t="s">
        <v>16</v>
      </c>
      <c r="F67" s="228">
        <f t="array" ref="F67">IFERROR(INDEX(Usage!$B$5:$P$18,MATCH($B67,Usage!$B$5:$B$18,0),MATCH($C67&amp;$D67&amp;$E67,Usage!$B$5:$S$5&amp;Usage!$B$6:$S$6&amp;Usage!$B$7:$S$7,0)),0)</f>
        <v>726</v>
      </c>
      <c r="G67" s="3" t="s">
        <v>187</v>
      </c>
      <c r="H67" s="226"/>
      <c r="I67" s="226">
        <f t="array" ref="I67">IFERROR(INDEX('Detail inputs'!$B$3:$K$193,MATCH($B67&amp;$G67&amp;I$5,'Detail inputs'!$B$3:$B$193&amp;'Detail inputs'!$G$3:$G$193&amp;'Detail inputs'!$H$3:$H$193,0),MATCH(I$4,'Detail inputs'!$B$3:$K$3,0)),0)</f>
        <v>0</v>
      </c>
      <c r="J67" s="226">
        <f t="shared" ref="J67" si="34">IF(AND(H67="",I67=""),"",H67+I67*$F67/1000)</f>
        <v>0</v>
      </c>
      <c r="K67" s="247">
        <f>IFERROR(J67/J69,"")</f>
        <v>0</v>
      </c>
      <c r="L67" s="244"/>
      <c r="M67" s="247" t="str">
        <f t="shared" ref="M67" si="35">IF(OR(J67=0,Q67=""),"",Q67/J67-1)</f>
        <v/>
      </c>
      <c r="N67" s="244"/>
      <c r="O67" s="226"/>
      <c r="P67" s="226">
        <f t="array" ref="P67">IFERROR(INDEX('Detail inputs'!$B$3:$K$193,MATCH($B67&amp;$G67&amp;P$5,'Detail inputs'!$B$3:$B$193&amp;'Detail inputs'!$G$3:$G$193&amp;'Detail inputs'!$H$3:$H$193,0),MATCH(P$4,'Detail inputs'!$B$3:$K$3,0)),0)</f>
        <v>0.21803668755877201</v>
      </c>
      <c r="Q67" s="226">
        <f t="shared" ref="Q67" si="36">IF(AND(O67="",P67=""),"",O67+P67*$F67/1000)</f>
        <v>0.15829463516766848</v>
      </c>
      <c r="R67" s="247">
        <f>IFERROR(Q67/Q69,"")</f>
        <v>1.0472463379383862E-2</v>
      </c>
      <c r="U67" s="3"/>
      <c r="V67" s="3"/>
    </row>
    <row r="68" spans="1:22" s="19" customFormat="1" outlineLevel="1" x14ac:dyDescent="0.35">
      <c r="A68" s="3"/>
      <c r="B68" s="3" t="str">
        <f t="shared" si="25"/>
        <v>Endeavour</v>
      </c>
      <c r="C68" s="3" t="str">
        <f t="shared" si="26"/>
        <v>Residential</v>
      </c>
      <c r="D68" s="3" t="str">
        <f t="shared" si="27"/>
        <v>with CL</v>
      </c>
      <c r="E68" s="3" t="s">
        <v>16</v>
      </c>
      <c r="F68" s="228">
        <f t="array" ref="F68">IFERROR(INDEX(Usage!$B$5:$P$18,MATCH($B68,Usage!$B$5:$B$18,0),MATCH($C68&amp;$D68&amp;$E68,Usage!$B$5:$S$5&amp;Usage!$B$6:$S$6&amp;Usage!$B$7:$S$7,0)),0)</f>
        <v>726</v>
      </c>
      <c r="G68" s="3" t="s">
        <v>69</v>
      </c>
      <c r="H68" s="226"/>
      <c r="I68" s="224" cm="1">
        <f t="array" ref="I68">ROUND(IFERROR(INDEX('Detail inputs'!$B$3:$K$193,MATCH($B68&amp;$C68&amp;$E68&amp;$G68&amp;I$5,'Detail inputs'!$B$3:$B$193&amp;'Detail inputs'!$D$3:$D$193&amp;'Detail inputs'!$F$3:$F$193&amp;'Detail inputs'!$G$3:$G$193&amp;'Detail inputs'!$H$3:$H$193,0),MATCH(I$4,'Detail inputs'!$B$3:$K$3,0)),0)*SUM(I64:I67),2)</f>
        <v>1.0900000000000001</v>
      </c>
      <c r="J68" s="226">
        <f t="shared" si="28"/>
        <v>0.79134000000000004</v>
      </c>
      <c r="K68" s="247">
        <f>IFERROR(J68/J69,"")</f>
        <v>5.6447436561367172E-2</v>
      </c>
      <c r="L68" s="244"/>
      <c r="M68" s="247">
        <f t="shared" si="30"/>
        <v>8.256880733944949E-2</v>
      </c>
      <c r="N68" s="244"/>
      <c r="O68" s="226"/>
      <c r="P68" s="224" cm="1">
        <f t="array" ref="P68">ROUND(IFERROR(INDEX('Detail inputs'!$B$3:$K$193,MATCH($B68&amp;$C68&amp;$E68&amp;$G68&amp;P$5,'Detail inputs'!$B$3:$B$193&amp;'Detail inputs'!$D$3:$D$193&amp;'Detail inputs'!$F$3:$F$193&amp;'Detail inputs'!$G$3:$G$193&amp;'Detail inputs'!$H$3:$H$193,0),MATCH(P$4,'Detail inputs'!$B$3:$K$3,0)),0)*SUM(P64:P67),2)</f>
        <v>1.18</v>
      </c>
      <c r="Q68" s="226">
        <f t="shared" si="29"/>
        <v>0.85668</v>
      </c>
      <c r="R68" s="247">
        <f>IFERROR(Q68/Q69,"")</f>
        <v>5.6676272814601344E-2</v>
      </c>
      <c r="U68" s="3"/>
      <c r="V68" s="3"/>
    </row>
    <row r="69" spans="1:22" s="19" customFormat="1" outlineLevel="1" x14ac:dyDescent="0.3">
      <c r="A69" s="3"/>
      <c r="B69" s="3" t="str">
        <f t="shared" si="25"/>
        <v>Endeavour</v>
      </c>
      <c r="C69" s="3" t="str">
        <f t="shared" si="26"/>
        <v>Residential</v>
      </c>
      <c r="D69" s="3" t="str">
        <f t="shared" si="27"/>
        <v>with CL</v>
      </c>
      <c r="E69" s="3" t="s">
        <v>16</v>
      </c>
      <c r="F69" s="228">
        <f t="array" ref="F69">IFERROR(INDEX(Usage!$B$5:$P$18,MATCH($B69,Usage!$B$5:$B$18,0),MATCH($C69&amp;$D69&amp;$E69,Usage!$B$5:$S$5&amp;Usage!$B$6:$S$6&amp;Usage!$B$7:$S$7,0)),0)</f>
        <v>726</v>
      </c>
      <c r="G69" s="3" t="s">
        <v>53</v>
      </c>
      <c r="H69" s="226"/>
      <c r="I69" s="226">
        <f t="array" ref="I69">INDEX('Key inputs'!$B$16:$N$40,MATCH($B69&amp;$C69&amp;$E69,'Key inputs'!$B$16:$B$40&amp;'Key inputs'!$C$16:$C$40&amp;'Key inputs'!$D$16:$D$40,0),MATCH($A$2&amp;I$4,'Key inputs'!$B$17:$N$17&amp;'Key inputs'!$B$18:$N$18,0))</f>
        <v>19.309999999999999</v>
      </c>
      <c r="J69" s="224">
        <f t="shared" si="28"/>
        <v>14.01906</v>
      </c>
      <c r="K69" s="247"/>
      <c r="L69" s="253"/>
      <c r="M69" s="247">
        <f t="shared" si="30"/>
        <v>7.8197824961160123E-2</v>
      </c>
      <c r="N69" s="253"/>
      <c r="O69" s="226"/>
      <c r="P69" s="226">
        <f t="array" ref="P69">INDEX('Key inputs'!$B$16:$N$40,MATCH($B69&amp;$C69&amp;$E69,'Key inputs'!$B$16:$B$40&amp;'Key inputs'!$C$16:$C$40&amp;'Key inputs'!$D$16:$D$40,0),MATCH($A$2&amp;P$4,'Key inputs'!$B$17:$N$17&amp;'Key inputs'!$B$18:$N$18,0))</f>
        <v>20.82</v>
      </c>
      <c r="Q69" s="224">
        <f t="shared" si="29"/>
        <v>15.115320000000001</v>
      </c>
      <c r="R69" s="247"/>
      <c r="S69" s="104"/>
      <c r="T69" s="104"/>
      <c r="U69" s="97"/>
      <c r="V69" s="97"/>
    </row>
    <row r="70" spans="1:22" s="65" customFormat="1" x14ac:dyDescent="0.3">
      <c r="A70" s="60"/>
      <c r="B70" s="60" t="str">
        <f t="shared" si="25"/>
        <v>Endeavour</v>
      </c>
      <c r="C70" s="60" t="str">
        <f t="shared" si="26"/>
        <v>Residential</v>
      </c>
      <c r="D70" s="60" t="str">
        <f t="shared" si="27"/>
        <v>with CL</v>
      </c>
      <c r="E70" s="60" t="s">
        <v>53</v>
      </c>
      <c r="F70" s="228">
        <f t="array" ref="F70">IFERROR(INDEX(Usage!$B$5:$P$18,MATCH($B70,Usage!$B$5:$B$18,0),MATCH($C70&amp;$D70&amp;$E70,Usage!$B$5:$S$5&amp;Usage!$B$6:$S$6&amp;Usage!$B$7:$S$7,0)),0)</f>
        <v>7400</v>
      </c>
      <c r="G70" s="60" t="s">
        <v>53</v>
      </c>
      <c r="H70" s="226"/>
      <c r="I70" s="226">
        <f>I57+I63+I69</f>
        <v>57.929999999999993</v>
      </c>
      <c r="J70" s="226">
        <f>J57+J63+J69</f>
        <v>142.89400000000001</v>
      </c>
      <c r="K70" s="247"/>
      <c r="L70" s="253"/>
      <c r="M70" s="247">
        <f t="shared" si="30"/>
        <v>7.8197824961159901E-2</v>
      </c>
      <c r="N70" s="253"/>
      <c r="O70" s="226"/>
      <c r="P70" s="226">
        <f>P57+P63+P69</f>
        <v>62.46</v>
      </c>
      <c r="Q70" s="226">
        <f>Q57+Q63+Q69</f>
        <v>154.06799999999998</v>
      </c>
      <c r="R70" s="247"/>
      <c r="S70" s="104"/>
      <c r="T70" s="104"/>
      <c r="U70" s="3"/>
      <c r="V70" s="3"/>
    </row>
    <row r="71" spans="1:22" s="19" customFormat="1" outlineLevel="1" x14ac:dyDescent="0.35">
      <c r="A71" s="3"/>
      <c r="B71" s="3" t="str">
        <f t="shared" ref="B71:D72" si="37">B70</f>
        <v>Endeavour</v>
      </c>
      <c r="C71" s="3" t="str">
        <f t="shared" si="37"/>
        <v>Residential</v>
      </c>
      <c r="D71" s="3" t="str">
        <f t="shared" si="37"/>
        <v>with CL</v>
      </c>
      <c r="E71" s="3"/>
      <c r="F71" s="228"/>
      <c r="G71" s="60" t="s">
        <v>35</v>
      </c>
      <c r="H71" s="226"/>
      <c r="I71" s="226"/>
      <c r="J71" s="226">
        <f>J70*GST</f>
        <v>14.289400000000001</v>
      </c>
      <c r="K71" s="247"/>
      <c r="L71" s="253"/>
      <c r="M71" s="247"/>
      <c r="N71" s="253"/>
      <c r="O71" s="226"/>
      <c r="P71" s="226"/>
      <c r="Q71" s="226">
        <f>Q70*GST</f>
        <v>15.406799999999999</v>
      </c>
      <c r="R71" s="248"/>
      <c r="U71" s="3"/>
      <c r="V71" s="3"/>
    </row>
    <row r="72" spans="1:22" s="19" customFormat="1" x14ac:dyDescent="0.35">
      <c r="A72" s="3"/>
      <c r="B72" s="3" t="str">
        <f t="shared" si="37"/>
        <v>Endeavour</v>
      </c>
      <c r="C72" s="3" t="str">
        <f t="shared" si="37"/>
        <v>Residential</v>
      </c>
      <c r="D72" s="3" t="str">
        <f t="shared" si="37"/>
        <v>with CL</v>
      </c>
      <c r="E72" s="3"/>
      <c r="F72" s="228"/>
      <c r="G72" s="5" t="s">
        <v>77</v>
      </c>
      <c r="H72" s="227"/>
      <c r="I72" s="227"/>
      <c r="J72" s="227">
        <f>SUM(J70:J71)</f>
        <v>157.18340000000001</v>
      </c>
      <c r="K72" s="248"/>
      <c r="L72" s="254"/>
      <c r="M72" s="248">
        <f>IF(OR(J72=0,Q72=""),"",Q72/J72-1)</f>
        <v>7.8197824961159901E-2</v>
      </c>
      <c r="N72" s="254"/>
      <c r="O72" s="227"/>
      <c r="P72" s="227"/>
      <c r="Q72" s="227">
        <f>SUM(Q70:Q71)</f>
        <v>169.47479999999999</v>
      </c>
      <c r="R72" s="248"/>
      <c r="U72" s="3"/>
      <c r="V72" s="3"/>
    </row>
    <row r="73" spans="1:22" s="19" customFormat="1" x14ac:dyDescent="0.35">
      <c r="A73" s="3"/>
      <c r="B73" s="3"/>
      <c r="C73" s="3"/>
      <c r="D73" s="3"/>
      <c r="E73" s="3"/>
      <c r="F73" s="228"/>
      <c r="G73" s="3"/>
      <c r="H73" s="224"/>
      <c r="I73" s="224"/>
      <c r="J73" s="224"/>
      <c r="K73" s="246"/>
      <c r="L73" s="252"/>
      <c r="M73" s="246"/>
      <c r="N73" s="252"/>
      <c r="O73" s="224"/>
      <c r="P73" s="224"/>
      <c r="Q73" s="224"/>
      <c r="R73" s="246"/>
      <c r="U73" s="3"/>
      <c r="V73" s="3"/>
    </row>
    <row r="74" spans="1:22" s="19" customFormat="1" x14ac:dyDescent="0.35">
      <c r="A74" s="3"/>
      <c r="B74" s="5" t="s">
        <v>4</v>
      </c>
      <c r="C74" s="5" t="s">
        <v>14</v>
      </c>
      <c r="D74" s="5" t="s">
        <v>136</v>
      </c>
      <c r="E74" s="3"/>
      <c r="F74" s="228"/>
      <c r="G74" s="3"/>
      <c r="H74" s="224"/>
      <c r="I74" s="224"/>
      <c r="J74" s="224"/>
      <c r="K74" s="246"/>
      <c r="L74" s="252"/>
      <c r="M74" s="246"/>
      <c r="N74" s="252"/>
      <c r="O74" s="224"/>
      <c r="P74" s="224"/>
      <c r="Q74" s="224"/>
      <c r="R74" s="246"/>
      <c r="U74" s="3"/>
      <c r="V74" s="3"/>
    </row>
    <row r="75" spans="1:22" s="19" customFormat="1" outlineLevel="1" x14ac:dyDescent="0.35">
      <c r="A75" s="3"/>
      <c r="B75" s="3" t="str">
        <f t="shared" ref="B75:D82" si="38">B74</f>
        <v>Endeavour</v>
      </c>
      <c r="C75" s="3" t="str">
        <f t="shared" si="38"/>
        <v>Small business</v>
      </c>
      <c r="D75" s="3" t="str">
        <f t="shared" si="38"/>
        <v>without CL</v>
      </c>
      <c r="E75" s="3" t="s">
        <v>21</v>
      </c>
      <c r="F75" s="228">
        <f t="array" ref="F75">IFERROR(INDEX(Usage!$B$5:$P$18,MATCH($B75,Usage!$B$5:$B$18,0),MATCH($C75&amp;$D75&amp;$E75,Usage!$B$5:$S$5&amp;Usage!$B$6:$S$6&amp;Usage!$B$7:$S$7,0)),0)</f>
        <v>10000</v>
      </c>
      <c r="G75" s="3" t="s">
        <v>70</v>
      </c>
      <c r="H75" s="224"/>
      <c r="I75" s="224"/>
      <c r="J75" s="224"/>
      <c r="K75" s="246"/>
      <c r="L75" s="243"/>
      <c r="M75" s="246"/>
      <c r="N75" s="243"/>
      <c r="O75" s="224"/>
      <c r="P75" s="224">
        <f t="array" ref="P75">IFERROR(INDEX('Detail inputs'!$B$3:$K$193,MATCH($B75&amp;$G75&amp;P$5,'Detail inputs'!$B$3:$B$193&amp;'Detail inputs'!$G$3:$G$193&amp;'Detail inputs'!$H$3:$H$193,0),MATCH(P$4,'Detail inputs'!$B$3:$K$3,0)),0)</f>
        <v>5.13</v>
      </c>
      <c r="Q75" s="224">
        <f t="shared" ref="Q75:Q80" si="39">IF(AND(O75="",P75=""),"",O75+P75*$F75/1000)</f>
        <v>51.3</v>
      </c>
      <c r="R75" s="246">
        <f>IFERROR(Q75/Q80,"")</f>
        <v>0.24639769452449567</v>
      </c>
      <c r="U75" s="3"/>
      <c r="V75" s="3"/>
    </row>
    <row r="76" spans="1:22" s="19" customFormat="1" outlineLevel="1" x14ac:dyDescent="0.35">
      <c r="A76" s="3"/>
      <c r="B76" s="3" t="str">
        <f t="shared" si="38"/>
        <v>Endeavour</v>
      </c>
      <c r="C76" s="3" t="str">
        <f t="shared" si="38"/>
        <v>Small business</v>
      </c>
      <c r="D76" s="3" t="str">
        <f t="shared" si="38"/>
        <v>without CL</v>
      </c>
      <c r="E76" s="3" t="s">
        <v>21</v>
      </c>
      <c r="F76" s="228">
        <f t="array" ref="F76">IFERROR(INDEX(Usage!$B$5:$P$18,MATCH($B76,Usage!$B$5:$B$18,0),MATCH($C76&amp;$D76&amp;$E76,Usage!$B$5:$S$5&amp;Usage!$B$6:$S$6&amp;Usage!$B$7:$S$7,0)),0)</f>
        <v>10000</v>
      </c>
      <c r="G76" s="3" t="s">
        <v>71</v>
      </c>
      <c r="H76" s="224"/>
      <c r="I76" s="224"/>
      <c r="J76" s="224"/>
      <c r="K76" s="246"/>
      <c r="L76" s="243"/>
      <c r="M76" s="246"/>
      <c r="N76" s="243"/>
      <c r="O76" s="224"/>
      <c r="P76" s="224">
        <f t="array" ref="P76">IFERROR(INDEX('Detail inputs'!$B$3:$K$193,MATCH($B76&amp;$G76&amp;P$5,'Detail inputs'!$B$3:$B$193&amp;'Detail inputs'!$G$3:$G$193&amp;'Detail inputs'!$H$3:$H$193,0),MATCH(P$4,'Detail inputs'!$B$3:$K$3,0)),0)</f>
        <v>10.9</v>
      </c>
      <c r="Q76" s="224">
        <f t="shared" si="39"/>
        <v>109</v>
      </c>
      <c r="R76" s="246">
        <f>IFERROR(Q76/Q80,"")</f>
        <v>0.52353506243996162</v>
      </c>
      <c r="U76" s="97"/>
      <c r="V76" s="97"/>
    </row>
    <row r="77" spans="1:22" s="19" customFormat="1" outlineLevel="1" x14ac:dyDescent="0.35">
      <c r="A77" s="3"/>
      <c r="B77" s="3" t="str">
        <f t="shared" si="38"/>
        <v>Endeavour</v>
      </c>
      <c r="C77" s="3" t="str">
        <f t="shared" si="38"/>
        <v>Small business</v>
      </c>
      <c r="D77" s="3" t="str">
        <f t="shared" si="38"/>
        <v>without CL</v>
      </c>
      <c r="E77" s="3" t="s">
        <v>21</v>
      </c>
      <c r="F77" s="228">
        <f t="array" ref="F77">IFERROR(INDEX(Usage!$B$5:$P$18,MATCH($B77,Usage!$B$5:$B$18,0),MATCH($C77&amp;$D77&amp;$E77,Usage!$B$5:$S$5&amp;Usage!$B$6:$S$6&amp;Usage!$B$7:$S$7,0)),0)</f>
        <v>10000</v>
      </c>
      <c r="G77" s="3" t="s">
        <v>72</v>
      </c>
      <c r="H77" s="224"/>
      <c r="I77" s="224"/>
      <c r="J77" s="224"/>
      <c r="K77" s="246"/>
      <c r="L77" s="243"/>
      <c r="M77" s="246"/>
      <c r="N77" s="243"/>
      <c r="O77" s="224"/>
      <c r="P77" s="224">
        <f t="array" ref="P77">IFERROR(INDEX('Detail inputs'!$B$3:$K$193,MATCH($B77&amp;$G77&amp;P$5,'Detail inputs'!$B$3:$B$193&amp;'Detail inputs'!$G$3:$G$193&amp;'Detail inputs'!$H$3:$H$193,0),MATCH(P$4,'Detail inputs'!$B$3:$K$3,0)),0)</f>
        <v>3.39</v>
      </c>
      <c r="Q77" s="224">
        <f t="shared" si="39"/>
        <v>33.9</v>
      </c>
      <c r="R77" s="246">
        <f>IFERROR(Q77/Q80,"")</f>
        <v>0.16282420749279539</v>
      </c>
      <c r="U77" s="60"/>
      <c r="V77" s="60"/>
    </row>
    <row r="78" spans="1:22" s="19" customFormat="1" outlineLevel="1" x14ac:dyDescent="0.35">
      <c r="A78" s="3"/>
      <c r="B78" s="3" t="str">
        <f t="shared" si="38"/>
        <v>Endeavour</v>
      </c>
      <c r="C78" s="3" t="str">
        <f t="shared" si="38"/>
        <v>Small business</v>
      </c>
      <c r="D78" s="3" t="str">
        <f t="shared" si="38"/>
        <v>without CL</v>
      </c>
      <c r="E78" s="3" t="s">
        <v>21</v>
      </c>
      <c r="F78" s="228">
        <f t="array" ref="F78">IFERROR(INDEX(Usage!$B$5:$P$18,MATCH($B78,Usage!$B$5:$B$18,0),MATCH($C78&amp;$D78&amp;$E78,Usage!$B$5:$S$5&amp;Usage!$B$6:$S$6&amp;Usage!$B$7:$S$7,0)),0)</f>
        <v>10000</v>
      </c>
      <c r="G78" s="3" t="s">
        <v>187</v>
      </c>
      <c r="H78" s="224"/>
      <c r="I78" s="224"/>
      <c r="J78" s="224"/>
      <c r="K78" s="246"/>
      <c r="L78" s="243"/>
      <c r="M78" s="246"/>
      <c r="N78" s="243"/>
      <c r="O78" s="224"/>
      <c r="P78" s="224">
        <f t="array" ref="P78">IFERROR(INDEX('Detail inputs'!$B$3:$K$193,MATCH($B78&amp;$G78&amp;P$5,'Detail inputs'!$B$3:$B$193&amp;'Detail inputs'!$G$3:$G$193&amp;'Detail inputs'!$H$3:$H$193,0),MATCH(P$4,'Detail inputs'!$B$3:$K$3,0)),0)</f>
        <v>0.21803668755877201</v>
      </c>
      <c r="Q78" s="224">
        <f t="shared" si="39"/>
        <v>2.1803668755877204</v>
      </c>
      <c r="R78" s="246">
        <f>IFERROR(Q78/Q80,"")</f>
        <v>1.0472463379383864E-2</v>
      </c>
      <c r="U78" s="3"/>
      <c r="V78" s="3"/>
    </row>
    <row r="79" spans="1:22" s="19" customFormat="1" outlineLevel="1" x14ac:dyDescent="0.35">
      <c r="A79" s="3"/>
      <c r="B79" s="3" t="str">
        <f t="shared" si="38"/>
        <v>Endeavour</v>
      </c>
      <c r="C79" s="3" t="str">
        <f t="shared" si="38"/>
        <v>Small business</v>
      </c>
      <c r="D79" s="3" t="str">
        <f t="shared" si="38"/>
        <v>without CL</v>
      </c>
      <c r="E79" s="3" t="s">
        <v>21</v>
      </c>
      <c r="F79" s="228">
        <f t="array" ref="F79">IFERROR(INDEX(Usage!$B$5:$P$18,MATCH($B79,Usage!$B$5:$B$18,0),MATCH($C79&amp;$D79&amp;$E79,Usage!$B$5:$S$5&amp;Usage!$B$6:$S$6&amp;Usage!$B$7:$S$7,0)),0)</f>
        <v>10000</v>
      </c>
      <c r="G79" s="3" t="s">
        <v>69</v>
      </c>
      <c r="H79" s="224"/>
      <c r="I79" s="224"/>
      <c r="J79" s="224"/>
      <c r="K79" s="246"/>
      <c r="L79" s="243"/>
      <c r="M79" s="246"/>
      <c r="N79" s="243"/>
      <c r="O79" s="224"/>
      <c r="P79" s="224" cm="1">
        <f t="array" ref="P79">ROUND(IFERROR(INDEX('Detail inputs'!$B$3:$K$193,MATCH($B79&amp;$C79&amp;$E79&amp;$G79&amp;P$5,'Detail inputs'!$B$3:$B$193&amp;'Detail inputs'!$D$3:$D$193&amp;'Detail inputs'!$F$3:$F$193&amp;'Detail inputs'!$G$3:$G$193&amp;'Detail inputs'!$H$3:$H$193,0),MATCH(P$4,'Detail inputs'!$B$3:$K$3,0)),0)*SUM(P75:P78),2)</f>
        <v>1.18</v>
      </c>
      <c r="Q79" s="224">
        <f t="shared" si="39"/>
        <v>11.8</v>
      </c>
      <c r="R79" s="246">
        <f>IFERROR(Q79/Q80,"")</f>
        <v>5.6676272814601351E-2</v>
      </c>
      <c r="U79" s="3"/>
      <c r="V79" s="3"/>
    </row>
    <row r="80" spans="1:22" s="65" customFormat="1" x14ac:dyDescent="0.3">
      <c r="A80" s="60"/>
      <c r="B80" s="60" t="str">
        <f t="shared" si="38"/>
        <v>Endeavour</v>
      </c>
      <c r="C80" s="60" t="str">
        <f t="shared" si="38"/>
        <v>Small business</v>
      </c>
      <c r="D80" s="60" t="str">
        <f t="shared" si="38"/>
        <v>without CL</v>
      </c>
      <c r="E80" s="3" t="s">
        <v>21</v>
      </c>
      <c r="F80" s="228">
        <f t="array" ref="F80">IFERROR(INDEX(Usage!$B$5:$P$18,MATCH($B80,Usage!$B$5:$B$18,0),MATCH($C80&amp;$D80&amp;$E80,Usage!$B$5:$S$5&amp;Usage!$B$6:$S$6&amp;Usage!$B$7:$S$7,0)),0)</f>
        <v>10000</v>
      </c>
      <c r="G80" s="60" t="s">
        <v>53</v>
      </c>
      <c r="H80" s="226"/>
      <c r="I80" s="226"/>
      <c r="J80" s="224"/>
      <c r="K80" s="247"/>
      <c r="L80" s="253"/>
      <c r="M80" s="247"/>
      <c r="N80" s="253"/>
      <c r="O80" s="226"/>
      <c r="P80" s="226">
        <f t="array" ref="P80">INDEX('Key inputs'!$B$16:$N$40,MATCH($B80&amp;$C80&amp;$E80,'Key inputs'!$B$16:$B$40&amp;'Key inputs'!$C$16:$C$40&amp;'Key inputs'!$D$16:$D$40,0),MATCH($A$2&amp;P$4,'Key inputs'!$B$17:$N$17&amp;'Key inputs'!$B$18:$N$18,0))</f>
        <v>20.82</v>
      </c>
      <c r="Q80" s="224">
        <f t="shared" si="39"/>
        <v>208.2</v>
      </c>
      <c r="R80" s="247"/>
      <c r="S80" s="104"/>
      <c r="T80" s="104"/>
      <c r="U80" s="97"/>
      <c r="V80" s="97"/>
    </row>
    <row r="81" spans="1:22" s="19" customFormat="1" outlineLevel="1" x14ac:dyDescent="0.35">
      <c r="A81" s="3"/>
      <c r="B81" s="3" t="str">
        <f t="shared" si="38"/>
        <v>Endeavour</v>
      </c>
      <c r="C81" s="3" t="str">
        <f t="shared" si="38"/>
        <v>Small business</v>
      </c>
      <c r="D81" s="3" t="str">
        <f t="shared" si="38"/>
        <v>without CL</v>
      </c>
      <c r="E81" s="3"/>
      <c r="F81" s="228"/>
      <c r="G81" s="60" t="s">
        <v>35</v>
      </c>
      <c r="H81" s="226"/>
      <c r="I81" s="226"/>
      <c r="J81" s="226"/>
      <c r="K81" s="247"/>
      <c r="L81" s="253"/>
      <c r="M81" s="247"/>
      <c r="N81" s="253"/>
      <c r="O81" s="226"/>
      <c r="P81" s="226"/>
      <c r="Q81" s="226">
        <f>Q80*GST</f>
        <v>20.82</v>
      </c>
      <c r="R81" s="248"/>
      <c r="U81" s="3"/>
      <c r="V81" s="3"/>
    </row>
    <row r="82" spans="1:22" s="19" customFormat="1" x14ac:dyDescent="0.35">
      <c r="A82" s="3"/>
      <c r="B82" s="3" t="str">
        <f t="shared" si="38"/>
        <v>Endeavour</v>
      </c>
      <c r="C82" s="3" t="str">
        <f t="shared" si="38"/>
        <v>Small business</v>
      </c>
      <c r="D82" s="3" t="str">
        <f t="shared" si="38"/>
        <v>without CL</v>
      </c>
      <c r="E82" s="3"/>
      <c r="F82" s="228"/>
      <c r="G82" s="5" t="s">
        <v>77</v>
      </c>
      <c r="H82" s="227"/>
      <c r="I82" s="227"/>
      <c r="J82" s="227"/>
      <c r="K82" s="248"/>
      <c r="L82" s="254"/>
      <c r="M82" s="248"/>
      <c r="N82" s="254"/>
      <c r="O82" s="227"/>
      <c r="P82" s="227"/>
      <c r="Q82" s="227">
        <f>SUM(Q80:Q81)</f>
        <v>229.01999999999998</v>
      </c>
      <c r="R82" s="248"/>
      <c r="U82" s="3"/>
      <c r="V82" s="3"/>
    </row>
    <row r="83" spans="1:22" s="19" customFormat="1" x14ac:dyDescent="0.35">
      <c r="A83" s="3"/>
      <c r="B83" s="3"/>
      <c r="C83" s="3"/>
      <c r="D83" s="3"/>
      <c r="E83" s="3"/>
      <c r="F83" s="228"/>
      <c r="G83" s="3"/>
      <c r="H83" s="224"/>
      <c r="I83" s="224"/>
      <c r="J83" s="224"/>
      <c r="K83" s="246"/>
      <c r="L83" s="252"/>
      <c r="M83" s="246"/>
      <c r="N83" s="252"/>
      <c r="O83" s="224"/>
      <c r="P83" s="224"/>
      <c r="Q83" s="224"/>
      <c r="R83" s="246"/>
      <c r="U83" s="3"/>
      <c r="V83" s="3"/>
    </row>
    <row r="84" spans="1:22" s="19" customFormat="1" x14ac:dyDescent="0.35">
      <c r="A84" s="3"/>
      <c r="B84" s="5" t="s">
        <v>3</v>
      </c>
      <c r="C84" s="5" t="s">
        <v>6</v>
      </c>
      <c r="D84" s="5" t="s">
        <v>136</v>
      </c>
      <c r="E84" s="3"/>
      <c r="F84" s="228"/>
      <c r="G84" s="3"/>
      <c r="H84" s="224"/>
      <c r="I84" s="224"/>
      <c r="J84" s="224"/>
      <c r="K84" s="246"/>
      <c r="L84" s="252"/>
      <c r="M84" s="246"/>
      <c r="N84" s="252"/>
      <c r="O84" s="224"/>
      <c r="P84" s="224"/>
      <c r="Q84" s="224"/>
      <c r="R84" s="246"/>
      <c r="U84" s="3"/>
      <c r="V84" s="3"/>
    </row>
    <row r="85" spans="1:22" s="19" customFormat="1" outlineLevel="1" x14ac:dyDescent="0.35">
      <c r="A85" s="3"/>
      <c r="B85" s="3" t="str">
        <f t="shared" ref="B85:D92" si="40">B84</f>
        <v>Essential</v>
      </c>
      <c r="C85" s="3" t="str">
        <f t="shared" si="40"/>
        <v>Residential</v>
      </c>
      <c r="D85" s="3" t="str">
        <f t="shared" si="40"/>
        <v>without CL</v>
      </c>
      <c r="E85" s="3" t="s">
        <v>21</v>
      </c>
      <c r="F85" s="228">
        <f t="array" ref="F85">IFERROR(INDEX(Usage!$B$5:$P$18,MATCH($B85,Usage!$B$5:$B$18,0),MATCH($C85&amp;$D85&amp;$E85&amp;"Total",Usage!$B$5:$S$5&amp;Usage!$B$6:$S$6&amp;Usage!$B$7:$S$7&amp;Usage!$B$13:$S$13,0)),0)</f>
        <v>4600</v>
      </c>
      <c r="G85" s="3" t="s">
        <v>70</v>
      </c>
      <c r="H85" s="224"/>
      <c r="I85" s="224">
        <f t="array" ref="I85">IFERROR(INDEX('Detail inputs'!$B$3:$K$193,MATCH($B85&amp;$G85&amp;I$5,'Detail inputs'!$B$3:$B$193&amp;'Detail inputs'!$G$3:$G$193&amp;'Detail inputs'!$H$3:$H$193,0),MATCH(I$4,'Detail inputs'!$B$3:$K$3,0)),0)</f>
        <v>4.22</v>
      </c>
      <c r="J85" s="224">
        <f t="shared" ref="J85:J90" si="41">IF(AND(H85="",I85=""),"",H85+I85*$F85/1000)</f>
        <v>19.411999999999999</v>
      </c>
      <c r="K85" s="246">
        <f>IFERROR(J85/J90,"")</f>
        <v>0.22163865546218486</v>
      </c>
      <c r="L85" s="243"/>
      <c r="M85" s="246">
        <f t="shared" ref="M85:M90" si="42">IF(OR(J85=0,Q85=""),"",Q85/J85-1)</f>
        <v>0.21563981042654023</v>
      </c>
      <c r="N85" s="243"/>
      <c r="O85" s="224"/>
      <c r="P85" s="224">
        <f t="array" ref="P85">IFERROR(INDEX('Detail inputs'!$B$3:$K$193,MATCH($B85&amp;$G85&amp;P$5,'Detail inputs'!$B$3:$B$193&amp;'Detail inputs'!$G$3:$G$193&amp;'Detail inputs'!$H$3:$H$193,0),MATCH(P$4,'Detail inputs'!$B$3:$K$3,0)),0)</f>
        <v>5.13</v>
      </c>
      <c r="Q85" s="224">
        <f t="shared" ref="Q85:Q90" si="43">IF(AND(O85="",P85=""),"",O85+P85*$F85/1000)</f>
        <v>23.597999999999999</v>
      </c>
      <c r="R85" s="246">
        <f>IFERROR(Q85/Q90,"")</f>
        <v>0.25085574572127139</v>
      </c>
      <c r="U85" s="3"/>
      <c r="V85" s="3"/>
    </row>
    <row r="86" spans="1:22" s="19" customFormat="1" outlineLevel="1" x14ac:dyDescent="0.35">
      <c r="A86" s="3"/>
      <c r="B86" s="3" t="str">
        <f t="shared" si="40"/>
        <v>Essential</v>
      </c>
      <c r="C86" s="3" t="str">
        <f t="shared" si="40"/>
        <v>Residential</v>
      </c>
      <c r="D86" s="3" t="str">
        <f t="shared" si="40"/>
        <v>without CL</v>
      </c>
      <c r="E86" s="3" t="s">
        <v>21</v>
      </c>
      <c r="F86" s="228">
        <f t="array" ref="F86">IFERROR(INDEX(Usage!$B$5:$P$18,MATCH($B86,Usage!$B$5:$B$18,0),MATCH($C86&amp;$D86&amp;$E86&amp;"Total",Usage!$B$5:$S$5&amp;Usage!$B$6:$S$6&amp;Usage!$B$7:$S$7&amp;Usage!$B$13:$S$13,0)),0)</f>
        <v>4600</v>
      </c>
      <c r="G86" s="3" t="s">
        <v>71</v>
      </c>
      <c r="H86" s="224"/>
      <c r="I86" s="224">
        <f t="array" ref="I86">IFERROR(INDEX('Detail inputs'!$B$3:$K$193,MATCH($B86&amp;$G86&amp;I$5,'Detail inputs'!$B$3:$B$193&amp;'Detail inputs'!$G$3:$G$193&amp;'Detail inputs'!$H$3:$H$193,0),MATCH(I$4,'Detail inputs'!$B$3:$K$3,0)),0)</f>
        <v>11.52</v>
      </c>
      <c r="J86" s="224">
        <f t="shared" si="41"/>
        <v>52.991999999999997</v>
      </c>
      <c r="K86" s="246">
        <f>IFERROR(J86/J90,"")</f>
        <v>0.60504201680672265</v>
      </c>
      <c r="L86" s="243"/>
      <c r="M86" s="246">
        <f t="shared" si="42"/>
        <v>-5.381944444444442E-2</v>
      </c>
      <c r="N86" s="243"/>
      <c r="O86" s="224"/>
      <c r="P86" s="224">
        <f t="array" ref="P86">IFERROR(INDEX('Detail inputs'!$B$3:$K$193,MATCH($B86&amp;$G86&amp;P$5,'Detail inputs'!$B$3:$B$193&amp;'Detail inputs'!$G$3:$G$193&amp;'Detail inputs'!$H$3:$H$193,0),MATCH(P$4,'Detail inputs'!$B$3:$K$3,0)),0)</f>
        <v>10.9</v>
      </c>
      <c r="Q86" s="224">
        <f t="shared" si="43"/>
        <v>50.14</v>
      </c>
      <c r="R86" s="246">
        <f>IFERROR(Q86/Q90,"")</f>
        <v>0.5330073349633252</v>
      </c>
      <c r="U86" s="3"/>
      <c r="V86" s="3"/>
    </row>
    <row r="87" spans="1:22" s="19" customFormat="1" outlineLevel="1" x14ac:dyDescent="0.35">
      <c r="A87" s="3"/>
      <c r="B87" s="3" t="str">
        <f t="shared" si="40"/>
        <v>Essential</v>
      </c>
      <c r="C87" s="3" t="str">
        <f t="shared" si="40"/>
        <v>Residential</v>
      </c>
      <c r="D87" s="3" t="str">
        <f t="shared" si="40"/>
        <v>without CL</v>
      </c>
      <c r="E87" s="3" t="s">
        <v>21</v>
      </c>
      <c r="F87" s="228">
        <f t="array" ref="F87">IFERROR(INDEX(Usage!$B$5:$P$18,MATCH($B87,Usage!$B$5:$B$18,0),MATCH($C87&amp;$D87&amp;$E87&amp;"Total",Usage!$B$5:$S$5&amp;Usage!$B$6:$S$6&amp;Usage!$B$7:$S$7&amp;Usage!$B$13:$S$13,0)),0)</f>
        <v>4600</v>
      </c>
      <c r="G87" s="3" t="s">
        <v>72</v>
      </c>
      <c r="H87" s="224"/>
      <c r="I87" s="224">
        <f t="array" ref="I87">IFERROR(INDEX('Detail inputs'!$B$3:$K$193,MATCH($B87&amp;$G87&amp;I$5,'Detail inputs'!$B$3:$B$193&amp;'Detail inputs'!$G$3:$G$193&amp;'Detail inputs'!$H$3:$H$193,0),MATCH(I$4,'Detail inputs'!$B$3:$K$3,0)),0)</f>
        <v>2.48</v>
      </c>
      <c r="J87" s="224">
        <f t="shared" si="41"/>
        <v>11.407999999999999</v>
      </c>
      <c r="K87" s="246">
        <f>IFERROR(J87/J90,"")</f>
        <v>0.13025210084033612</v>
      </c>
      <c r="L87" s="243"/>
      <c r="M87" s="246">
        <f t="shared" si="42"/>
        <v>0.36693548387096775</v>
      </c>
      <c r="N87" s="243"/>
      <c r="O87" s="224"/>
      <c r="P87" s="224">
        <f t="array" ref="P87">IFERROR(INDEX('Detail inputs'!$B$3:$K$193,MATCH($B87&amp;$G87&amp;P$5,'Detail inputs'!$B$3:$B$193&amp;'Detail inputs'!$G$3:$G$193&amp;'Detail inputs'!$H$3:$H$193,0),MATCH(P$4,'Detail inputs'!$B$3:$K$3,0)),0)</f>
        <v>3.39</v>
      </c>
      <c r="Q87" s="224">
        <f t="shared" si="43"/>
        <v>15.593999999999999</v>
      </c>
      <c r="R87" s="246">
        <f>IFERROR(Q87/Q90,"")</f>
        <v>0.16577017114914425</v>
      </c>
      <c r="U87" s="3"/>
      <c r="V87" s="3"/>
    </row>
    <row r="88" spans="1:22" s="19" customFormat="1" outlineLevel="1" x14ac:dyDescent="0.35">
      <c r="A88" s="3"/>
      <c r="B88" s="3" t="str">
        <f t="shared" si="40"/>
        <v>Essential</v>
      </c>
      <c r="C88" s="3" t="str">
        <f t="shared" si="40"/>
        <v>Residential</v>
      </c>
      <c r="D88" s="3" t="str">
        <f t="shared" si="40"/>
        <v>without CL</v>
      </c>
      <c r="E88" s="3" t="s">
        <v>21</v>
      </c>
      <c r="F88" s="228">
        <f t="array" ref="F88">IFERROR(INDEX(Usage!$B$5:$P$18,MATCH($B88,Usage!$B$5:$B$18,0),MATCH($C88&amp;$D88&amp;$E88&amp;"Total",Usage!$B$5:$S$5&amp;Usage!$B$6:$S$6&amp;Usage!$B$7:$S$7&amp;Usage!$B$13:$S$13,0)),0)</f>
        <v>4600</v>
      </c>
      <c r="G88" s="3" t="s">
        <v>187</v>
      </c>
      <c r="H88" s="224"/>
      <c r="I88" s="224">
        <f t="array" ref="I88">IFERROR(INDEX('Detail inputs'!$B$3:$K$193,MATCH($B88&amp;$G88&amp;I$5,'Detail inputs'!$B$3:$B$193&amp;'Detail inputs'!$G$3:$G$193&amp;'Detail inputs'!$H$3:$H$193,0),MATCH(I$4,'Detail inputs'!$B$3:$K$3,0)),0)</f>
        <v>0</v>
      </c>
      <c r="J88" s="224">
        <f t="shared" si="41"/>
        <v>0</v>
      </c>
      <c r="K88" s="246">
        <f>IFERROR(J88/J90,"")</f>
        <v>0</v>
      </c>
      <c r="L88" s="243"/>
      <c r="M88" s="246" t="str">
        <f t="shared" si="42"/>
        <v/>
      </c>
      <c r="N88" s="243"/>
      <c r="O88" s="224"/>
      <c r="P88" s="224">
        <f t="array" ref="P88">IFERROR(INDEX('Detail inputs'!$B$3:$K$193,MATCH($B88&amp;$G88&amp;P$5,'Detail inputs'!$B$3:$B$193&amp;'Detail inputs'!$G$3:$G$193&amp;'Detail inputs'!$H$3:$H$193,0),MATCH(P$4,'Detail inputs'!$B$3:$K$3,0)),0)</f>
        <v>0.22</v>
      </c>
      <c r="Q88" s="224">
        <f t="shared" si="43"/>
        <v>1.012</v>
      </c>
      <c r="R88" s="246">
        <f>IFERROR(Q88/Q90,"")</f>
        <v>1.0757946210268949E-2</v>
      </c>
      <c r="U88" s="97"/>
      <c r="V88" s="97"/>
    </row>
    <row r="89" spans="1:22" s="19" customFormat="1" outlineLevel="1" x14ac:dyDescent="0.35">
      <c r="A89" s="3"/>
      <c r="B89" s="3" t="str">
        <f t="shared" si="40"/>
        <v>Essential</v>
      </c>
      <c r="C89" s="3" t="str">
        <f t="shared" si="40"/>
        <v>Residential</v>
      </c>
      <c r="D89" s="3" t="str">
        <f t="shared" si="40"/>
        <v>without CL</v>
      </c>
      <c r="E89" s="3" t="s">
        <v>21</v>
      </c>
      <c r="F89" s="228">
        <f t="array" ref="F89">IFERROR(INDEX(Usage!$B$5:$P$18,MATCH($B89,Usage!$B$5:$B$18,0),MATCH($C89&amp;$D89&amp;$E89&amp;"Total",Usage!$B$5:$S$5&amp;Usage!$B$6:$S$6&amp;Usage!$B$7:$S$7&amp;Usage!$B$13:$S$13,0)),0)</f>
        <v>4600</v>
      </c>
      <c r="G89" s="3" t="s">
        <v>69</v>
      </c>
      <c r="H89" s="224"/>
      <c r="I89" s="224" cm="1">
        <f t="array" ref="I89">ROUND(IFERROR(INDEX('Detail inputs'!$B$3:$K$193,MATCH($B89&amp;$C89&amp;$E89&amp;$G89&amp;I$5,'Detail inputs'!$B$3:$B$193&amp;'Detail inputs'!$D$3:$D$193&amp;'Detail inputs'!$F$3:$F$193&amp;'Detail inputs'!$G$3:$G$193&amp;'Detail inputs'!$H$3:$H$193,0),MATCH(I$4,'Detail inputs'!$B$3:$K$3,0)),0)*SUM(I85:I88),2)</f>
        <v>0.82</v>
      </c>
      <c r="J89" s="224">
        <f t="shared" si="41"/>
        <v>3.7719999999999998</v>
      </c>
      <c r="K89" s="246">
        <f>IFERROR(J89/J90,"")</f>
        <v>4.3067226890756295E-2</v>
      </c>
      <c r="L89" s="243"/>
      <c r="M89" s="246">
        <f t="shared" si="42"/>
        <v>-1.2195121951219301E-2</v>
      </c>
      <c r="N89" s="243"/>
      <c r="O89" s="224"/>
      <c r="P89" s="224" cm="1">
        <f t="array" ref="P89">ROUND(IFERROR(INDEX('Detail inputs'!$B$3:$K$193,MATCH($B89&amp;$C89&amp;$E89&amp;$G89&amp;P$5,'Detail inputs'!$B$3:$B$193&amp;'Detail inputs'!$D$3:$D$193&amp;'Detail inputs'!$F$3:$F$193&amp;'Detail inputs'!$G$3:$G$193&amp;'Detail inputs'!$H$3:$H$193,0),MATCH(P$4,'Detail inputs'!$B$3:$K$3,0)),0)*SUM(P85:P88),2)</f>
        <v>0.81</v>
      </c>
      <c r="Q89" s="224">
        <f t="shared" si="43"/>
        <v>3.7260000000000004</v>
      </c>
      <c r="R89" s="246">
        <f>IFERROR(Q89/Q90,"")</f>
        <v>3.960880195599023E-2</v>
      </c>
      <c r="U89" s="3"/>
      <c r="V89" s="3"/>
    </row>
    <row r="90" spans="1:22" s="65" customFormat="1" x14ac:dyDescent="0.3">
      <c r="A90" s="60"/>
      <c r="B90" s="60" t="str">
        <f t="shared" si="40"/>
        <v>Essential</v>
      </c>
      <c r="C90" s="60" t="str">
        <f t="shared" si="40"/>
        <v>Residential</v>
      </c>
      <c r="D90" s="60" t="str">
        <f t="shared" si="40"/>
        <v>without CL</v>
      </c>
      <c r="E90" s="3" t="s">
        <v>21</v>
      </c>
      <c r="F90" s="228">
        <f t="array" ref="F90">IFERROR(INDEX(Usage!$B$5:$P$18,MATCH($B90,Usage!$B$5:$B$18,0),MATCH($C90&amp;$D90&amp;$E90&amp;"Total",Usage!$B$5:$S$5&amp;Usage!$B$6:$S$6&amp;Usage!$B$7:$S$7&amp;Usage!$B$13:$S$13,0)),0)</f>
        <v>4600</v>
      </c>
      <c r="G90" s="60" t="s">
        <v>53</v>
      </c>
      <c r="H90" s="226"/>
      <c r="I90" s="226">
        <f t="array" ref="I90">INDEX('Key inputs'!$B$16:$N$40,MATCH($B90&amp;$C90&amp;$E90,'Key inputs'!$B$16:$B$40&amp;'Key inputs'!$C$16:$C$40&amp;'Key inputs'!$D$16:$D$40,0),MATCH($A$2&amp;I$4,'Key inputs'!$B$17:$N$17&amp;'Key inputs'!$B$18:$N$18,0))</f>
        <v>19.04</v>
      </c>
      <c r="J90" s="224">
        <f t="shared" si="41"/>
        <v>87.584000000000003</v>
      </c>
      <c r="K90" s="247"/>
      <c r="L90" s="253"/>
      <c r="M90" s="247">
        <f t="shared" si="42"/>
        <v>7.4054621848739455E-2</v>
      </c>
      <c r="N90" s="253"/>
      <c r="O90" s="226"/>
      <c r="P90" s="226">
        <f t="array" ref="P90">INDEX('Key inputs'!$B$16:$N$40,MATCH($B90&amp;$C90&amp;$E90,'Key inputs'!$B$16:$B$40&amp;'Key inputs'!$C$16:$C$40&amp;'Key inputs'!$D$16:$D$40,0),MATCH($A$2&amp;P$4,'Key inputs'!$B$17:$N$17&amp;'Key inputs'!$B$18:$N$18,0))</f>
        <v>20.45</v>
      </c>
      <c r="Q90" s="224">
        <f t="shared" si="43"/>
        <v>94.07</v>
      </c>
      <c r="R90" s="247"/>
      <c r="S90" s="104"/>
      <c r="T90" s="104"/>
      <c r="U90" s="97"/>
      <c r="V90" s="97"/>
    </row>
    <row r="91" spans="1:22" s="19" customFormat="1" outlineLevel="1" x14ac:dyDescent="0.35">
      <c r="A91" s="3"/>
      <c r="B91" s="3" t="str">
        <f t="shared" si="40"/>
        <v>Essential</v>
      </c>
      <c r="C91" s="3" t="str">
        <f t="shared" si="40"/>
        <v>Residential</v>
      </c>
      <c r="D91" s="3" t="str">
        <f t="shared" si="40"/>
        <v>without CL</v>
      </c>
      <c r="E91" s="3"/>
      <c r="F91" s="228"/>
      <c r="G91" s="60" t="s">
        <v>35</v>
      </c>
      <c r="H91" s="226"/>
      <c r="I91" s="226"/>
      <c r="J91" s="226">
        <f>J90*GST</f>
        <v>8.7584</v>
      </c>
      <c r="K91" s="247"/>
      <c r="L91" s="253"/>
      <c r="M91" s="247"/>
      <c r="N91" s="253"/>
      <c r="O91" s="226"/>
      <c r="P91" s="226"/>
      <c r="Q91" s="226">
        <f>Q90*GST</f>
        <v>9.407</v>
      </c>
      <c r="R91" s="248"/>
      <c r="U91" s="3"/>
      <c r="V91" s="3"/>
    </row>
    <row r="92" spans="1:22" s="19" customFormat="1" x14ac:dyDescent="0.35">
      <c r="A92" s="3"/>
      <c r="B92" s="3" t="str">
        <f t="shared" si="40"/>
        <v>Essential</v>
      </c>
      <c r="C92" s="3" t="str">
        <f t="shared" si="40"/>
        <v>Residential</v>
      </c>
      <c r="D92" s="3" t="str">
        <f t="shared" si="40"/>
        <v>without CL</v>
      </c>
      <c r="E92" s="3"/>
      <c r="F92" s="228"/>
      <c r="G92" s="5" t="s">
        <v>77</v>
      </c>
      <c r="H92" s="227"/>
      <c r="I92" s="227"/>
      <c r="J92" s="227">
        <f>SUM(J90:J91)</f>
        <v>96.342399999999998</v>
      </c>
      <c r="K92" s="248"/>
      <c r="L92" s="254"/>
      <c r="M92" s="248">
        <f>IF(OR(J92=0,Q92=""),"",Q92/J92-1)</f>
        <v>7.4054621848739455E-2</v>
      </c>
      <c r="N92" s="254"/>
      <c r="O92" s="227"/>
      <c r="P92" s="227"/>
      <c r="Q92" s="227">
        <f>SUM(Q90:Q91)</f>
        <v>103.47699999999999</v>
      </c>
      <c r="R92" s="248"/>
      <c r="U92" s="3"/>
      <c r="V92" s="3"/>
    </row>
    <row r="93" spans="1:22" s="19" customFormat="1" x14ac:dyDescent="0.35">
      <c r="A93" s="3"/>
      <c r="B93" s="3"/>
      <c r="C93" s="3"/>
      <c r="D93" s="3"/>
      <c r="E93" s="3"/>
      <c r="F93" s="228"/>
      <c r="G93" s="3"/>
      <c r="H93" s="224"/>
      <c r="I93" s="224"/>
      <c r="J93" s="224"/>
      <c r="K93" s="246"/>
      <c r="L93" s="252"/>
      <c r="M93" s="246"/>
      <c r="N93" s="252"/>
      <c r="O93" s="224"/>
      <c r="P93" s="224"/>
      <c r="Q93" s="224"/>
      <c r="R93" s="246"/>
      <c r="U93" s="3"/>
      <c r="V93" s="3"/>
    </row>
    <row r="94" spans="1:22" s="19" customFormat="1" x14ac:dyDescent="0.35">
      <c r="A94" s="3"/>
      <c r="B94" s="5" t="s">
        <v>3</v>
      </c>
      <c r="C94" s="5" t="s">
        <v>6</v>
      </c>
      <c r="D94" s="5" t="s">
        <v>137</v>
      </c>
      <c r="E94" s="3"/>
      <c r="F94" s="228"/>
      <c r="G94" s="3"/>
      <c r="H94" s="224"/>
      <c r="I94" s="224"/>
      <c r="J94" s="224"/>
      <c r="K94" s="246"/>
      <c r="L94" s="252"/>
      <c r="M94" s="246"/>
      <c r="N94" s="252"/>
      <c r="O94" s="224"/>
      <c r="P94" s="224"/>
      <c r="Q94" s="224"/>
      <c r="R94" s="246"/>
      <c r="U94" s="3"/>
      <c r="V94" s="3"/>
    </row>
    <row r="95" spans="1:22" s="19" customFormat="1" outlineLevel="1" x14ac:dyDescent="0.35">
      <c r="A95" s="3"/>
      <c r="B95" s="3" t="str">
        <f t="shared" ref="B95:B108" si="44">B94</f>
        <v>Essential</v>
      </c>
      <c r="C95" s="3" t="str">
        <f t="shared" ref="C95:C108" si="45">C94</f>
        <v>Residential</v>
      </c>
      <c r="D95" s="3" t="str">
        <f t="shared" ref="D95:D108" si="46">D94</f>
        <v>with CL</v>
      </c>
      <c r="E95" s="3" t="s">
        <v>21</v>
      </c>
      <c r="F95" s="228">
        <f t="array" ref="F95">IFERROR(INDEX(Usage!$B$5:$P$18,MATCH($B95,Usage!$B$5:$B$18,0),MATCH($C95&amp;$D95&amp;$E95&amp;"Total",Usage!$B$5:$S$5&amp;Usage!$B$6:$S$6&amp;Usage!$B$7:$S$7&amp;Usage!$B$13:$S$13,0)),0)</f>
        <v>4600</v>
      </c>
      <c r="G95" s="3" t="s">
        <v>53</v>
      </c>
      <c r="H95" s="224"/>
      <c r="I95" s="224">
        <f>I90</f>
        <v>19.04</v>
      </c>
      <c r="J95" s="224">
        <f t="shared" ref="J95:J107" si="47">IF(AND(H95="",I95=""),"",H95+I95*$F95/1000)</f>
        <v>87.584000000000003</v>
      </c>
      <c r="K95" s="246"/>
      <c r="L95" s="252"/>
      <c r="M95" s="246">
        <f>IF(OR(J95=0,Q95=""),"",Q95/J95-1)</f>
        <v>7.4054621848739455E-2</v>
      </c>
      <c r="N95" s="252"/>
      <c r="O95" s="224"/>
      <c r="P95" s="224">
        <f>P90</f>
        <v>20.45</v>
      </c>
      <c r="Q95" s="224">
        <f t="shared" ref="Q95:Q107" si="48">IF(AND(O95="",P95=""),"",O95+P95*$F95/1000)</f>
        <v>94.07</v>
      </c>
      <c r="R95" s="246"/>
      <c r="U95" s="3"/>
      <c r="V95" s="3"/>
    </row>
    <row r="96" spans="1:22" s="19" customFormat="1" outlineLevel="1" x14ac:dyDescent="0.35">
      <c r="A96" s="3"/>
      <c r="B96" s="3" t="str">
        <f t="shared" si="44"/>
        <v>Essential</v>
      </c>
      <c r="C96" s="3" t="str">
        <f t="shared" si="45"/>
        <v>Residential</v>
      </c>
      <c r="D96" s="3" t="str">
        <f t="shared" si="46"/>
        <v>with CL</v>
      </c>
      <c r="E96" s="3" t="s">
        <v>15</v>
      </c>
      <c r="F96" s="228">
        <f t="array" ref="F96">IFERROR(INDEX(Usage!$B$5:$P$18,MATCH($B96,Usage!$B$5:$B$18,0),MATCH($C96&amp;$D96&amp;$E96,Usage!$B$5:$S$5&amp;Usage!$B$6:$S$6&amp;Usage!$B$7:$S$7,0)),0)</f>
        <v>1540</v>
      </c>
      <c r="G96" s="3" t="s">
        <v>70</v>
      </c>
      <c r="H96" s="224"/>
      <c r="I96" s="224">
        <f t="array" ref="I96">IFERROR(INDEX('Detail inputs'!$B$3:$K$193,MATCH($B96&amp;$G96&amp;I$5,'Detail inputs'!$B$3:$B$193&amp;'Detail inputs'!$G$3:$G$193&amp;'Detail inputs'!$H$3:$H$193,0),MATCH(I$4,'Detail inputs'!$B$3:$K$3,0)),0)</f>
        <v>4.22</v>
      </c>
      <c r="J96" s="224">
        <f t="shared" si="47"/>
        <v>6.4987999999999992</v>
      </c>
      <c r="K96" s="246">
        <f>IFERROR(J96/J101,"")</f>
        <v>0.22163865546218484</v>
      </c>
      <c r="L96" s="243"/>
      <c r="M96" s="246">
        <f t="shared" ref="M96:M108" si="49">IF(OR(J96=0,Q96=""),"",Q96/J96-1)</f>
        <v>0.21563981042654046</v>
      </c>
      <c r="N96" s="243"/>
      <c r="O96" s="224"/>
      <c r="P96" s="224">
        <f t="array" ref="P96">IFERROR(INDEX('Detail inputs'!$B$3:$K$193,MATCH($B96&amp;$G96&amp;P$5,'Detail inputs'!$B$3:$B$193&amp;'Detail inputs'!$G$3:$G$193&amp;'Detail inputs'!$H$3:$H$193,0),MATCH(P$4,'Detail inputs'!$B$3:$K$3,0)),0)</f>
        <v>5.13</v>
      </c>
      <c r="Q96" s="224">
        <f t="shared" si="48"/>
        <v>7.9001999999999999</v>
      </c>
      <c r="R96" s="246">
        <f>IFERROR(Q96/Q101,"")</f>
        <v>0.25085574572127139</v>
      </c>
      <c r="U96" s="3"/>
      <c r="V96" s="3"/>
    </row>
    <row r="97" spans="1:22" s="19" customFormat="1" outlineLevel="1" x14ac:dyDescent="0.35">
      <c r="A97" s="3"/>
      <c r="B97" s="3" t="str">
        <f t="shared" si="44"/>
        <v>Essential</v>
      </c>
      <c r="C97" s="3" t="str">
        <f t="shared" si="45"/>
        <v>Residential</v>
      </c>
      <c r="D97" s="3" t="str">
        <f t="shared" si="46"/>
        <v>with CL</v>
      </c>
      <c r="E97" s="3" t="s">
        <v>15</v>
      </c>
      <c r="F97" s="228">
        <f t="array" ref="F97">IFERROR(INDEX(Usage!$B$5:$P$18,MATCH($B97,Usage!$B$5:$B$18,0),MATCH($C97&amp;$D97&amp;$E97,Usage!$B$5:$S$5&amp;Usage!$B$6:$S$6&amp;Usage!$B$7:$S$7,0)),0)</f>
        <v>1540</v>
      </c>
      <c r="G97" s="3" t="s">
        <v>71</v>
      </c>
      <c r="H97" s="224"/>
      <c r="I97" s="224">
        <f t="array" ref="I97">IFERROR(INDEX('Detail inputs'!$B$3:$K$193,MATCH($B97&amp;$G97&amp;I$5,'Detail inputs'!$B$3:$B$193&amp;'Detail inputs'!$G$3:$G$193&amp;'Detail inputs'!$H$3:$H$193,0),MATCH(I$4,'Detail inputs'!$B$3:$K$3,0)),0)</f>
        <v>11.52</v>
      </c>
      <c r="J97" s="224">
        <f t="shared" si="47"/>
        <v>17.7408</v>
      </c>
      <c r="K97" s="246">
        <f>IFERROR(J97/J101,"")</f>
        <v>0.60504201680672265</v>
      </c>
      <c r="L97" s="243"/>
      <c r="M97" s="246">
        <f t="shared" si="49"/>
        <v>-5.381944444444442E-2</v>
      </c>
      <c r="N97" s="243"/>
      <c r="O97" s="224"/>
      <c r="P97" s="224">
        <f t="array" ref="P97">IFERROR(INDEX('Detail inputs'!$B$3:$K$193,MATCH($B97&amp;$G97&amp;P$5,'Detail inputs'!$B$3:$B$193&amp;'Detail inputs'!$G$3:$G$193&amp;'Detail inputs'!$H$3:$H$193,0),MATCH(P$4,'Detail inputs'!$B$3:$K$3,0)),0)</f>
        <v>10.9</v>
      </c>
      <c r="Q97" s="224">
        <f t="shared" si="48"/>
        <v>16.786000000000001</v>
      </c>
      <c r="R97" s="246">
        <f>IFERROR(Q97/Q101,"")</f>
        <v>0.5330073349633252</v>
      </c>
      <c r="U97" s="3"/>
      <c r="V97" s="3"/>
    </row>
    <row r="98" spans="1:22" s="19" customFormat="1" outlineLevel="1" x14ac:dyDescent="0.35">
      <c r="A98" s="3"/>
      <c r="B98" s="3" t="str">
        <f t="shared" si="44"/>
        <v>Essential</v>
      </c>
      <c r="C98" s="3" t="str">
        <f t="shared" si="45"/>
        <v>Residential</v>
      </c>
      <c r="D98" s="3" t="str">
        <f t="shared" si="46"/>
        <v>with CL</v>
      </c>
      <c r="E98" s="3" t="s">
        <v>15</v>
      </c>
      <c r="F98" s="228">
        <f t="array" ref="F98">IFERROR(INDEX(Usage!$B$5:$P$18,MATCH($B98,Usage!$B$5:$B$18,0),MATCH($C98&amp;$D98&amp;$E98,Usage!$B$5:$S$5&amp;Usage!$B$6:$S$6&amp;Usage!$B$7:$S$7,0)),0)</f>
        <v>1540</v>
      </c>
      <c r="G98" s="3" t="s">
        <v>72</v>
      </c>
      <c r="H98" s="224"/>
      <c r="I98" s="224">
        <f t="array" ref="I98">IFERROR(INDEX('Detail inputs'!$B$3:$K$193,MATCH($B98&amp;$G98&amp;I$5,'Detail inputs'!$B$3:$B$193&amp;'Detail inputs'!$G$3:$G$193&amp;'Detail inputs'!$H$3:$H$193,0),MATCH(I$4,'Detail inputs'!$B$3:$K$3,0)),0)</f>
        <v>2.48</v>
      </c>
      <c r="J98" s="224">
        <f t="shared" si="47"/>
        <v>3.8191999999999999</v>
      </c>
      <c r="K98" s="246">
        <f>IFERROR(J98/J101,"")</f>
        <v>0.13025210084033614</v>
      </c>
      <c r="L98" s="243"/>
      <c r="M98" s="246">
        <f t="shared" si="49"/>
        <v>0.36693548387096775</v>
      </c>
      <c r="N98" s="243"/>
      <c r="O98" s="224"/>
      <c r="P98" s="224">
        <f t="array" ref="P98">IFERROR(INDEX('Detail inputs'!$B$3:$K$193,MATCH($B98&amp;$G98&amp;P$5,'Detail inputs'!$B$3:$B$193&amp;'Detail inputs'!$G$3:$G$193&amp;'Detail inputs'!$H$3:$H$193,0),MATCH(P$4,'Detail inputs'!$B$3:$K$3,0)),0)</f>
        <v>3.39</v>
      </c>
      <c r="Q98" s="224">
        <f t="shared" si="48"/>
        <v>5.2206000000000001</v>
      </c>
      <c r="R98" s="246">
        <f>IFERROR(Q98/Q101,"")</f>
        <v>0.16577017114914427</v>
      </c>
      <c r="U98" s="3"/>
      <c r="V98" s="3"/>
    </row>
    <row r="99" spans="1:22" s="19" customFormat="1" outlineLevel="1" x14ac:dyDescent="0.35">
      <c r="A99" s="3"/>
      <c r="B99" s="3" t="str">
        <f t="shared" si="44"/>
        <v>Essential</v>
      </c>
      <c r="C99" s="3" t="str">
        <f t="shared" si="45"/>
        <v>Residential</v>
      </c>
      <c r="D99" s="3" t="str">
        <f t="shared" si="46"/>
        <v>with CL</v>
      </c>
      <c r="E99" s="3" t="s">
        <v>15</v>
      </c>
      <c r="F99" s="228">
        <f t="array" ref="F99">IFERROR(INDEX(Usage!$B$5:$P$18,MATCH($B99,Usage!$B$5:$B$18,0),MATCH($C99&amp;$D99&amp;$E99,Usage!$B$5:$S$5&amp;Usage!$B$6:$S$6&amp;Usage!$B$7:$S$7,0)),0)</f>
        <v>1540</v>
      </c>
      <c r="G99" s="3" t="s">
        <v>187</v>
      </c>
      <c r="H99" s="224"/>
      <c r="I99" s="224">
        <f t="array" ref="I99">IFERROR(INDEX('Detail inputs'!$B$3:$K$193,MATCH($B99&amp;$G99&amp;I$5,'Detail inputs'!$B$3:$B$193&amp;'Detail inputs'!$G$3:$G$193&amp;'Detail inputs'!$H$3:$H$193,0),MATCH(I$4,'Detail inputs'!$B$3:$K$3,0)),0)</f>
        <v>0</v>
      </c>
      <c r="J99" s="224">
        <f t="shared" ref="J99" si="50">IF(AND(H99="",I99=""),"",H99+I99*$F99/1000)</f>
        <v>0</v>
      </c>
      <c r="K99" s="246">
        <f>IFERROR(J99/J101,"")</f>
        <v>0</v>
      </c>
      <c r="L99" s="243"/>
      <c r="M99" s="246" t="str">
        <f t="shared" ref="M99" si="51">IF(OR(J99=0,Q99=""),"",Q99/J99-1)</f>
        <v/>
      </c>
      <c r="N99" s="243"/>
      <c r="O99" s="224"/>
      <c r="P99" s="224">
        <f t="array" ref="P99">IFERROR(INDEX('Detail inputs'!$B$3:$K$193,MATCH($B99&amp;$G99&amp;P$5,'Detail inputs'!$B$3:$B$193&amp;'Detail inputs'!$G$3:$G$193&amp;'Detail inputs'!$H$3:$H$193,0),MATCH(P$4,'Detail inputs'!$B$3:$K$3,0)),0)</f>
        <v>0.22</v>
      </c>
      <c r="Q99" s="224">
        <f t="shared" ref="Q99" si="52">IF(AND(O99="",P99=""),"",O99+P99*$F99/1000)</f>
        <v>0.33879999999999999</v>
      </c>
      <c r="R99" s="246">
        <f>IFERROR(Q99/Q101,"")</f>
        <v>1.0757946210268949E-2</v>
      </c>
      <c r="U99" s="97"/>
      <c r="V99" s="97"/>
    </row>
    <row r="100" spans="1:22" s="19" customFormat="1" outlineLevel="1" x14ac:dyDescent="0.35">
      <c r="A100" s="3"/>
      <c r="B100" s="3" t="str">
        <f t="shared" si="44"/>
        <v>Essential</v>
      </c>
      <c r="C100" s="3" t="str">
        <f t="shared" si="45"/>
        <v>Residential</v>
      </c>
      <c r="D100" s="3" t="str">
        <f t="shared" si="46"/>
        <v>with CL</v>
      </c>
      <c r="E100" s="3" t="s">
        <v>15</v>
      </c>
      <c r="F100" s="228">
        <f t="array" ref="F100">IFERROR(INDEX(Usage!$B$5:$P$18,MATCH($B100,Usage!$B$5:$B$18,0),MATCH($C100&amp;$D100&amp;$E100,Usage!$B$5:$S$5&amp;Usage!$B$6:$S$6&amp;Usage!$B$7:$S$7,0)),0)</f>
        <v>1540</v>
      </c>
      <c r="G100" s="3" t="s">
        <v>69</v>
      </c>
      <c r="H100" s="224"/>
      <c r="I100" s="224" cm="1">
        <f t="array" ref="I100">ROUND(IFERROR(INDEX('Detail inputs'!$B$3:$K$193,MATCH($B100&amp;$C100&amp;$E100&amp;$G100&amp;I$5,'Detail inputs'!$B$3:$B$193&amp;'Detail inputs'!$D$3:$D$193&amp;'Detail inputs'!$F$3:$F$193&amp;'Detail inputs'!$G$3:$G$193&amp;'Detail inputs'!$H$3:$H$193,0),MATCH(I$4,'Detail inputs'!$B$3:$K$3,0)),0)*SUM(I96:I99),2)</f>
        <v>0.82</v>
      </c>
      <c r="J100" s="224">
        <f t="shared" si="47"/>
        <v>1.2627999999999999</v>
      </c>
      <c r="K100" s="246">
        <f>IFERROR(J100/J101,"")</f>
        <v>4.3067226890756302E-2</v>
      </c>
      <c r="L100" s="243"/>
      <c r="M100" s="246">
        <f t="shared" si="49"/>
        <v>-1.2195121951219412E-2</v>
      </c>
      <c r="N100" s="243"/>
      <c r="O100" s="224"/>
      <c r="P100" s="224" cm="1">
        <f t="array" ref="P100">ROUND(IFERROR(INDEX('Detail inputs'!$B$3:$K$193,MATCH($B100&amp;$C100&amp;$E100&amp;$G100&amp;P$5,'Detail inputs'!$B$3:$B$193&amp;'Detail inputs'!$D$3:$D$193&amp;'Detail inputs'!$F$3:$F$193&amp;'Detail inputs'!$G$3:$G$193&amp;'Detail inputs'!$H$3:$H$193,0),MATCH(P$4,'Detail inputs'!$B$3:$K$3,0)),0)*SUM(P96:P99),2)</f>
        <v>0.81</v>
      </c>
      <c r="Q100" s="224">
        <f>IF(AND(O100="",P100=""),"",O100+P100*$F100/1000)</f>
        <v>1.2474000000000001</v>
      </c>
      <c r="R100" s="246">
        <f>IFERROR(Q100/Q101,"")</f>
        <v>3.9608801955990224E-2</v>
      </c>
      <c r="U100" s="3"/>
      <c r="V100" s="3"/>
    </row>
    <row r="101" spans="1:22" s="19" customFormat="1" outlineLevel="1" x14ac:dyDescent="0.3">
      <c r="A101" s="3"/>
      <c r="B101" s="3" t="str">
        <f t="shared" si="44"/>
        <v>Essential</v>
      </c>
      <c r="C101" s="3" t="str">
        <f t="shared" si="45"/>
        <v>Residential</v>
      </c>
      <c r="D101" s="3" t="str">
        <f t="shared" si="46"/>
        <v>with CL</v>
      </c>
      <c r="E101" s="3" t="s">
        <v>15</v>
      </c>
      <c r="F101" s="228">
        <f t="array" ref="F101">IFERROR(INDEX(Usage!$B$5:$P$18,MATCH($B101,Usage!$B$5:$B$18,0),MATCH($C101&amp;$D101&amp;$E101,Usage!$B$5:$S$5&amp;Usage!$B$6:$S$6&amp;Usage!$B$7:$S$7,0)),0)</f>
        <v>1540</v>
      </c>
      <c r="G101" s="3" t="s">
        <v>53</v>
      </c>
      <c r="H101" s="226"/>
      <c r="I101" s="226">
        <f t="array" ref="I101">INDEX('Key inputs'!$B$16:$N$40,MATCH($B101&amp;$C101&amp;$E101,'Key inputs'!$B$16:$B$40&amp;'Key inputs'!$C$16:$C$40&amp;'Key inputs'!$D$16:$D$40,0),MATCH($A$2&amp;I$4,'Key inputs'!$B$17:$N$17&amp;'Key inputs'!$B$18:$N$18,0))</f>
        <v>19.04</v>
      </c>
      <c r="J101" s="224">
        <f t="shared" si="47"/>
        <v>29.3216</v>
      </c>
      <c r="K101" s="247"/>
      <c r="L101" s="253"/>
      <c r="M101" s="247">
        <f t="shared" si="49"/>
        <v>7.4054621848739455E-2</v>
      </c>
      <c r="N101" s="253"/>
      <c r="O101" s="226"/>
      <c r="P101" s="226">
        <f t="array" ref="P101">INDEX('Key inputs'!$B$16:$N$40,MATCH($B101&amp;$C101&amp;$E101,'Key inputs'!$B$16:$B$40&amp;'Key inputs'!$C$16:$C$40&amp;'Key inputs'!$D$16:$D$40,0),MATCH($A$2&amp;P$4,'Key inputs'!$B$17:$N$17&amp;'Key inputs'!$B$18:$N$18,0))</f>
        <v>20.45</v>
      </c>
      <c r="Q101" s="224">
        <f t="shared" si="48"/>
        <v>31.492999999999999</v>
      </c>
      <c r="R101" s="247"/>
      <c r="S101" s="104"/>
      <c r="T101" s="104"/>
      <c r="U101" s="97"/>
      <c r="V101" s="97"/>
    </row>
    <row r="102" spans="1:22" s="19" customFormat="1" outlineLevel="1" x14ac:dyDescent="0.35">
      <c r="A102" s="3"/>
      <c r="B102" s="3" t="str">
        <f t="shared" si="44"/>
        <v>Essential</v>
      </c>
      <c r="C102" s="3" t="str">
        <f t="shared" si="45"/>
        <v>Residential</v>
      </c>
      <c r="D102" s="3" t="str">
        <f t="shared" si="46"/>
        <v>with CL</v>
      </c>
      <c r="E102" s="3" t="s">
        <v>16</v>
      </c>
      <c r="F102" s="228">
        <f t="array" ref="F102">IFERROR(INDEX(Usage!$B$5:$P$18,MATCH($B102,Usage!$B$5:$B$18,0),MATCH($C102&amp;$D102&amp;$E102,Usage!$B$5:$S$5&amp;Usage!$B$6:$S$6&amp;Usage!$B$7:$S$7,0)),0)</f>
        <v>460</v>
      </c>
      <c r="G102" s="3" t="s">
        <v>70</v>
      </c>
      <c r="H102" s="224"/>
      <c r="I102" s="224">
        <f t="array" ref="I102">IFERROR(INDEX('Detail inputs'!$B$3:$K$193,MATCH($B102&amp;$G102&amp;I$5,'Detail inputs'!$B$3:$B$193&amp;'Detail inputs'!$G$3:$G$193&amp;'Detail inputs'!$H$3:$H$193,0),MATCH(I$4,'Detail inputs'!$B$3:$K$3,0)),0)</f>
        <v>4.22</v>
      </c>
      <c r="J102" s="224">
        <f t="shared" si="47"/>
        <v>1.9411999999999998</v>
      </c>
      <c r="K102" s="246">
        <f>IFERROR(J102/J107,"")</f>
        <v>0.22163865546218486</v>
      </c>
      <c r="L102" s="243"/>
      <c r="M102" s="246">
        <f t="shared" si="49"/>
        <v>0.21563981042654046</v>
      </c>
      <c r="N102" s="243"/>
      <c r="O102" s="224"/>
      <c r="P102" s="224">
        <f t="array" ref="P102">IFERROR(INDEX('Detail inputs'!$B$3:$K$193,MATCH($B102&amp;$G102&amp;P$5,'Detail inputs'!$B$3:$B$193&amp;'Detail inputs'!$G$3:$G$193&amp;'Detail inputs'!$H$3:$H$193,0),MATCH(P$4,'Detail inputs'!$B$3:$K$3,0)),0)</f>
        <v>5.13</v>
      </c>
      <c r="Q102" s="224">
        <f t="shared" si="48"/>
        <v>2.3597999999999999</v>
      </c>
      <c r="R102" s="246">
        <f>IFERROR(Q102/Q107,"")</f>
        <v>0.25085574572127139</v>
      </c>
      <c r="U102" s="3"/>
      <c r="V102" s="3"/>
    </row>
    <row r="103" spans="1:22" s="19" customFormat="1" outlineLevel="1" x14ac:dyDescent="0.35">
      <c r="A103" s="3"/>
      <c r="B103" s="3" t="str">
        <f t="shared" si="44"/>
        <v>Essential</v>
      </c>
      <c r="C103" s="3" t="str">
        <f t="shared" si="45"/>
        <v>Residential</v>
      </c>
      <c r="D103" s="3" t="str">
        <f t="shared" si="46"/>
        <v>with CL</v>
      </c>
      <c r="E103" s="3" t="s">
        <v>16</v>
      </c>
      <c r="F103" s="228">
        <f t="array" ref="F103">IFERROR(INDEX(Usage!$B$5:$P$18,MATCH($B103,Usage!$B$5:$B$18,0),MATCH($C103&amp;$D103&amp;$E103,Usage!$B$5:$S$5&amp;Usage!$B$6:$S$6&amp;Usage!$B$7:$S$7,0)),0)</f>
        <v>460</v>
      </c>
      <c r="G103" s="3" t="s">
        <v>71</v>
      </c>
      <c r="H103" s="226"/>
      <c r="I103" s="226">
        <f t="array" ref="I103">IFERROR(INDEX('Detail inputs'!$B$3:$K$193,MATCH($B103&amp;$G103&amp;I$5,'Detail inputs'!$B$3:$B$193&amp;'Detail inputs'!$G$3:$G$193&amp;'Detail inputs'!$H$3:$H$193,0),MATCH(I$4,'Detail inputs'!$B$3:$K$3,0)),0)</f>
        <v>11.52</v>
      </c>
      <c r="J103" s="226">
        <f t="shared" si="47"/>
        <v>5.2991999999999999</v>
      </c>
      <c r="K103" s="247">
        <f>IFERROR(J103/J107,"")</f>
        <v>0.60504201680672265</v>
      </c>
      <c r="L103" s="244"/>
      <c r="M103" s="247">
        <f t="shared" si="49"/>
        <v>-5.381944444444442E-2</v>
      </c>
      <c r="N103" s="244"/>
      <c r="O103" s="226"/>
      <c r="P103" s="226">
        <f t="array" ref="P103">IFERROR(INDEX('Detail inputs'!$B$3:$K$193,MATCH($B103&amp;$G103&amp;P$5,'Detail inputs'!$B$3:$B$193&amp;'Detail inputs'!$G$3:$G$193&amp;'Detail inputs'!$H$3:$H$193,0),MATCH(P$4,'Detail inputs'!$B$3:$K$3,0)),0)</f>
        <v>10.9</v>
      </c>
      <c r="Q103" s="226">
        <f t="shared" si="48"/>
        <v>5.0140000000000002</v>
      </c>
      <c r="R103" s="247">
        <f>IFERROR(Q103/Q107,"")</f>
        <v>0.5330073349633252</v>
      </c>
      <c r="U103" s="3"/>
      <c r="V103" s="3"/>
    </row>
    <row r="104" spans="1:22" s="19" customFormat="1" outlineLevel="1" x14ac:dyDescent="0.35">
      <c r="A104" s="3"/>
      <c r="B104" s="3" t="str">
        <f t="shared" si="44"/>
        <v>Essential</v>
      </c>
      <c r="C104" s="3" t="str">
        <f t="shared" si="45"/>
        <v>Residential</v>
      </c>
      <c r="D104" s="3" t="str">
        <f t="shared" si="46"/>
        <v>with CL</v>
      </c>
      <c r="E104" s="3" t="s">
        <v>16</v>
      </c>
      <c r="F104" s="228">
        <f t="array" ref="F104">IFERROR(INDEX(Usage!$B$5:$P$18,MATCH($B104,Usage!$B$5:$B$18,0),MATCH($C104&amp;$D104&amp;$E104,Usage!$B$5:$S$5&amp;Usage!$B$6:$S$6&amp;Usage!$B$7:$S$7,0)),0)</f>
        <v>460</v>
      </c>
      <c r="G104" s="3" t="s">
        <v>72</v>
      </c>
      <c r="H104" s="226"/>
      <c r="I104" s="226">
        <f t="array" ref="I104">IFERROR(INDEX('Detail inputs'!$B$3:$K$193,MATCH($B104&amp;$G104&amp;I$5,'Detail inputs'!$B$3:$B$193&amp;'Detail inputs'!$G$3:$G$193&amp;'Detail inputs'!$H$3:$H$193,0),MATCH(I$4,'Detail inputs'!$B$3:$K$3,0)),0)</f>
        <v>2.48</v>
      </c>
      <c r="J104" s="226">
        <f t="shared" si="47"/>
        <v>1.1408</v>
      </c>
      <c r="K104" s="247">
        <f>IFERROR(J104/J107,"")</f>
        <v>0.13025210084033614</v>
      </c>
      <c r="L104" s="244"/>
      <c r="M104" s="247">
        <f t="shared" si="49"/>
        <v>0.36693548387096775</v>
      </c>
      <c r="N104" s="244"/>
      <c r="O104" s="226"/>
      <c r="P104" s="226">
        <f t="array" ref="P104">IFERROR(INDEX('Detail inputs'!$B$3:$K$193,MATCH($B104&amp;$G104&amp;P$5,'Detail inputs'!$B$3:$B$193&amp;'Detail inputs'!$G$3:$G$193&amp;'Detail inputs'!$H$3:$H$193,0),MATCH(P$4,'Detail inputs'!$B$3:$K$3,0)),0)</f>
        <v>3.39</v>
      </c>
      <c r="Q104" s="226">
        <f t="shared" si="48"/>
        <v>1.5594000000000001</v>
      </c>
      <c r="R104" s="247">
        <f>IFERROR(Q104/Q107,"")</f>
        <v>0.16577017114914427</v>
      </c>
      <c r="U104" s="3"/>
      <c r="V104" s="3"/>
    </row>
    <row r="105" spans="1:22" s="19" customFormat="1" outlineLevel="1" x14ac:dyDescent="0.35">
      <c r="A105" s="3"/>
      <c r="B105" s="3" t="str">
        <f t="shared" si="44"/>
        <v>Essential</v>
      </c>
      <c r="C105" s="3" t="str">
        <f t="shared" si="45"/>
        <v>Residential</v>
      </c>
      <c r="D105" s="3" t="str">
        <f t="shared" si="46"/>
        <v>with CL</v>
      </c>
      <c r="E105" s="3" t="s">
        <v>16</v>
      </c>
      <c r="F105" s="228">
        <f t="array" ref="F105">IFERROR(INDEX(Usage!$B$5:$P$18,MATCH($B105,Usage!$B$5:$B$18,0),MATCH($C105&amp;$D105&amp;$E105,Usage!$B$5:$S$5&amp;Usage!$B$6:$S$6&amp;Usage!$B$7:$S$7,0)),0)</f>
        <v>460</v>
      </c>
      <c r="G105" s="3" t="s">
        <v>187</v>
      </c>
      <c r="H105" s="226"/>
      <c r="I105" s="226">
        <f t="array" ref="I105">IFERROR(INDEX('Detail inputs'!$B$3:$K$193,MATCH($B105&amp;$G105&amp;I$5,'Detail inputs'!$B$3:$B$193&amp;'Detail inputs'!$G$3:$G$193&amp;'Detail inputs'!$H$3:$H$193,0),MATCH(I$4,'Detail inputs'!$B$3:$K$3,0)),0)</f>
        <v>0</v>
      </c>
      <c r="J105" s="226">
        <f t="shared" ref="J105" si="53">IF(AND(H105="",I105=""),"",H105+I105*$F105/1000)</f>
        <v>0</v>
      </c>
      <c r="K105" s="247">
        <f>IFERROR(J105/J107,"")</f>
        <v>0</v>
      </c>
      <c r="L105" s="244"/>
      <c r="M105" s="247" t="str">
        <f t="shared" ref="M105" si="54">IF(OR(J105=0,Q105=""),"",Q105/J105-1)</f>
        <v/>
      </c>
      <c r="N105" s="244"/>
      <c r="O105" s="226"/>
      <c r="P105" s="226">
        <f t="array" ref="P105">IFERROR(INDEX('Detail inputs'!$B$3:$K$193,MATCH($B105&amp;$G105&amp;P$5,'Detail inputs'!$B$3:$B$193&amp;'Detail inputs'!$G$3:$G$193&amp;'Detail inputs'!$H$3:$H$193,0),MATCH(P$4,'Detail inputs'!$B$3:$K$3,0)),0)</f>
        <v>0.22</v>
      </c>
      <c r="Q105" s="226">
        <f t="shared" ref="Q105" si="55">IF(AND(O105="",P105=""),"",O105+P105*$F105/1000)</f>
        <v>0.1012</v>
      </c>
      <c r="R105" s="247">
        <f>IFERROR(Q105/Q107,"")</f>
        <v>1.0757946210268949E-2</v>
      </c>
      <c r="U105" s="3"/>
      <c r="V105" s="3"/>
    </row>
    <row r="106" spans="1:22" s="19" customFormat="1" outlineLevel="1" x14ac:dyDescent="0.35">
      <c r="A106" s="3"/>
      <c r="B106" s="3" t="str">
        <f t="shared" si="44"/>
        <v>Essential</v>
      </c>
      <c r="C106" s="3" t="str">
        <f t="shared" si="45"/>
        <v>Residential</v>
      </c>
      <c r="D106" s="3" t="str">
        <f t="shared" si="46"/>
        <v>with CL</v>
      </c>
      <c r="E106" s="3" t="s">
        <v>16</v>
      </c>
      <c r="F106" s="228">
        <f t="array" ref="F106">IFERROR(INDEX(Usage!$B$5:$P$18,MATCH($B106,Usage!$B$5:$B$18,0),MATCH($C106&amp;$D106&amp;$E106,Usage!$B$5:$S$5&amp;Usage!$B$6:$S$6&amp;Usage!$B$7:$S$7,0)),0)</f>
        <v>460</v>
      </c>
      <c r="G106" s="3" t="s">
        <v>69</v>
      </c>
      <c r="H106" s="226"/>
      <c r="I106" s="224" cm="1">
        <f t="array" ref="I106">ROUND(IFERROR(INDEX('Detail inputs'!$B$3:$K$193,MATCH($B106&amp;$C106&amp;$E106&amp;$G106&amp;I$5,'Detail inputs'!$B$3:$B$193&amp;'Detail inputs'!$D$3:$D$193&amp;'Detail inputs'!$F$3:$F$193&amp;'Detail inputs'!$G$3:$G$193&amp;'Detail inputs'!$H$3:$H$193,0),MATCH(I$4,'Detail inputs'!$B$3:$K$3,0)),0)*SUM(I102:I105),2)</f>
        <v>0.82</v>
      </c>
      <c r="J106" s="226">
        <f t="shared" si="47"/>
        <v>0.37719999999999998</v>
      </c>
      <c r="K106" s="247">
        <f>IFERROR(J106/J107,"")</f>
        <v>4.3067226890756302E-2</v>
      </c>
      <c r="L106" s="244"/>
      <c r="M106" s="247">
        <f t="shared" si="49"/>
        <v>-1.2195121951219301E-2</v>
      </c>
      <c r="N106" s="244"/>
      <c r="O106" s="226"/>
      <c r="P106" s="224" cm="1">
        <f t="array" ref="P106">ROUND(IFERROR(INDEX('Detail inputs'!$B$3:$K$193,MATCH($B106&amp;$C106&amp;$E106&amp;$G106&amp;P$5,'Detail inputs'!$B$3:$B$193&amp;'Detail inputs'!$D$3:$D$193&amp;'Detail inputs'!$F$3:$F$193&amp;'Detail inputs'!$G$3:$G$193&amp;'Detail inputs'!$H$3:$H$193,0),MATCH(P$4,'Detail inputs'!$B$3:$K$3,0)),0)*SUM(P102:P105),2)</f>
        <v>0.81</v>
      </c>
      <c r="Q106" s="226">
        <f t="shared" si="48"/>
        <v>0.37260000000000004</v>
      </c>
      <c r="R106" s="247">
        <f>IFERROR(Q106/Q107,"")</f>
        <v>3.9608801955990224E-2</v>
      </c>
      <c r="U106" s="3"/>
      <c r="V106" s="3"/>
    </row>
    <row r="107" spans="1:22" s="19" customFormat="1" outlineLevel="1" x14ac:dyDescent="0.3">
      <c r="A107" s="3"/>
      <c r="B107" s="3" t="str">
        <f t="shared" si="44"/>
        <v>Essential</v>
      </c>
      <c r="C107" s="3" t="str">
        <f t="shared" si="45"/>
        <v>Residential</v>
      </c>
      <c r="D107" s="3" t="str">
        <f t="shared" si="46"/>
        <v>with CL</v>
      </c>
      <c r="E107" s="3" t="s">
        <v>16</v>
      </c>
      <c r="F107" s="228">
        <f t="array" ref="F107">IFERROR(INDEX(Usage!$B$5:$P$18,MATCH($B107,Usage!$B$5:$B$18,0),MATCH($C107&amp;$D107&amp;$E107,Usage!$B$5:$S$5&amp;Usage!$B$6:$S$6&amp;Usage!$B$7:$S$7,0)),0)</f>
        <v>460</v>
      </c>
      <c r="G107" s="3" t="s">
        <v>53</v>
      </c>
      <c r="H107" s="226"/>
      <c r="I107" s="226">
        <f t="array" ref="I107">INDEX('Key inputs'!$B$16:$N$40,MATCH($B107&amp;$C107&amp;$E107,'Key inputs'!$B$16:$B$40&amp;'Key inputs'!$C$16:$C$40&amp;'Key inputs'!$D$16:$D$40,0),MATCH($A$2&amp;I$4,'Key inputs'!$B$17:$N$17&amp;'Key inputs'!$B$18:$N$18,0))</f>
        <v>19.04</v>
      </c>
      <c r="J107" s="224">
        <f t="shared" si="47"/>
        <v>8.7584</v>
      </c>
      <c r="K107" s="247"/>
      <c r="L107" s="253"/>
      <c r="M107" s="247">
        <f t="shared" si="49"/>
        <v>7.4054621848739455E-2</v>
      </c>
      <c r="N107" s="253"/>
      <c r="O107" s="226"/>
      <c r="P107" s="226">
        <f t="array" ref="P107">INDEX('Key inputs'!$B$16:$N$40,MATCH($B107&amp;$C107&amp;$E107,'Key inputs'!$B$16:$B$40&amp;'Key inputs'!$C$16:$C$40&amp;'Key inputs'!$D$16:$D$40,0),MATCH($A$2&amp;P$4,'Key inputs'!$B$17:$N$17&amp;'Key inputs'!$B$18:$N$18,0))</f>
        <v>20.45</v>
      </c>
      <c r="Q107" s="224">
        <f t="shared" si="48"/>
        <v>9.407</v>
      </c>
      <c r="R107" s="247"/>
      <c r="S107" s="104"/>
      <c r="T107" s="104"/>
      <c r="U107" s="97"/>
      <c r="V107" s="97"/>
    </row>
    <row r="108" spans="1:22" s="65" customFormat="1" x14ac:dyDescent="0.35">
      <c r="A108" s="60"/>
      <c r="B108" s="60" t="str">
        <f t="shared" si="44"/>
        <v>Essential</v>
      </c>
      <c r="C108" s="60" t="str">
        <f t="shared" si="45"/>
        <v>Residential</v>
      </c>
      <c r="D108" s="60" t="str">
        <f t="shared" si="46"/>
        <v>with CL</v>
      </c>
      <c r="E108" s="60" t="s">
        <v>53</v>
      </c>
      <c r="F108" s="228">
        <f t="array" ref="F108">IFERROR(INDEX(Usage!$B$5:$P$18,MATCH($B108,Usage!$B$5:$B$18,0),MATCH($C108&amp;$D108&amp;$E108,Usage!$B$5:$S$5&amp;Usage!$B$6:$S$6&amp;Usage!$B$7:$S$7,0)),0)</f>
        <v>6600</v>
      </c>
      <c r="G108" s="60" t="s">
        <v>53</v>
      </c>
      <c r="H108" s="226"/>
      <c r="I108" s="226">
        <f>I95+I101+I107</f>
        <v>57.12</v>
      </c>
      <c r="J108" s="226">
        <f>J95+J101+J107</f>
        <v>125.664</v>
      </c>
      <c r="K108" s="247"/>
      <c r="L108" s="253"/>
      <c r="M108" s="247">
        <f t="shared" si="49"/>
        <v>7.4054621848739455E-2</v>
      </c>
      <c r="N108" s="253"/>
      <c r="O108" s="226"/>
      <c r="P108" s="226">
        <f>P95+P101+P107</f>
        <v>61.349999999999994</v>
      </c>
      <c r="Q108" s="226">
        <f>Q95+Q101+Q107</f>
        <v>134.97</v>
      </c>
      <c r="R108" s="247"/>
      <c r="U108" s="3"/>
      <c r="V108" s="3"/>
    </row>
    <row r="109" spans="1:22" s="19" customFormat="1" outlineLevel="1" x14ac:dyDescent="0.35">
      <c r="A109" s="3"/>
      <c r="B109" s="3" t="str">
        <f t="shared" ref="B109:D110" si="56">B108</f>
        <v>Essential</v>
      </c>
      <c r="C109" s="3" t="str">
        <f t="shared" si="56"/>
        <v>Residential</v>
      </c>
      <c r="D109" s="3" t="str">
        <f t="shared" si="56"/>
        <v>with CL</v>
      </c>
      <c r="E109" s="3"/>
      <c r="F109" s="228"/>
      <c r="G109" s="60" t="s">
        <v>35</v>
      </c>
      <c r="H109" s="226"/>
      <c r="I109" s="226"/>
      <c r="J109" s="226">
        <f>J108*GST</f>
        <v>12.566400000000002</v>
      </c>
      <c r="K109" s="247"/>
      <c r="L109" s="253"/>
      <c r="M109" s="247"/>
      <c r="N109" s="253"/>
      <c r="O109" s="226"/>
      <c r="P109" s="226"/>
      <c r="Q109" s="226">
        <f>Q108*GST</f>
        <v>13.497</v>
      </c>
      <c r="R109" s="248"/>
      <c r="U109" s="3"/>
      <c r="V109" s="3"/>
    </row>
    <row r="110" spans="1:22" s="19" customFormat="1" x14ac:dyDescent="0.35">
      <c r="A110" s="3"/>
      <c r="B110" s="3" t="str">
        <f t="shared" si="56"/>
        <v>Essential</v>
      </c>
      <c r="C110" s="3" t="str">
        <f t="shared" si="56"/>
        <v>Residential</v>
      </c>
      <c r="D110" s="3" t="str">
        <f t="shared" si="56"/>
        <v>with CL</v>
      </c>
      <c r="E110" s="3"/>
      <c r="F110" s="228"/>
      <c r="G110" s="5" t="s">
        <v>77</v>
      </c>
      <c r="H110" s="227"/>
      <c r="I110" s="227"/>
      <c r="J110" s="227">
        <f>SUM(J108:J109)</f>
        <v>138.2304</v>
      </c>
      <c r="K110" s="248"/>
      <c r="L110" s="254"/>
      <c r="M110" s="248">
        <f>IF(OR(J110=0,Q110=""),"",Q110/J110-1)</f>
        <v>7.4054621848739455E-2</v>
      </c>
      <c r="N110" s="254"/>
      <c r="O110" s="227"/>
      <c r="P110" s="227"/>
      <c r="Q110" s="227">
        <f>SUM(Q108:Q109)</f>
        <v>148.46699999999998</v>
      </c>
      <c r="R110" s="248"/>
      <c r="U110" s="3"/>
      <c r="V110" s="3"/>
    </row>
    <row r="111" spans="1:22" s="19" customFormat="1" x14ac:dyDescent="0.35">
      <c r="A111" s="3"/>
      <c r="B111" s="3"/>
      <c r="C111" s="3"/>
      <c r="D111" s="3"/>
      <c r="E111" s="3"/>
      <c r="F111" s="228"/>
      <c r="G111" s="3"/>
      <c r="H111" s="224"/>
      <c r="I111" s="224"/>
      <c r="J111" s="224"/>
      <c r="K111" s="246"/>
      <c r="L111" s="252"/>
      <c r="M111" s="246"/>
      <c r="N111" s="252"/>
      <c r="O111" s="224"/>
      <c r="P111" s="224"/>
      <c r="Q111" s="224"/>
      <c r="R111" s="246"/>
      <c r="U111" s="97"/>
      <c r="V111" s="97"/>
    </row>
    <row r="112" spans="1:22" s="19" customFormat="1" x14ac:dyDescent="0.35">
      <c r="A112" s="3"/>
      <c r="B112" s="5" t="s">
        <v>3</v>
      </c>
      <c r="C112" s="5" t="s">
        <v>14</v>
      </c>
      <c r="D112" s="5" t="s">
        <v>136</v>
      </c>
      <c r="E112" s="3"/>
      <c r="F112" s="228"/>
      <c r="G112" s="3"/>
      <c r="H112" s="224"/>
      <c r="I112" s="224"/>
      <c r="J112" s="224"/>
      <c r="K112" s="246"/>
      <c r="L112" s="252"/>
      <c r="M112" s="246"/>
      <c r="N112" s="252"/>
      <c r="O112" s="224"/>
      <c r="P112" s="224"/>
      <c r="Q112" s="224"/>
      <c r="R112" s="246"/>
      <c r="U112" s="3"/>
      <c r="V112" s="3"/>
    </row>
    <row r="113" spans="1:22" s="19" customFormat="1" outlineLevel="1" x14ac:dyDescent="0.35">
      <c r="A113" s="3"/>
      <c r="B113" s="3" t="str">
        <f t="shared" ref="B113:D120" si="57">B112</f>
        <v>Essential</v>
      </c>
      <c r="C113" s="3" t="str">
        <f t="shared" si="57"/>
        <v>Small business</v>
      </c>
      <c r="D113" s="3" t="str">
        <f t="shared" si="57"/>
        <v>without CL</v>
      </c>
      <c r="E113" s="3" t="s">
        <v>21</v>
      </c>
      <c r="F113" s="228">
        <f t="array" ref="F113">IFERROR(INDEX(Usage!$B$5:$P$18,MATCH($B113,Usage!$B$5:$B$18,0),MATCH($C113&amp;$D113&amp;$E113,Usage!$B$5:$S$5&amp;Usage!$B$6:$S$6&amp;Usage!$B$7:$S$7,0)),0)</f>
        <v>10000</v>
      </c>
      <c r="G113" s="3" t="s">
        <v>70</v>
      </c>
      <c r="H113" s="224"/>
      <c r="I113" s="224"/>
      <c r="J113" s="224"/>
      <c r="K113" s="246"/>
      <c r="L113" s="243"/>
      <c r="M113" s="246"/>
      <c r="N113" s="243"/>
      <c r="O113" s="224"/>
      <c r="P113" s="224">
        <f t="array" ref="P113">IFERROR(INDEX('Detail inputs'!$B$3:$K$193,MATCH($B113&amp;$G113&amp;P$5,'Detail inputs'!$B$3:$B$193&amp;'Detail inputs'!$G$3:$G$193&amp;'Detail inputs'!$H$3:$H$193,0),MATCH(P$4,'Detail inputs'!$B$3:$K$3,0)),0)</f>
        <v>5.13</v>
      </c>
      <c r="Q113" s="224">
        <f t="shared" ref="Q113:Q118" si="58">IF(AND(O113="",P113=""),"",O113+P113*$F113/1000)</f>
        <v>51.3</v>
      </c>
      <c r="R113" s="246">
        <f>IFERROR(Q113/Q118,"")</f>
        <v>0.25085574572127139</v>
      </c>
      <c r="U113" s="3"/>
      <c r="V113" s="3"/>
    </row>
    <row r="114" spans="1:22" s="19" customFormat="1" outlineLevel="1" x14ac:dyDescent="0.35">
      <c r="A114" s="3"/>
      <c r="B114" s="3" t="str">
        <f t="shared" si="57"/>
        <v>Essential</v>
      </c>
      <c r="C114" s="3" t="str">
        <f t="shared" si="57"/>
        <v>Small business</v>
      </c>
      <c r="D114" s="3" t="str">
        <f t="shared" si="57"/>
        <v>without CL</v>
      </c>
      <c r="E114" s="3" t="s">
        <v>21</v>
      </c>
      <c r="F114" s="228">
        <f t="array" ref="F114">IFERROR(INDEX(Usage!$B$5:$P$18,MATCH($B114,Usage!$B$5:$B$18,0),MATCH($C114&amp;$D114&amp;$E114,Usage!$B$5:$S$5&amp;Usage!$B$6:$S$6&amp;Usage!$B$7:$S$7,0)),0)</f>
        <v>10000</v>
      </c>
      <c r="G114" s="3" t="s">
        <v>71</v>
      </c>
      <c r="H114" s="224"/>
      <c r="I114" s="224"/>
      <c r="J114" s="224"/>
      <c r="K114" s="246"/>
      <c r="L114" s="243"/>
      <c r="M114" s="246"/>
      <c r="N114" s="243"/>
      <c r="O114" s="224"/>
      <c r="P114" s="224">
        <f t="array" ref="P114">IFERROR(INDEX('Detail inputs'!$B$3:$K$193,MATCH($B114&amp;$G114&amp;P$5,'Detail inputs'!$B$3:$B$193&amp;'Detail inputs'!$G$3:$G$193&amp;'Detail inputs'!$H$3:$H$193,0),MATCH(P$4,'Detail inputs'!$B$3:$K$3,0)),0)</f>
        <v>10.9</v>
      </c>
      <c r="Q114" s="224">
        <f t="shared" si="58"/>
        <v>109</v>
      </c>
      <c r="R114" s="246">
        <f>IFERROR(Q114/Q118,"")</f>
        <v>0.5330073349633252</v>
      </c>
      <c r="U114" s="3"/>
      <c r="V114" s="3"/>
    </row>
    <row r="115" spans="1:22" s="19" customFormat="1" outlineLevel="1" x14ac:dyDescent="0.35">
      <c r="A115" s="3"/>
      <c r="B115" s="3" t="str">
        <f t="shared" si="57"/>
        <v>Essential</v>
      </c>
      <c r="C115" s="3" t="str">
        <f t="shared" si="57"/>
        <v>Small business</v>
      </c>
      <c r="D115" s="3" t="str">
        <f t="shared" si="57"/>
        <v>without CL</v>
      </c>
      <c r="E115" s="3" t="s">
        <v>21</v>
      </c>
      <c r="F115" s="228">
        <f t="array" ref="F115">IFERROR(INDEX(Usage!$B$5:$P$18,MATCH($B115,Usage!$B$5:$B$18,0),MATCH($C115&amp;$D115&amp;$E115,Usage!$B$5:$S$5&amp;Usage!$B$6:$S$6&amp;Usage!$B$7:$S$7,0)),0)</f>
        <v>10000</v>
      </c>
      <c r="G115" s="3" t="s">
        <v>72</v>
      </c>
      <c r="H115" s="224"/>
      <c r="I115" s="224"/>
      <c r="J115" s="224"/>
      <c r="K115" s="246"/>
      <c r="L115" s="243"/>
      <c r="M115" s="246"/>
      <c r="N115" s="243"/>
      <c r="O115" s="224"/>
      <c r="P115" s="224">
        <f t="array" ref="P115">IFERROR(INDEX('Detail inputs'!$B$3:$K$193,MATCH($B115&amp;$G115&amp;P$5,'Detail inputs'!$B$3:$B$193&amp;'Detail inputs'!$G$3:$G$193&amp;'Detail inputs'!$H$3:$H$193,0),MATCH(P$4,'Detail inputs'!$B$3:$K$3,0)),0)</f>
        <v>3.39</v>
      </c>
      <c r="Q115" s="224">
        <f t="shared" si="58"/>
        <v>33.9</v>
      </c>
      <c r="R115" s="246">
        <f>IFERROR(Q115/Q118,"")</f>
        <v>0.16577017114914425</v>
      </c>
      <c r="U115" s="3"/>
      <c r="V115" s="3"/>
    </row>
    <row r="116" spans="1:22" s="19" customFormat="1" outlineLevel="1" x14ac:dyDescent="0.35">
      <c r="A116" s="3"/>
      <c r="B116" s="3" t="str">
        <f t="shared" si="57"/>
        <v>Essential</v>
      </c>
      <c r="C116" s="3" t="str">
        <f t="shared" si="57"/>
        <v>Small business</v>
      </c>
      <c r="D116" s="3" t="str">
        <f t="shared" si="57"/>
        <v>without CL</v>
      </c>
      <c r="E116" s="3" t="s">
        <v>21</v>
      </c>
      <c r="F116" s="228">
        <f t="array" ref="F116">IFERROR(INDEX(Usage!$B$5:$P$18,MATCH($B116,Usage!$B$5:$B$18,0),MATCH($C116&amp;$D116&amp;$E116,Usage!$B$5:$S$5&amp;Usage!$B$6:$S$6&amp;Usage!$B$7:$S$7,0)),0)</f>
        <v>10000</v>
      </c>
      <c r="G116" s="3" t="s">
        <v>187</v>
      </c>
      <c r="H116" s="224"/>
      <c r="I116" s="224"/>
      <c r="J116" s="224"/>
      <c r="K116" s="246"/>
      <c r="L116" s="243"/>
      <c r="M116" s="246"/>
      <c r="N116" s="243"/>
      <c r="O116" s="224"/>
      <c r="P116" s="224">
        <f t="array" ref="P116">IFERROR(INDEX('Detail inputs'!$B$3:$K$193,MATCH($B116&amp;$G116&amp;P$5,'Detail inputs'!$B$3:$B$193&amp;'Detail inputs'!$G$3:$G$193&amp;'Detail inputs'!$H$3:$H$193,0),MATCH(P$4,'Detail inputs'!$B$3:$K$3,0)),0)</f>
        <v>0.22</v>
      </c>
      <c r="Q116" s="224">
        <f t="shared" si="58"/>
        <v>2.2000000000000002</v>
      </c>
      <c r="R116" s="246">
        <f>IFERROR(Q116/Q118,"")</f>
        <v>1.0757946210268949E-2</v>
      </c>
      <c r="U116" s="3"/>
      <c r="V116" s="3"/>
    </row>
    <row r="117" spans="1:22" s="19" customFormat="1" outlineLevel="1" x14ac:dyDescent="0.35">
      <c r="A117" s="3"/>
      <c r="B117" s="3" t="str">
        <f t="shared" si="57"/>
        <v>Essential</v>
      </c>
      <c r="C117" s="3" t="str">
        <f t="shared" si="57"/>
        <v>Small business</v>
      </c>
      <c r="D117" s="3" t="str">
        <f t="shared" si="57"/>
        <v>without CL</v>
      </c>
      <c r="E117" s="3" t="s">
        <v>21</v>
      </c>
      <c r="F117" s="228">
        <f t="array" ref="F117">IFERROR(INDEX(Usage!$B$5:$P$18,MATCH($B117,Usage!$B$5:$B$18,0),MATCH($C117&amp;$D117&amp;$E117,Usage!$B$5:$S$5&amp;Usage!$B$6:$S$6&amp;Usage!$B$7:$S$7,0)),0)</f>
        <v>10000</v>
      </c>
      <c r="G117" s="3" t="s">
        <v>69</v>
      </c>
      <c r="H117" s="224"/>
      <c r="I117" s="224"/>
      <c r="J117" s="224"/>
      <c r="K117" s="246"/>
      <c r="L117" s="243"/>
      <c r="M117" s="246"/>
      <c r="N117" s="243"/>
      <c r="O117" s="224"/>
      <c r="P117" s="224" cm="1">
        <f t="array" ref="P117">ROUND(IFERROR(INDEX('Detail inputs'!$B$3:$K$193,MATCH($B117&amp;$C117&amp;$E117&amp;$G117&amp;P$5,'Detail inputs'!$B$3:$B$193&amp;'Detail inputs'!$D$3:$D$193&amp;'Detail inputs'!$F$3:$F$193&amp;'Detail inputs'!$G$3:$G$193&amp;'Detail inputs'!$H$3:$H$193,0),MATCH(P$4,'Detail inputs'!$B$3:$K$3,0)),0)*SUM(P113:P116),2)</f>
        <v>0.81</v>
      </c>
      <c r="Q117" s="224">
        <f t="shared" si="58"/>
        <v>8.1000000000000014</v>
      </c>
      <c r="R117" s="246">
        <f>IFERROR(Q117/Q118,"")</f>
        <v>3.960880195599023E-2</v>
      </c>
      <c r="U117" s="3"/>
      <c r="V117" s="3"/>
    </row>
    <row r="118" spans="1:22" s="65" customFormat="1" x14ac:dyDescent="0.3">
      <c r="A118" s="60"/>
      <c r="B118" s="60" t="str">
        <f t="shared" si="57"/>
        <v>Essential</v>
      </c>
      <c r="C118" s="60" t="str">
        <f t="shared" si="57"/>
        <v>Small business</v>
      </c>
      <c r="D118" s="60" t="str">
        <f t="shared" si="57"/>
        <v>without CL</v>
      </c>
      <c r="E118" s="3" t="s">
        <v>21</v>
      </c>
      <c r="F118" s="228">
        <f t="array" ref="F118">IFERROR(INDEX(Usage!$B$5:$P$18,MATCH($B118,Usage!$B$5:$B$18,0),MATCH($C118&amp;$D118&amp;$E118,Usage!$B$5:$S$5&amp;Usage!$B$6:$S$6&amp;Usage!$B$7:$S$7,0)),0)</f>
        <v>10000</v>
      </c>
      <c r="G118" s="60" t="s">
        <v>53</v>
      </c>
      <c r="H118" s="226"/>
      <c r="I118" s="226"/>
      <c r="J118" s="224"/>
      <c r="K118" s="247"/>
      <c r="L118" s="253"/>
      <c r="M118" s="247"/>
      <c r="N118" s="253"/>
      <c r="O118" s="226"/>
      <c r="P118" s="226">
        <f t="array" ref="P118">INDEX('Key inputs'!$B$16:$N$40,MATCH($B118&amp;$C118&amp;$E118,'Key inputs'!$B$16:$B$40&amp;'Key inputs'!$C$16:$C$40&amp;'Key inputs'!$D$16:$D$40,0),MATCH($A$2&amp;P$4,'Key inputs'!$B$17:$N$17&amp;'Key inputs'!$B$18:$N$18,0))</f>
        <v>20.45</v>
      </c>
      <c r="Q118" s="224">
        <f t="shared" si="58"/>
        <v>204.5</v>
      </c>
      <c r="R118" s="247"/>
      <c r="S118" s="104"/>
      <c r="T118" s="104"/>
      <c r="U118" s="97"/>
      <c r="V118" s="97"/>
    </row>
    <row r="119" spans="1:22" s="19" customFormat="1" outlineLevel="1" x14ac:dyDescent="0.35">
      <c r="A119" s="3"/>
      <c r="B119" s="3" t="str">
        <f t="shared" si="57"/>
        <v>Essential</v>
      </c>
      <c r="C119" s="3" t="str">
        <f t="shared" si="57"/>
        <v>Small business</v>
      </c>
      <c r="D119" s="3" t="str">
        <f t="shared" si="57"/>
        <v>without CL</v>
      </c>
      <c r="E119" s="3"/>
      <c r="F119" s="228"/>
      <c r="G119" s="60" t="s">
        <v>35</v>
      </c>
      <c r="H119" s="226"/>
      <c r="I119" s="226"/>
      <c r="J119" s="226"/>
      <c r="K119" s="247"/>
      <c r="L119" s="253"/>
      <c r="M119" s="247"/>
      <c r="N119" s="253"/>
      <c r="O119" s="226"/>
      <c r="P119" s="226"/>
      <c r="Q119" s="226">
        <f>Q118*GST</f>
        <v>20.450000000000003</v>
      </c>
      <c r="R119" s="248"/>
      <c r="U119" s="60"/>
      <c r="V119" s="60"/>
    </row>
    <row r="120" spans="1:22" s="19" customFormat="1" x14ac:dyDescent="0.35">
      <c r="A120" s="3"/>
      <c r="B120" s="3" t="str">
        <f t="shared" si="57"/>
        <v>Essential</v>
      </c>
      <c r="C120" s="3" t="str">
        <f t="shared" si="57"/>
        <v>Small business</v>
      </c>
      <c r="D120" s="3" t="str">
        <f t="shared" si="57"/>
        <v>without CL</v>
      </c>
      <c r="E120" s="3"/>
      <c r="F120" s="228"/>
      <c r="G120" s="5" t="s">
        <v>77</v>
      </c>
      <c r="H120" s="227"/>
      <c r="I120" s="227"/>
      <c r="J120" s="227"/>
      <c r="K120" s="248"/>
      <c r="L120" s="254"/>
      <c r="M120" s="248"/>
      <c r="N120" s="254"/>
      <c r="O120" s="227"/>
      <c r="P120" s="227"/>
      <c r="Q120" s="227">
        <f>SUM(Q118:Q119)</f>
        <v>224.95</v>
      </c>
      <c r="R120" s="248"/>
      <c r="U120" s="3"/>
      <c r="V120" s="3"/>
    </row>
    <row r="121" spans="1:22" s="19" customFormat="1" x14ac:dyDescent="0.35">
      <c r="A121" s="3"/>
      <c r="B121" s="3"/>
      <c r="C121" s="3"/>
      <c r="D121" s="3"/>
      <c r="E121" s="3"/>
      <c r="F121" s="228"/>
      <c r="G121" s="3"/>
      <c r="H121" s="224"/>
      <c r="I121" s="224"/>
      <c r="J121" s="224"/>
      <c r="K121" s="246"/>
      <c r="L121" s="252"/>
      <c r="M121" s="246"/>
      <c r="N121" s="252"/>
      <c r="O121" s="224"/>
      <c r="P121" s="224"/>
      <c r="Q121" s="224"/>
      <c r="R121" s="246"/>
      <c r="U121" s="3"/>
      <c r="V121" s="3"/>
    </row>
    <row r="122" spans="1:22" s="19" customFormat="1" x14ac:dyDescent="0.35">
      <c r="A122" s="3"/>
      <c r="B122" s="5" t="s">
        <v>0</v>
      </c>
      <c r="C122" s="5" t="s">
        <v>6</v>
      </c>
      <c r="D122" s="5" t="s">
        <v>136</v>
      </c>
      <c r="E122" s="3"/>
      <c r="F122" s="228"/>
      <c r="G122" s="3"/>
      <c r="H122" s="224"/>
      <c r="I122" s="224"/>
      <c r="J122" s="224"/>
      <c r="K122" s="246"/>
      <c r="L122" s="252"/>
      <c r="M122" s="246"/>
      <c r="N122" s="252"/>
      <c r="O122" s="224"/>
      <c r="P122" s="224"/>
      <c r="Q122" s="224"/>
      <c r="R122" s="246"/>
      <c r="U122" s="3"/>
      <c r="V122" s="3"/>
    </row>
    <row r="123" spans="1:22" s="19" customFormat="1" outlineLevel="1" x14ac:dyDescent="0.35">
      <c r="A123" s="3"/>
      <c r="B123" s="3" t="str">
        <f t="shared" ref="B123:D128" si="59">B122</f>
        <v>Energex</v>
      </c>
      <c r="C123" s="3" t="str">
        <f t="shared" si="59"/>
        <v>Residential</v>
      </c>
      <c r="D123" s="3" t="str">
        <f t="shared" si="59"/>
        <v>without CL</v>
      </c>
      <c r="E123" s="3" t="s">
        <v>21</v>
      </c>
      <c r="F123" s="228">
        <f t="array" ref="F123">IFERROR(INDEX(Usage!$B$5:$P$18,MATCH($B123,Usage!$B$5:$B$18,0),MATCH($C123&amp;$D123&amp;$E123&amp;"Total",Usage!$B$5:$S$5&amp;Usage!$B$6:$S$6&amp;Usage!$B$7:$S$7&amp;Usage!$B$13:$S$13,0)),0)</f>
        <v>4600</v>
      </c>
      <c r="G123" s="3" t="s">
        <v>70</v>
      </c>
      <c r="H123" s="224"/>
      <c r="I123" s="224">
        <f t="array" ref="I123">IFERROR(INDEX('Detail inputs'!$B$3:$K$193,MATCH($B123&amp;$G123&amp;I$5,'Detail inputs'!$B$3:$B$193&amp;'Detail inputs'!$G$3:$G$193&amp;'Detail inputs'!$H$3:$H$193,0),MATCH(I$4,'Detail inputs'!$B$3:$K$3,0)),0)</f>
        <v>4.22</v>
      </c>
      <c r="J123" s="224">
        <f>IF(AND(H123="",I123=""),"",H123+I123*$F123/1000)</f>
        <v>19.411999999999999</v>
      </c>
      <c r="K123" s="246">
        <f>IFERROR(J123/J126,"")</f>
        <v>0.25194029850746269</v>
      </c>
      <c r="L123" s="243"/>
      <c r="M123" s="246">
        <f>IF(OR(J123=0,Q123=""),"",Q123/J123-1)</f>
        <v>0.21563981042654023</v>
      </c>
      <c r="N123" s="243"/>
      <c r="O123" s="224"/>
      <c r="P123" s="224">
        <f t="array" ref="P123">IFERROR(INDEX('Detail inputs'!$B$3:$K$193,MATCH($B123&amp;$G123&amp;P$5,'Detail inputs'!$B$3:$B$193&amp;'Detail inputs'!$G$3:$G$193&amp;'Detail inputs'!$H$3:$H$193,0),MATCH(P$4,'Detail inputs'!$B$3:$K$3,0)),0)</f>
        <v>5.13</v>
      </c>
      <c r="Q123" s="224">
        <f>IF(AND(O123="",P123=""),"",O123+P123*$F123/1000)</f>
        <v>23.597999999999999</v>
      </c>
      <c r="R123" s="246">
        <f>IFERROR(Q123/Q126,"")</f>
        <v>0.3</v>
      </c>
      <c r="U123" s="3"/>
      <c r="V123" s="3"/>
    </row>
    <row r="124" spans="1:22" s="19" customFormat="1" outlineLevel="1" x14ac:dyDescent="0.35">
      <c r="A124" s="3"/>
      <c r="B124" s="3" t="str">
        <f t="shared" si="59"/>
        <v>Energex</v>
      </c>
      <c r="C124" s="3" t="str">
        <f t="shared" si="59"/>
        <v>Residential</v>
      </c>
      <c r="D124" s="3" t="str">
        <f t="shared" si="59"/>
        <v>without CL</v>
      </c>
      <c r="E124" s="3" t="s">
        <v>21</v>
      </c>
      <c r="F124" s="228">
        <f t="array" ref="F124">IFERROR(INDEX(Usage!$B$5:$P$18,MATCH($B124,Usage!$B$5:$B$18,0),MATCH($C124&amp;$D124&amp;$E124&amp;"Total",Usage!$B$5:$S$5&amp;Usage!$B$6:$S$6&amp;Usage!$B$7:$S$7&amp;Usage!$B$13:$S$13,0)),0)</f>
        <v>4600</v>
      </c>
      <c r="G124" s="3" t="s">
        <v>71</v>
      </c>
      <c r="H124" s="224"/>
      <c r="I124" s="224">
        <f t="array" ref="I124">IFERROR(INDEX('Detail inputs'!$B$3:$K$193,MATCH($B124&amp;$G124&amp;I$5,'Detail inputs'!$B$3:$B$193&amp;'Detail inputs'!$G$3:$G$193&amp;'Detail inputs'!$H$3:$H$193,0),MATCH(I$4,'Detail inputs'!$B$3:$K$3,0)),0)</f>
        <v>11.52</v>
      </c>
      <c r="J124" s="224">
        <f>IF(AND(H124="",I124=""),"",H124+I124*$F124/1000)</f>
        <v>52.991999999999997</v>
      </c>
      <c r="K124" s="246">
        <f>IFERROR(J124/J126,"")</f>
        <v>0.6877611940298507</v>
      </c>
      <c r="L124" s="243"/>
      <c r="M124" s="246">
        <f>IF(OR(J124=0,Q124=""),"",Q124/J124-1)</f>
        <v>-5.381944444444442E-2</v>
      </c>
      <c r="N124" s="243"/>
      <c r="O124" s="224"/>
      <c r="P124" s="224">
        <f t="array" ref="P124">IFERROR(INDEX('Detail inputs'!$B$3:$K$193,MATCH($B124&amp;$G124&amp;P$5,'Detail inputs'!$B$3:$B$193&amp;'Detail inputs'!$G$3:$G$193&amp;'Detail inputs'!$H$3:$H$193,0),MATCH(P$4,'Detail inputs'!$B$3:$K$3,0)),0)</f>
        <v>10.9</v>
      </c>
      <c r="Q124" s="224">
        <f>IF(AND(O124="",P124=""),"",O124+P124*$F124/1000)</f>
        <v>50.14</v>
      </c>
      <c r="R124" s="246">
        <f>IFERROR(Q124/Q126,"")</f>
        <v>0.63742690058479534</v>
      </c>
      <c r="U124" s="3"/>
      <c r="V124" s="3"/>
    </row>
    <row r="125" spans="1:22" s="19" customFormat="1" outlineLevel="1" x14ac:dyDescent="0.35">
      <c r="A125" s="3"/>
      <c r="B125" s="3" t="str">
        <f t="shared" si="59"/>
        <v>Energex</v>
      </c>
      <c r="C125" s="3" t="str">
        <f t="shared" si="59"/>
        <v>Residential</v>
      </c>
      <c r="D125" s="3" t="str">
        <f t="shared" si="59"/>
        <v>without CL</v>
      </c>
      <c r="E125" s="3" t="s">
        <v>21</v>
      </c>
      <c r="F125" s="228">
        <f t="array" ref="F125">IFERROR(INDEX(Usage!$B$5:$P$18,MATCH($B125,Usage!$B$5:$B$18,0),MATCH($C125&amp;$D125&amp;$E125&amp;"Total",Usage!$B$5:$S$5&amp;Usage!$B$6:$S$6&amp;Usage!$B$7:$S$7&amp;Usage!$B$13:$S$13,0)),0)</f>
        <v>4600</v>
      </c>
      <c r="G125" s="3" t="s">
        <v>69</v>
      </c>
      <c r="H125" s="224"/>
      <c r="I125" s="224">
        <f t="array" ref="I125">ROUND(IFERROR(INDEX('Detail inputs'!$B$3:$K$193,MATCH($B125&amp;$C125&amp;$E125&amp;$G125&amp;I$5,'Detail inputs'!$B$3:$B$193&amp;'Detail inputs'!$D$3:$D$193&amp;'Detail inputs'!$F$3:$F$193&amp;'Detail inputs'!$G$3:$G$193&amp;'Detail inputs'!$H$3:$H$193,0),MATCH(I$4,'Detail inputs'!$B$3:$K$3,0)),0)*SUM(I123:I124),2)</f>
        <v>1.01</v>
      </c>
      <c r="J125" s="224">
        <f>IF(AND(H125="",I125=""),"",H125+I125*$F125/1000)</f>
        <v>4.6459999999999999</v>
      </c>
      <c r="K125" s="246">
        <f>IFERROR(J125/J126,"")</f>
        <v>6.0298507462686571E-2</v>
      </c>
      <c r="L125" s="243"/>
      <c r="M125" s="246">
        <f>IF(OR(J125=0,Q125=""),"",Q125/J125-1)</f>
        <v>5.9405940594059459E-2</v>
      </c>
      <c r="N125" s="243"/>
      <c r="O125" s="224"/>
      <c r="P125" s="224">
        <f t="array" ref="P125">ROUND(IFERROR(INDEX('Detail inputs'!$B$3:$K$193,MATCH($B125&amp;$C125&amp;$E125&amp;$G125&amp;P$5,'Detail inputs'!$B$3:$B$193&amp;'Detail inputs'!$D$3:$D$193&amp;'Detail inputs'!$F$3:$F$193&amp;'Detail inputs'!$G$3:$G$193&amp;'Detail inputs'!$H$3:$H$193,0),MATCH(P$4,'Detail inputs'!$B$3:$K$3,0)),0)*SUM(P123:P124),2)</f>
        <v>1.07</v>
      </c>
      <c r="Q125" s="224">
        <f>IF(AND(O125="",P125=""),"",O125+P125*$F125/1000)</f>
        <v>4.9219999999999997</v>
      </c>
      <c r="R125" s="246">
        <f>IFERROR(Q125/Q126,"")</f>
        <v>6.2573099415204683E-2</v>
      </c>
      <c r="U125" s="3"/>
      <c r="V125" s="3"/>
    </row>
    <row r="126" spans="1:22" s="65" customFormat="1" x14ac:dyDescent="0.3">
      <c r="A126" s="60"/>
      <c r="B126" s="60" t="str">
        <f t="shared" si="59"/>
        <v>Energex</v>
      </c>
      <c r="C126" s="60" t="str">
        <f t="shared" si="59"/>
        <v>Residential</v>
      </c>
      <c r="D126" s="60" t="str">
        <f t="shared" si="59"/>
        <v>without CL</v>
      </c>
      <c r="E126" s="3" t="s">
        <v>21</v>
      </c>
      <c r="F126" s="228">
        <f t="array" ref="F126">IFERROR(INDEX(Usage!$B$5:$P$18,MATCH($B126,Usage!$B$5:$B$18,0),MATCH($C126&amp;$D126&amp;$E126&amp;"Total",Usage!$B$5:$S$5&amp;Usage!$B$6:$S$6&amp;Usage!$B$7:$S$7&amp;Usage!$B$13:$S$13,0)),0)</f>
        <v>4600</v>
      </c>
      <c r="G126" s="60" t="s">
        <v>53</v>
      </c>
      <c r="H126" s="226"/>
      <c r="I126" s="226">
        <f t="array" ref="I126">INDEX('Key inputs'!$B$16:$N$40,MATCH($B126&amp;$C126&amp;$E126,'Key inputs'!$B$16:$B$40&amp;'Key inputs'!$C$16:$C$40&amp;'Key inputs'!$D$16:$D$40,0),MATCH($A$2&amp;I$4,'Key inputs'!$B$17:$N$17&amp;'Key inputs'!$B$18:$N$18,0))</f>
        <v>16.75</v>
      </c>
      <c r="J126" s="224">
        <f>IF(AND(H126="",I126=""),"",H126+I126*$F126/1000)</f>
        <v>77.05</v>
      </c>
      <c r="K126" s="247"/>
      <c r="L126" s="253"/>
      <c r="M126" s="247">
        <f>IF(OR(J126=0,Q126=""),"",Q126/J126-1)</f>
        <v>2.0895522388059584E-2</v>
      </c>
      <c r="N126" s="253"/>
      <c r="O126" s="226"/>
      <c r="P126" s="226">
        <f t="array" ref="P126">INDEX('Key inputs'!$B$16:$N$40,MATCH($B126&amp;$C126&amp;$E126,'Key inputs'!$B$16:$B$40&amp;'Key inputs'!$C$16:$C$40&amp;'Key inputs'!$D$16:$D$40,0),MATCH($A$2&amp;P$4,'Key inputs'!$B$17:$N$17&amp;'Key inputs'!$B$18:$N$18,0))</f>
        <v>17.100000000000001</v>
      </c>
      <c r="Q126" s="224">
        <f>IF(AND(O126="",P126=""),"",O126+P126*$F126/1000)</f>
        <v>78.66</v>
      </c>
      <c r="R126" s="247"/>
      <c r="S126" s="104"/>
      <c r="T126" s="104"/>
      <c r="U126" s="97"/>
      <c r="V126" s="97"/>
    </row>
    <row r="127" spans="1:22" s="19" customFormat="1" outlineLevel="1" x14ac:dyDescent="0.35">
      <c r="A127" s="3"/>
      <c r="B127" s="3" t="str">
        <f t="shared" si="59"/>
        <v>Energex</v>
      </c>
      <c r="C127" s="3" t="str">
        <f t="shared" si="59"/>
        <v>Residential</v>
      </c>
      <c r="D127" s="3" t="str">
        <f t="shared" si="59"/>
        <v>without CL</v>
      </c>
      <c r="E127" s="3"/>
      <c r="F127" s="228"/>
      <c r="G127" s="60" t="s">
        <v>35</v>
      </c>
      <c r="H127" s="226"/>
      <c r="I127" s="226"/>
      <c r="J127" s="226">
        <f>J126*GST</f>
        <v>7.7050000000000001</v>
      </c>
      <c r="K127" s="247"/>
      <c r="L127" s="253"/>
      <c r="M127" s="247"/>
      <c r="N127" s="253"/>
      <c r="O127" s="226"/>
      <c r="P127" s="226"/>
      <c r="Q127" s="226">
        <f>Q126*GST</f>
        <v>7.8659999999999997</v>
      </c>
      <c r="R127" s="248"/>
      <c r="U127" s="3"/>
      <c r="V127" s="3"/>
    </row>
    <row r="128" spans="1:22" s="19" customFormat="1" x14ac:dyDescent="0.35">
      <c r="A128" s="3"/>
      <c r="B128" s="3" t="str">
        <f t="shared" si="59"/>
        <v>Energex</v>
      </c>
      <c r="C128" s="3" t="str">
        <f t="shared" si="59"/>
        <v>Residential</v>
      </c>
      <c r="D128" s="3" t="str">
        <f t="shared" si="59"/>
        <v>without CL</v>
      </c>
      <c r="E128" s="3"/>
      <c r="F128" s="228"/>
      <c r="G128" s="5" t="s">
        <v>77</v>
      </c>
      <c r="H128" s="227"/>
      <c r="I128" s="227"/>
      <c r="J128" s="227">
        <f>SUM(J126:J127)</f>
        <v>84.754999999999995</v>
      </c>
      <c r="K128" s="248"/>
      <c r="L128" s="254"/>
      <c r="M128" s="248">
        <f>IF(OR(J128=0,Q128=""),"",Q128/J128-1)</f>
        <v>2.0895522388059806E-2</v>
      </c>
      <c r="N128" s="254"/>
      <c r="O128" s="227"/>
      <c r="P128" s="227"/>
      <c r="Q128" s="227">
        <f>SUM(Q126:Q127)</f>
        <v>86.525999999999996</v>
      </c>
      <c r="R128" s="248"/>
      <c r="U128" s="3"/>
      <c r="V128" s="3"/>
    </row>
    <row r="129" spans="1:22" s="19" customFormat="1" x14ac:dyDescent="0.35">
      <c r="A129" s="3"/>
      <c r="B129" s="3"/>
      <c r="C129" s="3"/>
      <c r="D129" s="3"/>
      <c r="E129" s="3"/>
      <c r="F129" s="228"/>
      <c r="G129" s="3"/>
      <c r="H129" s="224"/>
      <c r="I129" s="224"/>
      <c r="J129" s="224"/>
      <c r="K129" s="246"/>
      <c r="L129" s="252"/>
      <c r="M129" s="246"/>
      <c r="N129" s="252"/>
      <c r="O129" s="224"/>
      <c r="P129" s="224"/>
      <c r="Q129" s="224"/>
      <c r="R129" s="246"/>
      <c r="U129" s="3"/>
      <c r="V129" s="3"/>
    </row>
    <row r="130" spans="1:22" s="19" customFormat="1" x14ac:dyDescent="0.35">
      <c r="A130" s="3"/>
      <c r="B130" s="5" t="s">
        <v>0</v>
      </c>
      <c r="C130" s="5" t="s">
        <v>6</v>
      </c>
      <c r="D130" s="5" t="s">
        <v>137</v>
      </c>
      <c r="E130" s="3"/>
      <c r="F130" s="228"/>
      <c r="G130" s="3"/>
      <c r="H130" s="224"/>
      <c r="I130" s="224"/>
      <c r="J130" s="224"/>
      <c r="K130" s="246"/>
      <c r="L130" s="252"/>
      <c r="M130" s="246"/>
      <c r="N130" s="252"/>
      <c r="O130" s="224"/>
      <c r="P130" s="224"/>
      <c r="Q130" s="224"/>
      <c r="R130" s="246"/>
      <c r="U130" s="97"/>
      <c r="V130" s="97"/>
    </row>
    <row r="131" spans="1:22" s="19" customFormat="1" outlineLevel="1" x14ac:dyDescent="0.35">
      <c r="A131" s="3"/>
      <c r="B131" s="3" t="str">
        <f t="shared" ref="B131:B140" si="60">B130</f>
        <v>Energex</v>
      </c>
      <c r="C131" s="3" t="str">
        <f t="shared" ref="C131:C140" si="61">C130</f>
        <v>Residential</v>
      </c>
      <c r="D131" s="3" t="str">
        <f t="shared" ref="D131:D140" si="62">D130</f>
        <v>with CL</v>
      </c>
      <c r="E131" s="3" t="s">
        <v>21</v>
      </c>
      <c r="F131" s="228">
        <f t="array" ref="F131">IFERROR(INDEX(Usage!$B$5:$P$18,MATCH($B131,Usage!$B$5:$B$18,0),MATCH($C131&amp;$D131&amp;$E131&amp;"Total",Usage!$B$5:$S$5&amp;Usage!$B$6:$S$6&amp;Usage!$B$7:$S$7&amp;Usage!$B$13:$S$13,0)),0)</f>
        <v>4400</v>
      </c>
      <c r="G131" s="3" t="s">
        <v>53</v>
      </c>
      <c r="H131" s="224"/>
      <c r="I131" s="224">
        <f>I126</f>
        <v>16.75</v>
      </c>
      <c r="J131" s="224">
        <f t="shared" ref="J131:J139" si="63">IF(AND(H131="",I131=""),"",H131+I131*$F131/1000)</f>
        <v>73.7</v>
      </c>
      <c r="K131" s="246"/>
      <c r="L131" s="252"/>
      <c r="M131" s="246">
        <f t="shared" ref="M131:M140" si="64">IF(OR(J131=0,Q131=""),"",Q131/J131-1)</f>
        <v>2.0895522388059584E-2</v>
      </c>
      <c r="N131" s="252"/>
      <c r="O131" s="224"/>
      <c r="P131" s="224">
        <f>P126</f>
        <v>17.100000000000001</v>
      </c>
      <c r="Q131" s="224">
        <f t="shared" ref="Q131:Q139" si="65">IF(AND(O131="",P131=""),"",O131+P131*$F131/1000)</f>
        <v>75.239999999999995</v>
      </c>
      <c r="R131" s="246"/>
      <c r="U131" s="3"/>
      <c r="V131" s="3"/>
    </row>
    <row r="132" spans="1:22" s="19" customFormat="1" outlineLevel="1" x14ac:dyDescent="0.35">
      <c r="A132" s="3"/>
      <c r="B132" s="3" t="str">
        <f t="shared" si="60"/>
        <v>Energex</v>
      </c>
      <c r="C132" s="3" t="str">
        <f t="shared" si="61"/>
        <v>Residential</v>
      </c>
      <c r="D132" s="3" t="str">
        <f t="shared" si="62"/>
        <v>with CL</v>
      </c>
      <c r="E132" s="3" t="s">
        <v>15</v>
      </c>
      <c r="F132" s="228">
        <f t="array" ref="F132">IFERROR(INDEX(Usage!$B$5:$P$18,MATCH($B132,Usage!$B$5:$B$18,0),MATCH($C132&amp;$D132&amp;$E132,Usage!$B$5:$S$5&amp;Usage!$B$6:$S$6&amp;Usage!$B$7:$S$7,0)),0)</f>
        <v>551</v>
      </c>
      <c r="G132" s="3" t="s">
        <v>70</v>
      </c>
      <c r="H132" s="224"/>
      <c r="I132" s="224">
        <f t="array" ref="I132">IFERROR(INDEX('Detail inputs'!$B$3:$K$193,MATCH($B132&amp;$G132&amp;I$5,'Detail inputs'!$B$3:$B$193&amp;'Detail inputs'!$G$3:$G$193&amp;'Detail inputs'!$H$3:$H$193,0),MATCH(I$4,'Detail inputs'!$B$3:$K$3,0)),0)</f>
        <v>4.22</v>
      </c>
      <c r="J132" s="224">
        <f t="shared" si="63"/>
        <v>2.3252199999999998</v>
      </c>
      <c r="K132" s="246">
        <f>IFERROR(J132/J135,"")</f>
        <v>0.25194029850746263</v>
      </c>
      <c r="L132" s="243"/>
      <c r="M132" s="246">
        <f t="shared" si="64"/>
        <v>0.21563981042654046</v>
      </c>
      <c r="N132" s="243"/>
      <c r="O132" s="224"/>
      <c r="P132" s="224">
        <f t="array" ref="P132">IFERROR(INDEX('Detail inputs'!$B$3:$K$193,MATCH($B132&amp;$G132&amp;P$5,'Detail inputs'!$B$3:$B$193&amp;'Detail inputs'!$G$3:$G$193&amp;'Detail inputs'!$H$3:$H$193,0),MATCH(P$4,'Detail inputs'!$B$3:$K$3,0)),0)</f>
        <v>5.13</v>
      </c>
      <c r="Q132" s="224">
        <f t="shared" si="65"/>
        <v>2.8266300000000002</v>
      </c>
      <c r="R132" s="246">
        <f>IFERROR(Q132/Q135,"")</f>
        <v>0.3</v>
      </c>
      <c r="U132" s="3"/>
      <c r="V132" s="3"/>
    </row>
    <row r="133" spans="1:22" s="19" customFormat="1" outlineLevel="1" x14ac:dyDescent="0.35">
      <c r="A133" s="3"/>
      <c r="B133" s="3" t="str">
        <f t="shared" si="60"/>
        <v>Energex</v>
      </c>
      <c r="C133" s="3" t="str">
        <f t="shared" si="61"/>
        <v>Residential</v>
      </c>
      <c r="D133" s="3" t="str">
        <f t="shared" si="62"/>
        <v>with CL</v>
      </c>
      <c r="E133" s="3" t="s">
        <v>15</v>
      </c>
      <c r="F133" s="228">
        <f t="array" ref="F133">IFERROR(INDEX(Usage!$B$5:$P$18,MATCH($B133,Usage!$B$5:$B$18,0),MATCH($C133&amp;$D133&amp;$E133,Usage!$B$5:$S$5&amp;Usage!$B$6:$S$6&amp;Usage!$B$7:$S$7,0)),0)</f>
        <v>551</v>
      </c>
      <c r="G133" s="3" t="s">
        <v>71</v>
      </c>
      <c r="H133" s="224"/>
      <c r="I133" s="224">
        <f t="array" ref="I133">IFERROR(INDEX('Detail inputs'!$B$3:$K$193,MATCH($B133&amp;$G133&amp;I$5,'Detail inputs'!$B$3:$B$193&amp;'Detail inputs'!$G$3:$G$193&amp;'Detail inputs'!$H$3:$H$193,0),MATCH(I$4,'Detail inputs'!$B$3:$K$3,0)),0)</f>
        <v>11.52</v>
      </c>
      <c r="J133" s="224">
        <f t="shared" si="63"/>
        <v>6.3475199999999994</v>
      </c>
      <c r="K133" s="246">
        <f>IFERROR(J133/J135,"")</f>
        <v>0.6877611940298507</v>
      </c>
      <c r="L133" s="243"/>
      <c r="M133" s="246">
        <f t="shared" si="64"/>
        <v>-5.3819444444444309E-2</v>
      </c>
      <c r="N133" s="243"/>
      <c r="O133" s="224"/>
      <c r="P133" s="224">
        <f t="array" ref="P133">IFERROR(INDEX('Detail inputs'!$B$3:$K$193,MATCH($B133&amp;$G133&amp;P$5,'Detail inputs'!$B$3:$B$193&amp;'Detail inputs'!$G$3:$G$193&amp;'Detail inputs'!$H$3:$H$193,0),MATCH(P$4,'Detail inputs'!$B$3:$K$3,0)),0)</f>
        <v>10.9</v>
      </c>
      <c r="Q133" s="224">
        <f t="shared" si="65"/>
        <v>6.0059000000000005</v>
      </c>
      <c r="R133" s="246">
        <f>IFERROR(Q133/Q135,"")</f>
        <v>0.63742690058479534</v>
      </c>
      <c r="U133" s="3"/>
      <c r="V133" s="3"/>
    </row>
    <row r="134" spans="1:22" s="19" customFormat="1" outlineLevel="1" x14ac:dyDescent="0.35">
      <c r="A134" s="3"/>
      <c r="B134" s="3" t="str">
        <f t="shared" si="60"/>
        <v>Energex</v>
      </c>
      <c r="C134" s="3" t="str">
        <f t="shared" si="61"/>
        <v>Residential</v>
      </c>
      <c r="D134" s="3" t="str">
        <f t="shared" si="62"/>
        <v>with CL</v>
      </c>
      <c r="E134" s="3" t="s">
        <v>15</v>
      </c>
      <c r="F134" s="228">
        <f t="array" ref="F134">IFERROR(INDEX(Usage!$B$5:$P$18,MATCH($B134,Usage!$B$5:$B$18,0),MATCH($C134&amp;$D134&amp;$E134,Usage!$B$5:$S$5&amp;Usage!$B$6:$S$6&amp;Usage!$B$7:$S$7,0)),0)</f>
        <v>551</v>
      </c>
      <c r="G134" s="3" t="s">
        <v>69</v>
      </c>
      <c r="H134" s="224"/>
      <c r="I134" s="224">
        <f t="array" ref="I134">ROUND(IFERROR(INDEX('Detail inputs'!$B$3:$K$193,MATCH($B134&amp;$C134&amp;$E134&amp;$G134&amp;I$5,'Detail inputs'!$B$3:$B$193&amp;'Detail inputs'!$D$3:$D$193&amp;'Detail inputs'!$F$3:$F$193&amp;'Detail inputs'!$G$3:$G$193&amp;'Detail inputs'!$H$3:$H$193,0),MATCH(I$4,'Detail inputs'!$B$3:$K$3,0)),0)*SUM(I132:I133),2)</f>
        <v>1.01</v>
      </c>
      <c r="J134" s="224">
        <f t="shared" si="63"/>
        <v>0.55650999999999995</v>
      </c>
      <c r="K134" s="246">
        <f>IFERROR(J134/J135,"")</f>
        <v>6.0298507462686557E-2</v>
      </c>
      <c r="L134" s="243"/>
      <c r="M134" s="246">
        <f t="shared" si="64"/>
        <v>5.9405940594059681E-2</v>
      </c>
      <c r="N134" s="243"/>
      <c r="O134" s="224"/>
      <c r="P134" s="224">
        <f t="array" ref="P134">ROUND(IFERROR(INDEX('Detail inputs'!$B$3:$K$193,MATCH($B134&amp;$C134&amp;$E134&amp;$G134&amp;P$5,'Detail inputs'!$B$3:$B$193&amp;'Detail inputs'!$D$3:$D$193&amp;'Detail inputs'!$F$3:$F$193&amp;'Detail inputs'!$G$3:$G$193&amp;'Detail inputs'!$H$3:$H$193,0),MATCH(P$4,'Detail inputs'!$B$3:$K$3,0)),0)*SUM(P132:P133),2)</f>
        <v>1.07</v>
      </c>
      <c r="Q134" s="224">
        <f t="shared" si="65"/>
        <v>0.58957000000000004</v>
      </c>
      <c r="R134" s="246">
        <f>IFERROR(Q134/Q135,"")</f>
        <v>6.2573099415204683E-2</v>
      </c>
      <c r="U134" s="3"/>
      <c r="V134" s="3"/>
    </row>
    <row r="135" spans="1:22" s="19" customFormat="1" outlineLevel="1" x14ac:dyDescent="0.3">
      <c r="A135" s="3"/>
      <c r="B135" s="3" t="str">
        <f t="shared" si="60"/>
        <v>Energex</v>
      </c>
      <c r="C135" s="3" t="str">
        <f t="shared" si="61"/>
        <v>Residential</v>
      </c>
      <c r="D135" s="3" t="str">
        <f t="shared" si="62"/>
        <v>with CL</v>
      </c>
      <c r="E135" s="3" t="s">
        <v>15</v>
      </c>
      <c r="F135" s="228">
        <f t="array" ref="F135">IFERROR(INDEX(Usage!$B$5:$P$18,MATCH($B135,Usage!$B$5:$B$18,0),MATCH($C135&amp;$D135&amp;$E135,Usage!$B$5:$S$5&amp;Usage!$B$6:$S$6&amp;Usage!$B$7:$S$7,0)),0)</f>
        <v>551</v>
      </c>
      <c r="G135" s="3" t="s">
        <v>53</v>
      </c>
      <c r="H135" s="226"/>
      <c r="I135" s="226">
        <f t="array" ref="I135">INDEX('Key inputs'!$B$16:$N$40,MATCH($B135&amp;$C135&amp;$E135,'Key inputs'!$B$16:$B$40&amp;'Key inputs'!$C$16:$C$40&amp;'Key inputs'!$D$16:$D$40,0),MATCH($A$2&amp;I$4,'Key inputs'!$B$17:$N$17&amp;'Key inputs'!$B$18:$N$18,0))</f>
        <v>16.75</v>
      </c>
      <c r="J135" s="224">
        <f t="shared" si="63"/>
        <v>9.2292500000000004</v>
      </c>
      <c r="K135" s="247"/>
      <c r="L135" s="253"/>
      <c r="M135" s="246">
        <f t="shared" si="64"/>
        <v>2.0895522388059806E-2</v>
      </c>
      <c r="N135" s="253"/>
      <c r="O135" s="226"/>
      <c r="P135" s="226">
        <f t="array" ref="P135">INDEX('Key inputs'!$B$16:$N$40,MATCH($B135&amp;$C135&amp;$E135,'Key inputs'!$B$16:$B$40&amp;'Key inputs'!$C$16:$C$40&amp;'Key inputs'!$D$16:$D$40,0),MATCH($A$2&amp;P$4,'Key inputs'!$B$17:$N$17&amp;'Key inputs'!$B$18:$N$18,0))</f>
        <v>17.100000000000001</v>
      </c>
      <c r="Q135" s="224">
        <f t="shared" si="65"/>
        <v>9.4221000000000004</v>
      </c>
      <c r="R135" s="247"/>
      <c r="S135" s="104"/>
      <c r="T135" s="104"/>
      <c r="U135" s="97"/>
      <c r="V135" s="97"/>
    </row>
    <row r="136" spans="1:22" s="19" customFormat="1" outlineLevel="1" x14ac:dyDescent="0.35">
      <c r="A136" s="3"/>
      <c r="B136" s="3" t="str">
        <f t="shared" si="60"/>
        <v>Energex</v>
      </c>
      <c r="C136" s="3" t="str">
        <f t="shared" si="61"/>
        <v>Residential</v>
      </c>
      <c r="D136" s="3" t="str">
        <f t="shared" si="62"/>
        <v>with CL</v>
      </c>
      <c r="E136" s="3" t="s">
        <v>16</v>
      </c>
      <c r="F136" s="228">
        <f t="array" ref="F136">IFERROR(INDEX(Usage!$B$5:$P$18,MATCH($B136,Usage!$B$5:$B$18,0),MATCH($C136&amp;$D136&amp;$E136,Usage!$B$5:$S$5&amp;Usage!$B$6:$S$6&amp;Usage!$B$7:$S$7,0)),0)</f>
        <v>1349</v>
      </c>
      <c r="G136" s="3" t="s">
        <v>70</v>
      </c>
      <c r="H136" s="224"/>
      <c r="I136" s="224">
        <f t="array" ref="I136">IFERROR(INDEX('Detail inputs'!$B$3:$K$193,MATCH($B136&amp;$G136&amp;I$5,'Detail inputs'!$B$3:$B$193&amp;'Detail inputs'!$G$3:$G$193&amp;'Detail inputs'!$H$3:$H$193,0),MATCH(I$4,'Detail inputs'!$B$3:$K$3,0)),0)</f>
        <v>4.22</v>
      </c>
      <c r="J136" s="224">
        <f t="shared" si="63"/>
        <v>5.69278</v>
      </c>
      <c r="K136" s="246">
        <f>IFERROR(J136/J139,"")</f>
        <v>0.25194029850746269</v>
      </c>
      <c r="L136" s="243"/>
      <c r="M136" s="246">
        <f t="shared" si="64"/>
        <v>0.21563981042654023</v>
      </c>
      <c r="N136" s="243"/>
      <c r="O136" s="224"/>
      <c r="P136" s="224">
        <f t="array" ref="P136">IFERROR(INDEX('Detail inputs'!$B$3:$K$193,MATCH($B136&amp;$G136&amp;P$5,'Detail inputs'!$B$3:$B$193&amp;'Detail inputs'!$G$3:$G$193&amp;'Detail inputs'!$H$3:$H$193,0),MATCH(P$4,'Detail inputs'!$B$3:$K$3,0)),0)</f>
        <v>5.13</v>
      </c>
      <c r="Q136" s="224">
        <f t="shared" si="65"/>
        <v>6.9203700000000001</v>
      </c>
      <c r="R136" s="246">
        <f>IFERROR(Q136/Q139,"")</f>
        <v>0.3</v>
      </c>
      <c r="U136" s="3"/>
      <c r="V136" s="3"/>
    </row>
    <row r="137" spans="1:22" s="19" customFormat="1" outlineLevel="1" x14ac:dyDescent="0.35">
      <c r="A137" s="3"/>
      <c r="B137" s="3" t="str">
        <f t="shared" si="60"/>
        <v>Energex</v>
      </c>
      <c r="C137" s="3" t="str">
        <f t="shared" si="61"/>
        <v>Residential</v>
      </c>
      <c r="D137" s="3" t="str">
        <f t="shared" si="62"/>
        <v>with CL</v>
      </c>
      <c r="E137" s="3" t="s">
        <v>16</v>
      </c>
      <c r="F137" s="228">
        <f t="array" ref="F137">IFERROR(INDEX(Usage!$B$5:$P$18,MATCH($B137,Usage!$B$5:$B$18,0),MATCH($C137&amp;$D137&amp;$E137,Usage!$B$5:$S$5&amp;Usage!$B$6:$S$6&amp;Usage!$B$7:$S$7,0)),0)</f>
        <v>1349</v>
      </c>
      <c r="G137" s="3" t="s">
        <v>71</v>
      </c>
      <c r="H137" s="226"/>
      <c r="I137" s="224">
        <f t="array" ref="I137">IFERROR(INDEX('Detail inputs'!$B$3:$K$193,MATCH($B137&amp;$G137&amp;I$5,'Detail inputs'!$B$3:$B$193&amp;'Detail inputs'!$G$3:$G$193&amp;'Detail inputs'!$H$3:$H$193,0),MATCH(I$4,'Detail inputs'!$B$3:$K$3,0)),0)</f>
        <v>11.52</v>
      </c>
      <c r="J137" s="226">
        <f t="shared" si="63"/>
        <v>15.540479999999999</v>
      </c>
      <c r="K137" s="247">
        <f>IFERROR(J137/J139,"")</f>
        <v>0.6877611940298507</v>
      </c>
      <c r="L137" s="244"/>
      <c r="M137" s="246">
        <f t="shared" si="64"/>
        <v>-5.3819444444444309E-2</v>
      </c>
      <c r="N137" s="244"/>
      <c r="O137" s="226"/>
      <c r="P137" s="224">
        <f t="array" ref="P137">IFERROR(INDEX('Detail inputs'!$B$3:$K$193,MATCH($B137&amp;$G137&amp;P$5,'Detail inputs'!$B$3:$B$193&amp;'Detail inputs'!$G$3:$G$193&amp;'Detail inputs'!$H$3:$H$193,0),MATCH(P$4,'Detail inputs'!$B$3:$K$3,0)),0)</f>
        <v>10.9</v>
      </c>
      <c r="Q137" s="226">
        <f t="shared" si="65"/>
        <v>14.7041</v>
      </c>
      <c r="R137" s="247">
        <f>IFERROR(Q137/Q139,"")</f>
        <v>0.63742690058479534</v>
      </c>
      <c r="U137" s="3"/>
      <c r="V137" s="3"/>
    </row>
    <row r="138" spans="1:22" s="19" customFormat="1" outlineLevel="1" x14ac:dyDescent="0.35">
      <c r="A138" s="3"/>
      <c r="B138" s="3" t="str">
        <f t="shared" si="60"/>
        <v>Energex</v>
      </c>
      <c r="C138" s="3" t="str">
        <f t="shared" si="61"/>
        <v>Residential</v>
      </c>
      <c r="D138" s="3" t="str">
        <f t="shared" si="62"/>
        <v>with CL</v>
      </c>
      <c r="E138" s="3" t="s">
        <v>16</v>
      </c>
      <c r="F138" s="228">
        <f t="array" ref="F138">IFERROR(INDEX(Usage!$B$5:$P$18,MATCH($B138,Usage!$B$5:$B$18,0),MATCH($C138&amp;$D138&amp;$E138,Usage!$B$5:$S$5&amp;Usage!$B$6:$S$6&amp;Usage!$B$7:$S$7,0)),0)</f>
        <v>1349</v>
      </c>
      <c r="G138" s="3" t="s">
        <v>69</v>
      </c>
      <c r="H138" s="226"/>
      <c r="I138" s="224">
        <f t="array" ref="I138">ROUND(IFERROR(INDEX('Detail inputs'!$B$3:$K$193,MATCH($B138&amp;$C138&amp;$E138&amp;$G138&amp;I$5,'Detail inputs'!$B$3:$B$193&amp;'Detail inputs'!$D$3:$D$193&amp;'Detail inputs'!$F$3:$F$193&amp;'Detail inputs'!$G$3:$G$193&amp;'Detail inputs'!$H$3:$H$193,0),MATCH(I$4,'Detail inputs'!$B$3:$K$3,0)),0)*SUM(I136:I137),2)</f>
        <v>1.01</v>
      </c>
      <c r="J138" s="226">
        <f t="shared" si="63"/>
        <v>1.36249</v>
      </c>
      <c r="K138" s="247">
        <f>IFERROR(J138/J139,"")</f>
        <v>6.0298507462686571E-2</v>
      </c>
      <c r="L138" s="244"/>
      <c r="M138" s="246">
        <f t="shared" si="64"/>
        <v>5.9405940594059459E-2</v>
      </c>
      <c r="N138" s="244"/>
      <c r="O138" s="226"/>
      <c r="P138" s="224">
        <f t="array" ref="P138">ROUND(IFERROR(INDEX('Detail inputs'!$B$3:$K$193,MATCH($B138&amp;$C138&amp;$E138&amp;$G138&amp;P$5,'Detail inputs'!$B$3:$B$193&amp;'Detail inputs'!$D$3:$D$193&amp;'Detail inputs'!$F$3:$F$193&amp;'Detail inputs'!$G$3:$G$193&amp;'Detail inputs'!$H$3:$H$193,0),MATCH(P$4,'Detail inputs'!$B$3:$K$3,0)),0)*SUM(P136:P137),2)</f>
        <v>1.07</v>
      </c>
      <c r="Q138" s="226">
        <f t="shared" si="65"/>
        <v>1.44343</v>
      </c>
      <c r="R138" s="247">
        <f>IFERROR(Q138/Q139,"")</f>
        <v>6.2573099415204669E-2</v>
      </c>
      <c r="U138" s="3"/>
      <c r="V138" s="3"/>
    </row>
    <row r="139" spans="1:22" s="19" customFormat="1" outlineLevel="1" x14ac:dyDescent="0.3">
      <c r="A139" s="3"/>
      <c r="B139" s="3" t="str">
        <f t="shared" si="60"/>
        <v>Energex</v>
      </c>
      <c r="C139" s="3" t="str">
        <f t="shared" si="61"/>
        <v>Residential</v>
      </c>
      <c r="D139" s="3" t="str">
        <f t="shared" si="62"/>
        <v>with CL</v>
      </c>
      <c r="E139" s="3" t="s">
        <v>16</v>
      </c>
      <c r="F139" s="228">
        <f t="array" ref="F139">IFERROR(INDEX(Usage!$B$5:$P$18,MATCH($B139,Usage!$B$5:$B$18,0),MATCH($C139&amp;$D139&amp;$E139,Usage!$B$5:$S$5&amp;Usage!$B$6:$S$6&amp;Usage!$B$7:$S$7,0)),0)</f>
        <v>1349</v>
      </c>
      <c r="G139" s="3" t="s">
        <v>53</v>
      </c>
      <c r="H139" s="226"/>
      <c r="I139" s="226">
        <f t="array" ref="I139">INDEX('Key inputs'!$B$16:$N$40,MATCH($B139&amp;$C139&amp;$E139,'Key inputs'!$B$16:$B$40&amp;'Key inputs'!$C$16:$C$40&amp;'Key inputs'!$D$16:$D$40,0),MATCH($A$2&amp;I$4,'Key inputs'!$B$17:$N$17&amp;'Key inputs'!$B$18:$N$18,0))</f>
        <v>16.75</v>
      </c>
      <c r="J139" s="224">
        <f t="shared" si="63"/>
        <v>22.595749999999999</v>
      </c>
      <c r="K139" s="247"/>
      <c r="L139" s="253"/>
      <c r="M139" s="246">
        <f t="shared" si="64"/>
        <v>2.0895522388059806E-2</v>
      </c>
      <c r="N139" s="253"/>
      <c r="O139" s="226"/>
      <c r="P139" s="226">
        <f t="array" ref="P139">INDEX('Key inputs'!$B$16:$N$40,MATCH($B139&amp;$C139&amp;$E139,'Key inputs'!$B$16:$B$40&amp;'Key inputs'!$C$16:$C$40&amp;'Key inputs'!$D$16:$D$40,0),MATCH($A$2&amp;P$4,'Key inputs'!$B$17:$N$17&amp;'Key inputs'!$B$18:$N$18,0))</f>
        <v>17.100000000000001</v>
      </c>
      <c r="Q139" s="224">
        <f t="shared" si="65"/>
        <v>23.067900000000002</v>
      </c>
      <c r="R139" s="247"/>
      <c r="S139" s="104"/>
      <c r="T139" s="104"/>
      <c r="U139" s="97"/>
      <c r="V139" s="97"/>
    </row>
    <row r="140" spans="1:22" s="65" customFormat="1" x14ac:dyDescent="0.35">
      <c r="A140" s="60"/>
      <c r="B140" s="60" t="str">
        <f t="shared" si="60"/>
        <v>Energex</v>
      </c>
      <c r="C140" s="60" t="str">
        <f t="shared" si="61"/>
        <v>Residential</v>
      </c>
      <c r="D140" s="60" t="str">
        <f t="shared" si="62"/>
        <v>with CL</v>
      </c>
      <c r="E140" s="60" t="s">
        <v>53</v>
      </c>
      <c r="F140" s="228">
        <f t="array" ref="F140">IFERROR(INDEX(Usage!$B$5:$P$18,MATCH($B140,Usage!$B$5:$B$18,0),MATCH($C140&amp;$D140&amp;$E140,Usage!$B$5:$S$5&amp;Usage!$B$6:$S$6&amp;Usage!$B$7:$S$7,0)),0)</f>
        <v>6300</v>
      </c>
      <c r="G140" s="60" t="s">
        <v>53</v>
      </c>
      <c r="H140" s="226"/>
      <c r="I140" s="226">
        <f>I131+I135+I139</f>
        <v>50.25</v>
      </c>
      <c r="J140" s="226">
        <f>J131+J135+J139</f>
        <v>105.52499999999999</v>
      </c>
      <c r="K140" s="247"/>
      <c r="L140" s="253"/>
      <c r="M140" s="246">
        <f t="shared" si="64"/>
        <v>2.0895522388059584E-2</v>
      </c>
      <c r="N140" s="253"/>
      <c r="O140" s="226"/>
      <c r="P140" s="226">
        <f>P131+P135+P139</f>
        <v>51.300000000000004</v>
      </c>
      <c r="Q140" s="226">
        <f>Q131+Q135+Q139</f>
        <v>107.72999999999999</v>
      </c>
      <c r="R140" s="247"/>
      <c r="U140" s="3"/>
      <c r="V140" s="3"/>
    </row>
    <row r="141" spans="1:22" s="19" customFormat="1" outlineLevel="1" x14ac:dyDescent="0.35">
      <c r="A141" s="3"/>
      <c r="B141" s="3" t="str">
        <f t="shared" ref="B141:D142" si="66">B140</f>
        <v>Energex</v>
      </c>
      <c r="C141" s="3" t="str">
        <f t="shared" si="66"/>
        <v>Residential</v>
      </c>
      <c r="D141" s="3" t="str">
        <f t="shared" si="66"/>
        <v>with CL</v>
      </c>
      <c r="E141" s="3"/>
      <c r="F141" s="228"/>
      <c r="G141" s="60" t="s">
        <v>35</v>
      </c>
      <c r="H141" s="226"/>
      <c r="I141" s="226"/>
      <c r="J141" s="226">
        <f>J140*GST</f>
        <v>10.5525</v>
      </c>
      <c r="K141" s="247"/>
      <c r="L141" s="253"/>
      <c r="M141" s="247"/>
      <c r="N141" s="253"/>
      <c r="O141" s="226"/>
      <c r="P141" s="226"/>
      <c r="Q141" s="226">
        <f>Q140*GST</f>
        <v>10.773</v>
      </c>
      <c r="R141" s="248"/>
      <c r="U141" s="97"/>
      <c r="V141" s="97"/>
    </row>
    <row r="142" spans="1:22" s="19" customFormat="1" x14ac:dyDescent="0.35">
      <c r="A142" s="3"/>
      <c r="B142" s="3" t="str">
        <f t="shared" si="66"/>
        <v>Energex</v>
      </c>
      <c r="C142" s="3" t="str">
        <f t="shared" si="66"/>
        <v>Residential</v>
      </c>
      <c r="D142" s="3" t="str">
        <f t="shared" si="66"/>
        <v>with CL</v>
      </c>
      <c r="E142" s="3"/>
      <c r="F142" s="228"/>
      <c r="G142" s="5" t="s">
        <v>77</v>
      </c>
      <c r="H142" s="227"/>
      <c r="I142" s="227"/>
      <c r="J142" s="227">
        <f>SUM(J140:J141)</f>
        <v>116.07749999999999</v>
      </c>
      <c r="K142" s="248"/>
      <c r="L142" s="254"/>
      <c r="M142" s="248">
        <f>IF(OR(J142=0,Q142=""),"",Q142/J142-1)</f>
        <v>2.0895522388059806E-2</v>
      </c>
      <c r="N142" s="254"/>
      <c r="O142" s="227"/>
      <c r="P142" s="227"/>
      <c r="Q142" s="227">
        <f>SUM(Q140:Q141)</f>
        <v>118.50299999999999</v>
      </c>
      <c r="R142" s="248"/>
      <c r="U142" s="3"/>
      <c r="V142" s="3"/>
    </row>
    <row r="143" spans="1:22" s="19" customFormat="1" x14ac:dyDescent="0.35">
      <c r="A143" s="3"/>
      <c r="B143" s="3"/>
      <c r="C143" s="3"/>
      <c r="D143" s="3"/>
      <c r="E143" s="3"/>
      <c r="F143" s="228"/>
      <c r="G143" s="3"/>
      <c r="H143" s="224"/>
      <c r="I143" s="224"/>
      <c r="J143" s="224"/>
      <c r="K143" s="246"/>
      <c r="L143" s="252"/>
      <c r="M143" s="246"/>
      <c r="N143" s="252"/>
      <c r="O143" s="224"/>
      <c r="P143" s="224"/>
      <c r="Q143" s="224"/>
      <c r="R143" s="246"/>
      <c r="U143" s="3"/>
      <c r="V143" s="3"/>
    </row>
    <row r="144" spans="1:22" s="19" customFormat="1" x14ac:dyDescent="0.35">
      <c r="A144" s="3"/>
      <c r="B144" s="5" t="s">
        <v>0</v>
      </c>
      <c r="C144" s="5" t="s">
        <v>14</v>
      </c>
      <c r="D144" s="5" t="s">
        <v>136</v>
      </c>
      <c r="E144" s="3"/>
      <c r="F144" s="228"/>
      <c r="G144" s="3"/>
      <c r="H144" s="224"/>
      <c r="I144" s="224"/>
      <c r="J144" s="224"/>
      <c r="K144" s="246"/>
      <c r="L144" s="252"/>
      <c r="M144" s="246"/>
      <c r="N144" s="252"/>
      <c r="O144" s="224"/>
      <c r="P144" s="224"/>
      <c r="Q144" s="224"/>
      <c r="R144" s="246"/>
      <c r="U144" s="3"/>
      <c r="V144" s="3"/>
    </row>
    <row r="145" spans="1:22" s="19" customFormat="1" outlineLevel="1" x14ac:dyDescent="0.35">
      <c r="A145" s="3"/>
      <c r="B145" s="3" t="str">
        <f t="shared" ref="B145:D150" si="67">B144</f>
        <v>Energex</v>
      </c>
      <c r="C145" s="3" t="str">
        <f t="shared" si="67"/>
        <v>Small business</v>
      </c>
      <c r="D145" s="3" t="str">
        <f t="shared" si="67"/>
        <v>without CL</v>
      </c>
      <c r="E145" s="3" t="s">
        <v>21</v>
      </c>
      <c r="F145" s="228">
        <f t="array" ref="F145">IFERROR(INDEX(Usage!$B$5:$P$18,MATCH($B145,Usage!$B$5:$B$18,0),MATCH($C145&amp;$D145&amp;$E145,Usage!$B$5:$S$5&amp;Usage!$B$6:$S$6&amp;Usage!$B$7:$S$7,0)),0)</f>
        <v>10000</v>
      </c>
      <c r="G145" s="3" t="s">
        <v>70</v>
      </c>
      <c r="H145" s="224"/>
      <c r="I145" s="224"/>
      <c r="J145" s="224"/>
      <c r="K145" s="246"/>
      <c r="L145" s="243"/>
      <c r="M145" s="246"/>
      <c r="N145" s="243"/>
      <c r="O145" s="224"/>
      <c r="P145" s="224">
        <f t="array" ref="P145">IFERROR(INDEX('Detail inputs'!$B$3:$K$193,MATCH($B145&amp;$G145&amp;P$5,'Detail inputs'!$B$3:$B$193&amp;'Detail inputs'!$G$3:$G$193&amp;'Detail inputs'!$H$3:$H$193,0),MATCH(P$4,'Detail inputs'!$B$3:$K$3,0)),0)</f>
        <v>5.13</v>
      </c>
      <c r="Q145" s="224">
        <f>IF(AND(O145="",P145=""),"",O145+P145*$F145/1000)</f>
        <v>51.3</v>
      </c>
      <c r="R145" s="246">
        <f>IFERROR(Q145/Q148,"")</f>
        <v>0.3</v>
      </c>
      <c r="U145" s="3"/>
      <c r="V145" s="3"/>
    </row>
    <row r="146" spans="1:22" s="19" customFormat="1" outlineLevel="1" x14ac:dyDescent="0.35">
      <c r="A146" s="3"/>
      <c r="B146" s="3" t="str">
        <f t="shared" si="67"/>
        <v>Energex</v>
      </c>
      <c r="C146" s="3" t="str">
        <f t="shared" si="67"/>
        <v>Small business</v>
      </c>
      <c r="D146" s="3" t="str">
        <f t="shared" si="67"/>
        <v>without CL</v>
      </c>
      <c r="E146" s="3" t="s">
        <v>21</v>
      </c>
      <c r="F146" s="228">
        <f t="array" ref="F146">IFERROR(INDEX(Usage!$B$5:$P$18,MATCH($B146,Usage!$B$5:$B$18,0),MATCH($C146&amp;$D146&amp;$E146,Usage!$B$5:$S$5&amp;Usage!$B$6:$S$6&amp;Usage!$B$7:$S$7,0)),0)</f>
        <v>10000</v>
      </c>
      <c r="G146" s="3" t="s">
        <v>71</v>
      </c>
      <c r="H146" s="224"/>
      <c r="I146" s="224"/>
      <c r="J146" s="224"/>
      <c r="K146" s="246"/>
      <c r="L146" s="243"/>
      <c r="M146" s="246"/>
      <c r="N146" s="243"/>
      <c r="O146" s="224"/>
      <c r="P146" s="224">
        <f t="array" ref="P146">IFERROR(INDEX('Detail inputs'!$B$3:$K$193,MATCH($B146&amp;$G146&amp;P$5,'Detail inputs'!$B$3:$B$193&amp;'Detail inputs'!$G$3:$G$193&amp;'Detail inputs'!$H$3:$H$193,0),MATCH(P$4,'Detail inputs'!$B$3:$K$3,0)),0)</f>
        <v>10.9</v>
      </c>
      <c r="Q146" s="224">
        <f>IF(AND(O146="",P146=""),"",O146+P146*$F146/1000)</f>
        <v>109</v>
      </c>
      <c r="R146" s="246">
        <f>IFERROR(Q146/Q148,"")</f>
        <v>0.63742690058479534</v>
      </c>
      <c r="U146" s="3"/>
      <c r="V146" s="3"/>
    </row>
    <row r="147" spans="1:22" s="19" customFormat="1" outlineLevel="1" x14ac:dyDescent="0.35">
      <c r="A147" s="3"/>
      <c r="B147" s="3" t="str">
        <f t="shared" si="67"/>
        <v>Energex</v>
      </c>
      <c r="C147" s="3" t="str">
        <f t="shared" si="67"/>
        <v>Small business</v>
      </c>
      <c r="D147" s="3" t="str">
        <f t="shared" si="67"/>
        <v>without CL</v>
      </c>
      <c r="E147" s="3" t="s">
        <v>21</v>
      </c>
      <c r="F147" s="228">
        <f t="array" ref="F147">IFERROR(INDEX(Usage!$B$5:$P$18,MATCH($B147,Usage!$B$5:$B$18,0),MATCH($C147&amp;$D147&amp;$E147,Usage!$B$5:$S$5&amp;Usage!$B$6:$S$6&amp;Usage!$B$7:$S$7,0)),0)</f>
        <v>10000</v>
      </c>
      <c r="G147" s="3" t="s">
        <v>69</v>
      </c>
      <c r="H147" s="224"/>
      <c r="I147" s="224"/>
      <c r="J147" s="224"/>
      <c r="K147" s="246"/>
      <c r="L147" s="243"/>
      <c r="M147" s="246"/>
      <c r="N147" s="243"/>
      <c r="O147" s="224"/>
      <c r="P147" s="224">
        <f t="array" ref="P147">ROUND(IFERROR(INDEX('Detail inputs'!$B$3:$K$193,MATCH($B147&amp;$C147&amp;$E147&amp;$G147&amp;P$5,'Detail inputs'!$B$3:$B$193&amp;'Detail inputs'!$D$3:$D$193&amp;'Detail inputs'!$F$3:$F$193&amp;'Detail inputs'!$G$3:$G$193&amp;'Detail inputs'!$H$3:$H$193,0),MATCH(P$4,'Detail inputs'!$B$3:$K$3,0)),0)*SUM(P145:P146),2)</f>
        <v>1.07</v>
      </c>
      <c r="Q147" s="224">
        <f>IF(AND(O147="",P147=""),"",O147+P147*$F147/1000)</f>
        <v>10.7</v>
      </c>
      <c r="R147" s="246">
        <f>IFERROR(Q147/Q148,"")</f>
        <v>6.2573099415204669E-2</v>
      </c>
      <c r="U147" s="3"/>
      <c r="V147" s="3"/>
    </row>
    <row r="148" spans="1:22" s="65" customFormat="1" x14ac:dyDescent="0.3">
      <c r="A148" s="60"/>
      <c r="B148" s="60" t="str">
        <f t="shared" si="67"/>
        <v>Energex</v>
      </c>
      <c r="C148" s="60" t="str">
        <f t="shared" si="67"/>
        <v>Small business</v>
      </c>
      <c r="D148" s="60" t="str">
        <f t="shared" si="67"/>
        <v>without CL</v>
      </c>
      <c r="E148" s="3" t="s">
        <v>21</v>
      </c>
      <c r="F148" s="228">
        <f t="array" ref="F148">IFERROR(INDEX(Usage!$B$5:$P$18,MATCH($B148,Usage!$B$5:$B$18,0),MATCH($C148&amp;$D148&amp;$E148,Usage!$B$5:$S$5&amp;Usage!$B$6:$S$6&amp;Usage!$B$7:$S$7,0)),0)</f>
        <v>10000</v>
      </c>
      <c r="G148" s="60" t="s">
        <v>53</v>
      </c>
      <c r="H148" s="226"/>
      <c r="I148" s="226"/>
      <c r="J148" s="224"/>
      <c r="K148" s="247"/>
      <c r="L148" s="253"/>
      <c r="M148" s="247"/>
      <c r="N148" s="253"/>
      <c r="O148" s="226"/>
      <c r="P148" s="226">
        <f t="array" ref="P148">INDEX('Key inputs'!$B$16:$N$40,MATCH($B148&amp;$C148&amp;$E148,'Key inputs'!$B$16:$B$40&amp;'Key inputs'!$C$16:$C$40&amp;'Key inputs'!$D$16:$D$40,0),MATCH($A$2&amp;P$4,'Key inputs'!$B$17:$N$17&amp;'Key inputs'!$B$18:$N$18,0))</f>
        <v>17.100000000000001</v>
      </c>
      <c r="Q148" s="224">
        <f>IF(AND(O148="",P148=""),"",O148+P148*$F148/1000)</f>
        <v>171</v>
      </c>
      <c r="R148" s="247"/>
      <c r="S148" s="104"/>
      <c r="T148" s="104"/>
      <c r="U148" s="97"/>
      <c r="V148" s="97"/>
    </row>
    <row r="149" spans="1:22" s="19" customFormat="1" outlineLevel="1" x14ac:dyDescent="0.35">
      <c r="A149" s="3"/>
      <c r="B149" s="3" t="str">
        <f t="shared" si="67"/>
        <v>Energex</v>
      </c>
      <c r="C149" s="3" t="str">
        <f t="shared" si="67"/>
        <v>Small business</v>
      </c>
      <c r="D149" s="3" t="str">
        <f t="shared" si="67"/>
        <v>without CL</v>
      </c>
      <c r="E149" s="3"/>
      <c r="F149" s="228"/>
      <c r="G149" s="60" t="s">
        <v>35</v>
      </c>
      <c r="H149" s="226"/>
      <c r="I149" s="226"/>
      <c r="J149" s="226"/>
      <c r="K149" s="247"/>
      <c r="L149" s="253"/>
      <c r="M149" s="247"/>
      <c r="N149" s="253"/>
      <c r="O149" s="226"/>
      <c r="P149" s="226"/>
      <c r="Q149" s="226">
        <f>Q148*GST</f>
        <v>17.100000000000001</v>
      </c>
      <c r="R149" s="248"/>
      <c r="U149" s="3"/>
      <c r="V149" s="3"/>
    </row>
    <row r="150" spans="1:22" s="19" customFormat="1" x14ac:dyDescent="0.35">
      <c r="A150" s="3"/>
      <c r="B150" s="3" t="str">
        <f t="shared" si="67"/>
        <v>Energex</v>
      </c>
      <c r="C150" s="3" t="str">
        <f t="shared" si="67"/>
        <v>Small business</v>
      </c>
      <c r="D150" s="3" t="str">
        <f t="shared" si="67"/>
        <v>without CL</v>
      </c>
      <c r="E150" s="3"/>
      <c r="F150" s="228"/>
      <c r="G150" s="5" t="s">
        <v>77</v>
      </c>
      <c r="H150" s="227"/>
      <c r="I150" s="227"/>
      <c r="J150" s="227"/>
      <c r="K150" s="248"/>
      <c r="L150" s="254"/>
      <c r="M150" s="248"/>
      <c r="N150" s="254"/>
      <c r="O150" s="227"/>
      <c r="P150" s="227"/>
      <c r="Q150" s="227">
        <f>SUM(Q148:Q149)</f>
        <v>188.1</v>
      </c>
      <c r="R150" s="248"/>
      <c r="U150" s="3"/>
      <c r="V150" s="3"/>
    </row>
    <row r="151" spans="1:22" s="19" customFormat="1" x14ac:dyDescent="0.35">
      <c r="A151" s="3"/>
      <c r="B151" s="3"/>
      <c r="C151" s="3"/>
      <c r="D151" s="3"/>
      <c r="E151" s="3"/>
      <c r="F151" s="228"/>
      <c r="G151" s="3"/>
      <c r="H151" s="224"/>
      <c r="I151" s="224"/>
      <c r="J151" s="224"/>
      <c r="K151" s="246"/>
      <c r="L151" s="252"/>
      <c r="M151" s="246"/>
      <c r="N151" s="252"/>
      <c r="O151" s="224"/>
      <c r="P151" s="224"/>
      <c r="Q151" s="224"/>
      <c r="R151" s="246"/>
      <c r="U151" s="3"/>
      <c r="V151" s="3"/>
    </row>
    <row r="152" spans="1:22" s="19" customFormat="1" x14ac:dyDescent="0.35">
      <c r="A152" s="3"/>
      <c r="B152" s="5" t="s">
        <v>5</v>
      </c>
      <c r="C152" s="5" t="s">
        <v>6</v>
      </c>
      <c r="D152" s="5" t="s">
        <v>136</v>
      </c>
      <c r="E152" s="3"/>
      <c r="F152" s="228"/>
      <c r="G152" s="3"/>
      <c r="H152" s="224"/>
      <c r="I152" s="224"/>
      <c r="J152" s="224"/>
      <c r="K152" s="246"/>
      <c r="L152" s="252"/>
      <c r="M152" s="246"/>
      <c r="N152" s="252"/>
      <c r="O152" s="224"/>
      <c r="P152" s="224"/>
      <c r="Q152" s="224"/>
      <c r="R152" s="246"/>
      <c r="U152" s="3"/>
      <c r="V152" s="3"/>
    </row>
    <row r="153" spans="1:22" s="19" customFormat="1" outlineLevel="1" x14ac:dyDescent="0.35">
      <c r="A153" s="3"/>
      <c r="B153" s="3" t="str">
        <f t="shared" ref="B153:D160" si="68">B152</f>
        <v>SAPN</v>
      </c>
      <c r="C153" s="3" t="str">
        <f t="shared" si="68"/>
        <v>Residential</v>
      </c>
      <c r="D153" s="3" t="str">
        <f t="shared" si="68"/>
        <v>without CL</v>
      </c>
      <c r="E153" s="3" t="s">
        <v>21</v>
      </c>
      <c r="F153" s="228">
        <f t="array" ref="F153">IFERROR(INDEX(Usage!$B$5:$P$18,MATCH($B153,Usage!$B$5:$B$18,0),MATCH($C153&amp;$D153&amp;$E153&amp;"Total",Usage!$B$5:$S$5&amp;Usage!$B$6:$S$6&amp;Usage!$B$7:$S$7&amp;Usage!$B$13:$S$13,0)),0)</f>
        <v>4000</v>
      </c>
      <c r="G153" s="3" t="s">
        <v>70</v>
      </c>
      <c r="H153" s="224"/>
      <c r="I153" s="224">
        <f t="array" ref="I153">IFERROR(INDEX('Detail inputs'!$B$3:$K$193,MATCH($B153&amp;$G153&amp;I$5,'Detail inputs'!$B$3:$B$193&amp;'Detail inputs'!$G$3:$G$193&amp;'Detail inputs'!$H$3:$H$193,0),MATCH(I$4,'Detail inputs'!$B$3:$K$3,0)),0)</f>
        <v>4.22</v>
      </c>
      <c r="J153" s="224">
        <f t="shared" ref="J153:J158" si="69">IF(AND(H153="",I153=""),"",H153+I153*$F153/1000)</f>
        <v>16.88</v>
      </c>
      <c r="K153" s="246">
        <f>IFERROR(J153/J158,"")</f>
        <v>0.20696419813634132</v>
      </c>
      <c r="L153" s="243"/>
      <c r="M153" s="246">
        <f t="shared" ref="M153:M158" si="70">IF(OR(J153=0,Q153=""),"",Q153/J153-1)</f>
        <v>0.21563981042654023</v>
      </c>
      <c r="N153" s="243"/>
      <c r="O153" s="224"/>
      <c r="P153" s="224">
        <f t="array" ref="P153">IFERROR(INDEX('Detail inputs'!$B$3:$K$193,MATCH($B153&amp;$G153&amp;P$5,'Detail inputs'!$B$3:$B$193&amp;'Detail inputs'!$G$3:$G$193&amp;'Detail inputs'!$H$3:$H$193,0),MATCH(P$4,'Detail inputs'!$B$3:$K$3,0)),0)</f>
        <v>5.13</v>
      </c>
      <c r="Q153" s="224">
        <f t="shared" ref="Q153:Q158" si="71">IF(AND(O153="",P153=""),"",O153+P153*$F153/1000)</f>
        <v>20.52</v>
      </c>
      <c r="R153" s="246">
        <f>IFERROR(Q153/Q158,"")</f>
        <v>0.25171736997055938</v>
      </c>
      <c r="U153" s="97"/>
      <c r="V153" s="97"/>
    </row>
    <row r="154" spans="1:22" s="19" customFormat="1" outlineLevel="1" x14ac:dyDescent="0.35">
      <c r="A154" s="3"/>
      <c r="B154" s="3" t="str">
        <f t="shared" si="68"/>
        <v>SAPN</v>
      </c>
      <c r="C154" s="3" t="str">
        <f t="shared" si="68"/>
        <v>Residential</v>
      </c>
      <c r="D154" s="3" t="str">
        <f t="shared" si="68"/>
        <v>without CL</v>
      </c>
      <c r="E154" s="3" t="s">
        <v>21</v>
      </c>
      <c r="F154" s="228">
        <f t="array" ref="F154">IFERROR(INDEX(Usage!$B$5:$P$18,MATCH($B154,Usage!$B$5:$B$18,0),MATCH($C154&amp;$D154&amp;$E154&amp;"Total",Usage!$B$5:$S$5&amp;Usage!$B$6:$S$6&amp;Usage!$B$7:$S$7&amp;Usage!$B$13:$S$13,0)),0)</f>
        <v>4000</v>
      </c>
      <c r="G154" s="3" t="s">
        <v>71</v>
      </c>
      <c r="H154" s="224"/>
      <c r="I154" s="224">
        <f t="array" ref="I154">IFERROR(INDEX('Detail inputs'!$B$3:$K$193,MATCH($B154&amp;$G154&amp;I$5,'Detail inputs'!$B$3:$B$193&amp;'Detail inputs'!$G$3:$G$193&amp;'Detail inputs'!$H$3:$H$193,0),MATCH(I$4,'Detail inputs'!$B$3:$K$3,0)),0)</f>
        <v>11.52</v>
      </c>
      <c r="J154" s="224">
        <f t="shared" si="69"/>
        <v>46.08</v>
      </c>
      <c r="K154" s="246">
        <f>IFERROR(J154/J158,"")</f>
        <v>0.56498283472290334</v>
      </c>
      <c r="L154" s="243"/>
      <c r="M154" s="246">
        <f t="shared" si="70"/>
        <v>-5.381944444444442E-2</v>
      </c>
      <c r="N154" s="243"/>
      <c r="O154" s="224"/>
      <c r="P154" s="224">
        <f t="array" ref="P154">IFERROR(INDEX('Detail inputs'!$B$3:$K$193,MATCH($B154&amp;$G154&amp;P$5,'Detail inputs'!$B$3:$B$193&amp;'Detail inputs'!$G$3:$G$193&amp;'Detail inputs'!$H$3:$H$193,0),MATCH(P$4,'Detail inputs'!$B$3:$K$3,0)),0)</f>
        <v>10.9</v>
      </c>
      <c r="Q154" s="224">
        <f t="shared" si="71"/>
        <v>43.6</v>
      </c>
      <c r="R154" s="246">
        <f>IFERROR(Q154/Q158,"")</f>
        <v>0.53483807654563298</v>
      </c>
      <c r="U154" s="3"/>
      <c r="V154" s="3"/>
    </row>
    <row r="155" spans="1:22" s="19" customFormat="1" outlineLevel="1" x14ac:dyDescent="0.35">
      <c r="A155" s="3"/>
      <c r="B155" s="3" t="str">
        <f t="shared" si="68"/>
        <v>SAPN</v>
      </c>
      <c r="C155" s="3" t="str">
        <f t="shared" si="68"/>
        <v>Residential</v>
      </c>
      <c r="D155" s="3" t="str">
        <f t="shared" si="68"/>
        <v>without CL</v>
      </c>
      <c r="E155" s="3" t="s">
        <v>21</v>
      </c>
      <c r="F155" s="228">
        <f t="array" ref="F155">IFERROR(INDEX(Usage!$B$5:$P$18,MATCH($B155,Usage!$B$5:$B$18,0),MATCH($C155&amp;$D155&amp;$E155&amp;"Total",Usage!$B$5:$S$5&amp;Usage!$B$6:$S$6&amp;Usage!$B$7:$S$7&amp;Usage!$B$13:$S$13,0)),0)</f>
        <v>4000</v>
      </c>
      <c r="G155" s="3" t="s">
        <v>76</v>
      </c>
      <c r="H155" s="224"/>
      <c r="I155" s="224" cm="1">
        <f t="array" ref="I155">IFERROR(INDEX('Detail inputs'!$B$3:$K$193,MATCH($B155&amp;$G155&amp;I$5,'Detail inputs'!$B$3:$B$193&amp;'Detail inputs'!$G$3:$G$193&amp;'Detail inputs'!$H$3:$H$193,0),MATCH(I$4,'Detail inputs'!$B$3:$K$3,0)),0)</f>
        <v>2.5</v>
      </c>
      <c r="J155" s="224">
        <f t="shared" si="69"/>
        <v>10</v>
      </c>
      <c r="K155" s="246">
        <f>IFERROR(J155/J158,"")</f>
        <v>0.12260912211868563</v>
      </c>
      <c r="L155" s="243"/>
      <c r="M155" s="246">
        <f t="shared" si="70"/>
        <v>-1</v>
      </c>
      <c r="N155" s="243"/>
      <c r="O155" s="224"/>
      <c r="P155" s="224">
        <f t="array" ref="P155">IFERROR(INDEX('Detail inputs'!$B$3:$K$193,MATCH($B155&amp;$G155&amp;P$5,'Detail inputs'!$B$3:$B$193&amp;'Detail inputs'!$G$3:$G$193&amp;'Detail inputs'!$H$3:$H$193,0),MATCH(P$4,'Detail inputs'!$B$3:$K$3,0)),0)</f>
        <v>0</v>
      </c>
      <c r="Q155" s="224">
        <f t="shared" si="71"/>
        <v>0</v>
      </c>
      <c r="R155" s="246">
        <f>IFERROR(Q155/Q158,"")</f>
        <v>0</v>
      </c>
      <c r="U155" s="3"/>
      <c r="V155" s="3"/>
    </row>
    <row r="156" spans="1:22" s="19" customFormat="1" outlineLevel="1" x14ac:dyDescent="0.35">
      <c r="A156" s="3"/>
      <c r="B156" s="3" t="str">
        <f t="shared" si="68"/>
        <v>SAPN</v>
      </c>
      <c r="C156" s="3" t="str">
        <f t="shared" si="68"/>
        <v>Residential</v>
      </c>
      <c r="D156" s="3" t="str">
        <f t="shared" si="68"/>
        <v>without CL</v>
      </c>
      <c r="E156" s="3" t="s">
        <v>21</v>
      </c>
      <c r="F156" s="228">
        <f t="array" ref="F156">IFERROR(INDEX(Usage!$B$5:$P$18,MATCH($B156,Usage!$B$5:$B$18,0),MATCH($C156&amp;$D156&amp;$E156&amp;"Total",Usage!$B$5:$S$5&amp;Usage!$B$6:$S$6&amp;Usage!$B$7:$S$7&amp;Usage!$B$13:$S$13,0)),0)</f>
        <v>4000</v>
      </c>
      <c r="G156" s="3" t="s">
        <v>188</v>
      </c>
      <c r="H156" s="224"/>
      <c r="I156" s="224" cm="1">
        <f t="array" ref="I156">IFERROR(INDEX('Detail inputs'!$B$3:$K$193,MATCH($B156&amp;$G156&amp;I$5,'Detail inputs'!$B$3:$B$193&amp;'Detail inputs'!$G$3:$G$193&amp;'Detail inputs'!$H$3:$H$193,0),MATCH(I$4,'Detail inputs'!$B$3:$K$3,0)),0)</f>
        <v>0</v>
      </c>
      <c r="J156" s="224">
        <f t="shared" si="69"/>
        <v>0</v>
      </c>
      <c r="K156" s="246">
        <f>IFERROR(J156/J158,"")</f>
        <v>0</v>
      </c>
      <c r="L156" s="243"/>
      <c r="M156" s="246" t="str">
        <f t="shared" si="70"/>
        <v/>
      </c>
      <c r="N156" s="243"/>
      <c r="O156" s="224"/>
      <c r="P156" s="224">
        <f t="array" ref="P156">IFERROR(INDEX('Detail inputs'!$B$3:$K$193,MATCH($B156&amp;$G156&amp;P$5,'Detail inputs'!$B$3:$B$193&amp;'Detail inputs'!$G$3:$G$193&amp;'Detail inputs'!$H$3:$H$193,0),MATCH(P$4,'Detail inputs'!$B$3:$K$3,0)),0)</f>
        <v>2.5</v>
      </c>
      <c r="Q156" s="224">
        <f t="shared" si="71"/>
        <v>10</v>
      </c>
      <c r="R156" s="246">
        <f>IFERROR(Q156/Q158,"")</f>
        <v>0.12266928361138371</v>
      </c>
      <c r="U156" s="3"/>
      <c r="V156" s="3"/>
    </row>
    <row r="157" spans="1:22" s="19" customFormat="1" outlineLevel="1" x14ac:dyDescent="0.35">
      <c r="A157" s="3"/>
      <c r="B157" s="3" t="str">
        <f t="shared" si="68"/>
        <v>SAPN</v>
      </c>
      <c r="C157" s="3" t="str">
        <f t="shared" si="68"/>
        <v>Residential</v>
      </c>
      <c r="D157" s="3" t="str">
        <f t="shared" si="68"/>
        <v>without CL</v>
      </c>
      <c r="E157" s="3" t="s">
        <v>21</v>
      </c>
      <c r="F157" s="228">
        <f t="array" ref="F157">IFERROR(INDEX(Usage!$B$5:$P$18,MATCH($B157,Usage!$B$5:$B$18,0),MATCH($C157&amp;$D157&amp;$E157&amp;"Total",Usage!$B$5:$S$5&amp;Usage!$B$6:$S$6&amp;Usage!$B$7:$S$7&amp;Usage!$B$13:$S$13,0)),0)</f>
        <v>4000</v>
      </c>
      <c r="G157" s="3" t="s">
        <v>69</v>
      </c>
      <c r="H157" s="224"/>
      <c r="I157" s="224" cm="1">
        <f t="array" ref="I157">ROUND(IFERROR(INDEX('Detail inputs'!$B$3:$K$193,MATCH($B157&amp;$C157&amp;$E157&amp;$G157&amp;I$5,'Detail inputs'!$B$3:$B$193&amp;'Detail inputs'!$D$3:$D$193&amp;'Detail inputs'!$F$3:$F$193&amp;'Detail inputs'!$G$3:$G$193&amp;'Detail inputs'!$H$3:$H$193,0),MATCH(I$4,'Detail inputs'!$B$3:$K$3,0)),0)*SUM(I153:I156),2)</f>
        <v>2.15</v>
      </c>
      <c r="J157" s="224">
        <f t="shared" si="69"/>
        <v>8.6</v>
      </c>
      <c r="K157" s="246">
        <f>IFERROR(J157/J158,"")</f>
        <v>0.10544384502206963</v>
      </c>
      <c r="L157" s="243"/>
      <c r="M157" s="246">
        <f t="shared" si="70"/>
        <v>-0.13953488372093015</v>
      </c>
      <c r="N157" s="243"/>
      <c r="O157" s="224"/>
      <c r="P157" s="224" cm="1">
        <f t="array" ref="P157">ROUND(IFERROR(INDEX('Detail inputs'!$B$3:$K$193,MATCH($B157&amp;$C157&amp;$E157&amp;$G157&amp;P$5,'Detail inputs'!$B$3:$B$193&amp;'Detail inputs'!$D$3:$D$193&amp;'Detail inputs'!$F$3:$F$193&amp;'Detail inputs'!$G$3:$G$193&amp;'Detail inputs'!$H$3:$H$193,0),MATCH(P$4,'Detail inputs'!$B$3:$K$3,0)),0)*SUM(P153:P156),2)</f>
        <v>1.85</v>
      </c>
      <c r="Q157" s="224">
        <f t="shared" si="71"/>
        <v>7.4</v>
      </c>
      <c r="R157" s="246">
        <f>IFERROR(Q157/Q158,"")</f>
        <v>9.0775269872423958E-2</v>
      </c>
      <c r="U157" s="3"/>
      <c r="V157" s="3"/>
    </row>
    <row r="158" spans="1:22" s="65" customFormat="1" x14ac:dyDescent="0.3">
      <c r="A158" s="60"/>
      <c r="B158" s="60" t="str">
        <f t="shared" si="68"/>
        <v>SAPN</v>
      </c>
      <c r="C158" s="60" t="str">
        <f t="shared" si="68"/>
        <v>Residential</v>
      </c>
      <c r="D158" s="60" t="str">
        <f t="shared" si="68"/>
        <v>without CL</v>
      </c>
      <c r="E158" s="3" t="s">
        <v>21</v>
      </c>
      <c r="F158" s="228">
        <f t="array" ref="F158">IFERROR(INDEX(Usage!$B$5:$P$18,MATCH($B158,Usage!$B$5:$B$18,0),MATCH($C158&amp;$D158&amp;$E158&amp;"Total",Usage!$B$5:$S$5&amp;Usage!$B$6:$S$6&amp;Usage!$B$7:$S$7&amp;Usage!$B$13:$S$13,0)),0)</f>
        <v>4000</v>
      </c>
      <c r="G158" s="60" t="s">
        <v>53</v>
      </c>
      <c r="H158" s="226"/>
      <c r="I158" s="226">
        <f t="array" ref="I158">INDEX('Key inputs'!$B$16:$N$40,MATCH($B158&amp;$C158&amp;$E158,'Key inputs'!$B$16:$B$40&amp;'Key inputs'!$C$16:$C$40&amp;'Key inputs'!$D$16:$D$40,0),MATCH($A$2&amp;I$4,'Key inputs'!$B$17:$N$17&amp;'Key inputs'!$B$18:$N$18,0))</f>
        <v>20.39</v>
      </c>
      <c r="J158" s="224">
        <f t="shared" si="69"/>
        <v>81.56</v>
      </c>
      <c r="K158" s="247"/>
      <c r="L158" s="253"/>
      <c r="M158" s="247">
        <f t="shared" si="70"/>
        <v>-4.9043648847479915E-4</v>
      </c>
      <c r="N158" s="253"/>
      <c r="O158" s="226"/>
      <c r="P158" s="226">
        <f t="array" ref="P158">INDEX('Key inputs'!$B$16:$N$40,MATCH($B158&amp;$C158&amp;$E158,'Key inputs'!$B$16:$B$40&amp;'Key inputs'!$C$16:$C$40&amp;'Key inputs'!$D$16:$D$40,0),MATCH($A$2&amp;P$4,'Key inputs'!$B$17:$N$17&amp;'Key inputs'!$B$18:$N$18,0))</f>
        <v>20.38</v>
      </c>
      <c r="Q158" s="224">
        <f t="shared" si="71"/>
        <v>81.52</v>
      </c>
      <c r="R158" s="247"/>
      <c r="S158" s="104"/>
      <c r="T158" s="104"/>
      <c r="U158" s="97"/>
      <c r="V158" s="97"/>
    </row>
    <row r="159" spans="1:22" s="19" customFormat="1" outlineLevel="1" x14ac:dyDescent="0.35">
      <c r="A159" s="3"/>
      <c r="B159" s="3" t="str">
        <f t="shared" si="68"/>
        <v>SAPN</v>
      </c>
      <c r="C159" s="3" t="str">
        <f t="shared" si="68"/>
        <v>Residential</v>
      </c>
      <c r="D159" s="3" t="str">
        <f t="shared" si="68"/>
        <v>without CL</v>
      </c>
      <c r="E159" s="3"/>
      <c r="F159" s="228"/>
      <c r="G159" s="60" t="s">
        <v>35</v>
      </c>
      <c r="H159" s="226"/>
      <c r="I159" s="226"/>
      <c r="J159" s="226">
        <f>J158*GST</f>
        <v>8.1560000000000006</v>
      </c>
      <c r="K159" s="247"/>
      <c r="L159" s="253"/>
      <c r="M159" s="247"/>
      <c r="N159" s="253"/>
      <c r="O159" s="226"/>
      <c r="P159" s="226"/>
      <c r="Q159" s="226">
        <f>Q158*GST</f>
        <v>8.1519999999999992</v>
      </c>
      <c r="R159" s="248"/>
      <c r="U159" s="3"/>
      <c r="V159" s="3"/>
    </row>
    <row r="160" spans="1:22" s="19" customFormat="1" x14ac:dyDescent="0.35">
      <c r="A160" s="3"/>
      <c r="B160" s="3" t="str">
        <f t="shared" si="68"/>
        <v>SAPN</v>
      </c>
      <c r="C160" s="3" t="str">
        <f t="shared" si="68"/>
        <v>Residential</v>
      </c>
      <c r="D160" s="3" t="str">
        <f t="shared" si="68"/>
        <v>without CL</v>
      </c>
      <c r="E160" s="3"/>
      <c r="F160" s="228"/>
      <c r="G160" s="5" t="s">
        <v>77</v>
      </c>
      <c r="H160" s="227"/>
      <c r="I160" s="227"/>
      <c r="J160" s="227">
        <f>SUM(J158:J159)</f>
        <v>89.716000000000008</v>
      </c>
      <c r="K160" s="248"/>
      <c r="L160" s="254"/>
      <c r="M160" s="248">
        <f>IF(OR(J160=0,Q160=""),"",Q160/J160-1)</f>
        <v>-4.9043648847491017E-4</v>
      </c>
      <c r="N160" s="254"/>
      <c r="O160" s="227"/>
      <c r="P160" s="227"/>
      <c r="Q160" s="227">
        <f>SUM(Q158:Q159)</f>
        <v>89.671999999999997</v>
      </c>
      <c r="R160" s="248"/>
      <c r="U160" s="97"/>
      <c r="V160" s="97"/>
    </row>
    <row r="161" spans="1:22" s="19" customFormat="1" x14ac:dyDescent="0.35">
      <c r="A161" s="3"/>
      <c r="B161" s="3"/>
      <c r="C161" s="3"/>
      <c r="D161" s="3"/>
      <c r="E161" s="3"/>
      <c r="F161" s="228"/>
      <c r="G161" s="3"/>
      <c r="H161" s="224"/>
      <c r="I161" s="224"/>
      <c r="J161" s="224"/>
      <c r="K161" s="246"/>
      <c r="L161" s="252"/>
      <c r="M161" s="246"/>
      <c r="N161" s="252"/>
      <c r="O161" s="224"/>
      <c r="P161" s="224"/>
      <c r="Q161" s="224"/>
      <c r="R161" s="246"/>
      <c r="U161" s="60"/>
      <c r="V161" s="60"/>
    </row>
    <row r="162" spans="1:22" s="19" customFormat="1" x14ac:dyDescent="0.35">
      <c r="A162" s="3"/>
      <c r="B162" s="5" t="s">
        <v>5</v>
      </c>
      <c r="C162" s="5" t="s">
        <v>6</v>
      </c>
      <c r="D162" s="5" t="s">
        <v>137</v>
      </c>
      <c r="E162" s="3"/>
      <c r="F162" s="228"/>
      <c r="G162" s="3"/>
      <c r="H162" s="224"/>
      <c r="I162" s="224"/>
      <c r="J162" s="224"/>
      <c r="K162" s="246"/>
      <c r="L162" s="252"/>
      <c r="M162" s="246"/>
      <c r="N162" s="252"/>
      <c r="O162" s="224"/>
      <c r="P162" s="224"/>
      <c r="Q162" s="224"/>
      <c r="R162" s="246"/>
      <c r="U162" s="3"/>
      <c r="V162" s="3"/>
    </row>
    <row r="163" spans="1:22" s="19" customFormat="1" outlineLevel="1" x14ac:dyDescent="0.35">
      <c r="A163" s="3"/>
      <c r="B163" s="3" t="str">
        <f t="shared" ref="B163:B170" si="72">B162</f>
        <v>SAPN</v>
      </c>
      <c r="C163" s="3" t="str">
        <f t="shared" ref="C163:C170" si="73">C162</f>
        <v>Residential</v>
      </c>
      <c r="D163" s="3" t="str">
        <f t="shared" ref="D163:D170" si="74">D162</f>
        <v>with CL</v>
      </c>
      <c r="E163" s="3" t="s">
        <v>21</v>
      </c>
      <c r="F163" s="228">
        <f t="array" ref="F163">IFERROR(INDEX(Usage!$B$5:$P$18,MATCH($B163,Usage!$B$5:$B$18,0),MATCH($C163&amp;$D163&amp;$E163&amp;"Total",Usage!$B$5:$S$5&amp;Usage!$B$6:$S$6&amp;Usage!$B$7:$S$7&amp;Usage!$B$13:$S$13,0)),0)</f>
        <v>4200</v>
      </c>
      <c r="G163" s="3" t="s">
        <v>53</v>
      </c>
      <c r="H163" s="224"/>
      <c r="I163" s="224">
        <f>I158</f>
        <v>20.39</v>
      </c>
      <c r="J163" s="224">
        <f t="shared" ref="J163:J169" si="75">IF(AND(H163="",I163=""),"",H163+I163*$F163/1000)</f>
        <v>85.638000000000005</v>
      </c>
      <c r="K163" s="246"/>
      <c r="L163" s="252"/>
      <c r="M163" s="246">
        <f>IF(OR(J163=0,Q163=""),"",Q163/J163-1)</f>
        <v>-4.9043648847479915E-4</v>
      </c>
      <c r="N163" s="252"/>
      <c r="O163" s="224"/>
      <c r="P163" s="224">
        <f>P158</f>
        <v>20.38</v>
      </c>
      <c r="Q163" s="224">
        <f t="shared" ref="Q163:Q169" si="76">IF(AND(O163="",P163=""),"",O163+P163*$F163/1000)</f>
        <v>85.596000000000004</v>
      </c>
      <c r="R163" s="246"/>
      <c r="U163" s="3"/>
      <c r="V163" s="3"/>
    </row>
    <row r="164" spans="1:22" s="19" customFormat="1" outlineLevel="1" x14ac:dyDescent="0.35">
      <c r="A164" s="3"/>
      <c r="B164" s="3" t="str">
        <f t="shared" si="72"/>
        <v>SAPN</v>
      </c>
      <c r="C164" s="3" t="str">
        <f t="shared" si="73"/>
        <v>Residential</v>
      </c>
      <c r="D164" s="3" t="str">
        <f t="shared" si="74"/>
        <v>with CL</v>
      </c>
      <c r="E164" s="3" t="s">
        <v>15</v>
      </c>
      <c r="F164" s="228">
        <f t="array" ref="F164">IFERROR(INDEX(Usage!$B$5:$P$18,MATCH($B164,Usage!$B$5:$B$18,0),MATCH($C164&amp;$D164&amp;$E164,Usage!$B$5:$S$5&amp;Usage!$B$6:$S$6&amp;Usage!$B$7:$S$7,0)),0)</f>
        <v>1800</v>
      </c>
      <c r="G164" s="3" t="s">
        <v>70</v>
      </c>
      <c r="H164" s="224"/>
      <c r="I164" s="224">
        <f t="array" ref="I164">IFERROR(INDEX('Detail inputs'!$B$3:$K$193,MATCH($B164&amp;$G164&amp;I$5,'Detail inputs'!$B$3:$B$193&amp;'Detail inputs'!$G$3:$G$193&amp;'Detail inputs'!$H$3:$H$193,0),MATCH(I$4,'Detail inputs'!$B$3:$K$3,0)),0)</f>
        <v>4.22</v>
      </c>
      <c r="J164" s="224">
        <f t="shared" si="75"/>
        <v>7.5960000000000001</v>
      </c>
      <c r="K164" s="246">
        <f>IFERROR(J164/J169,"")</f>
        <v>0.20696419813634134</v>
      </c>
      <c r="L164" s="243"/>
      <c r="M164" s="246">
        <f t="shared" ref="M164:M170" si="77">IF(OR(J164=0,Q164=""),"",Q164/J164-1)</f>
        <v>0.21563981042654023</v>
      </c>
      <c r="N164" s="243"/>
      <c r="O164" s="224"/>
      <c r="P164" s="224">
        <f t="array" ref="P164">IFERROR(INDEX('Detail inputs'!$B$3:$K$193,MATCH($B164&amp;$G164&amp;P$5,'Detail inputs'!$B$3:$B$193&amp;'Detail inputs'!$G$3:$G$193&amp;'Detail inputs'!$H$3:$H$193,0),MATCH(P$4,'Detail inputs'!$B$3:$K$3,0)),0)</f>
        <v>5.13</v>
      </c>
      <c r="Q164" s="224">
        <f t="shared" si="76"/>
        <v>9.234</v>
      </c>
      <c r="R164" s="246">
        <f>IFERROR(Q164/Q169,"")</f>
        <v>0.25171736997055938</v>
      </c>
      <c r="U164" s="3"/>
      <c r="V164" s="3"/>
    </row>
    <row r="165" spans="1:22" s="19" customFormat="1" outlineLevel="1" x14ac:dyDescent="0.35">
      <c r="A165" s="3"/>
      <c r="B165" s="3" t="str">
        <f t="shared" si="72"/>
        <v>SAPN</v>
      </c>
      <c r="C165" s="3" t="str">
        <f t="shared" si="73"/>
        <v>Residential</v>
      </c>
      <c r="D165" s="3" t="str">
        <f t="shared" si="74"/>
        <v>with CL</v>
      </c>
      <c r="E165" s="3" t="s">
        <v>15</v>
      </c>
      <c r="F165" s="228">
        <f t="array" ref="F165">IFERROR(INDEX(Usage!$B$5:$P$18,MATCH($B165,Usage!$B$5:$B$18,0),MATCH($C165&amp;$D165&amp;$E165,Usage!$B$5:$S$5&amp;Usage!$B$6:$S$6&amp;Usage!$B$7:$S$7,0)),0)</f>
        <v>1800</v>
      </c>
      <c r="G165" s="3" t="s">
        <v>71</v>
      </c>
      <c r="H165" s="224"/>
      <c r="I165" s="224">
        <f t="array" ref="I165">IFERROR(INDEX('Detail inputs'!$B$3:$K$193,MATCH($B165&amp;$G165&amp;I$5,'Detail inputs'!$B$3:$B$193&amp;'Detail inputs'!$G$3:$G$193&amp;'Detail inputs'!$H$3:$H$193,0),MATCH(I$4,'Detail inputs'!$B$3:$K$3,0)),0)</f>
        <v>11.52</v>
      </c>
      <c r="J165" s="224">
        <f t="shared" si="75"/>
        <v>20.736000000000001</v>
      </c>
      <c r="K165" s="246">
        <f>IFERROR(J165/J169,"")</f>
        <v>0.56498283472290345</v>
      </c>
      <c r="L165" s="243"/>
      <c r="M165" s="246">
        <f t="shared" si="77"/>
        <v>-5.381944444444442E-2</v>
      </c>
      <c r="N165" s="243"/>
      <c r="O165" s="224"/>
      <c r="P165" s="224">
        <f t="array" ref="P165">IFERROR(INDEX('Detail inputs'!$B$3:$K$193,MATCH($B165&amp;$G165&amp;P$5,'Detail inputs'!$B$3:$B$193&amp;'Detail inputs'!$G$3:$G$193&amp;'Detail inputs'!$H$3:$H$193,0),MATCH(P$4,'Detail inputs'!$B$3:$K$3,0)),0)</f>
        <v>10.9</v>
      </c>
      <c r="Q165" s="224">
        <f t="shared" si="76"/>
        <v>19.62</v>
      </c>
      <c r="R165" s="246">
        <f>IFERROR(Q165/Q169,"")</f>
        <v>0.53483807654563309</v>
      </c>
      <c r="U165" s="3"/>
      <c r="V165" s="3"/>
    </row>
    <row r="166" spans="1:22" s="19" customFormat="1" outlineLevel="1" x14ac:dyDescent="0.35">
      <c r="A166" s="3"/>
      <c r="B166" s="3" t="str">
        <f t="shared" si="72"/>
        <v>SAPN</v>
      </c>
      <c r="C166" s="3" t="str">
        <f t="shared" si="73"/>
        <v>Residential</v>
      </c>
      <c r="D166" s="3" t="str">
        <f t="shared" si="74"/>
        <v>with CL</v>
      </c>
      <c r="E166" s="3" t="s">
        <v>15</v>
      </c>
      <c r="F166" s="228">
        <f t="array" ref="F166">IFERROR(INDEX(Usage!$B$5:$P$18,MATCH($B166,Usage!$B$5:$B$18,0),MATCH($C166&amp;$D166&amp;$E166,Usage!$B$5:$S$5&amp;Usage!$B$6:$S$6&amp;Usage!$B$7:$S$7,0)),0)</f>
        <v>1800</v>
      </c>
      <c r="G166" s="3" t="s">
        <v>76</v>
      </c>
      <c r="H166" s="224"/>
      <c r="I166" s="224">
        <f t="array" ref="I166">IFERROR(INDEX('Detail inputs'!$B$3:$K$193,MATCH($B166&amp;$G166&amp;I$5,'Detail inputs'!$B$3:$B$193&amp;'Detail inputs'!$G$3:$G$193&amp;'Detail inputs'!$H$3:$H$193,0),MATCH(I$4,'Detail inputs'!$B$3:$K$3,0)),0)</f>
        <v>2.5</v>
      </c>
      <c r="J166" s="224">
        <f t="shared" si="75"/>
        <v>4.5</v>
      </c>
      <c r="K166" s="246">
        <f>IFERROR(J166/J169,"")</f>
        <v>0.12260912211868563</v>
      </c>
      <c r="L166" s="243"/>
      <c r="M166" s="246">
        <f t="shared" si="77"/>
        <v>-1</v>
      </c>
      <c r="N166" s="243"/>
      <c r="O166" s="224"/>
      <c r="P166" s="224">
        <f t="array" ref="P166">IFERROR(INDEX('Detail inputs'!$B$3:$K$193,MATCH($B166&amp;$G166&amp;P$5,'Detail inputs'!$B$3:$B$193&amp;'Detail inputs'!$G$3:$G$193&amp;'Detail inputs'!$H$3:$H$193,0),MATCH(P$4,'Detail inputs'!$B$3:$K$3,0)),0)</f>
        <v>0</v>
      </c>
      <c r="Q166" s="224">
        <f>IF(AND(O166="",P166=""),"",O166+P166*$F166/1000)</f>
        <v>0</v>
      </c>
      <c r="R166" s="246">
        <f>IFERROR(Q166/Q169,"")</f>
        <v>0</v>
      </c>
      <c r="U166" s="3"/>
      <c r="V166" s="3"/>
    </row>
    <row r="167" spans="1:22" s="19" customFormat="1" outlineLevel="1" x14ac:dyDescent="0.35">
      <c r="A167" s="3"/>
      <c r="B167" s="3" t="str">
        <f t="shared" si="72"/>
        <v>SAPN</v>
      </c>
      <c r="C167" s="3" t="str">
        <f t="shared" si="73"/>
        <v>Residential</v>
      </c>
      <c r="D167" s="3" t="str">
        <f t="shared" si="74"/>
        <v>with CL</v>
      </c>
      <c r="E167" s="3" t="s">
        <v>15</v>
      </c>
      <c r="F167" s="228">
        <f t="array" ref="F167">IFERROR(INDEX(Usage!$B$5:$P$18,MATCH($B167,Usage!$B$5:$B$18,0),MATCH($C167&amp;$D167&amp;$E167,Usage!$B$5:$S$5&amp;Usage!$B$6:$S$6&amp;Usage!$B$7:$S$7,0)),0)</f>
        <v>1800</v>
      </c>
      <c r="G167" s="3" t="s">
        <v>188</v>
      </c>
      <c r="H167" s="224"/>
      <c r="I167" s="224">
        <f t="array" ref="I167">IFERROR(INDEX('Detail inputs'!$B$3:$K$193,MATCH($B167&amp;$G167&amp;I$5,'Detail inputs'!$B$3:$B$193&amp;'Detail inputs'!$G$3:$G$193&amp;'Detail inputs'!$H$3:$H$193,0),MATCH(I$4,'Detail inputs'!$B$3:$K$3,0)),0)</f>
        <v>0</v>
      </c>
      <c r="J167" s="224">
        <f t="shared" ref="J167" si="78">IF(AND(H167="",I167=""),"",H167+I167*$F167/1000)</f>
        <v>0</v>
      </c>
      <c r="K167" s="246">
        <f>IFERROR(J167/J169,"")</f>
        <v>0</v>
      </c>
      <c r="L167" s="243"/>
      <c r="M167" s="246" t="str">
        <f t="shared" ref="M167" si="79">IF(OR(J167=0,Q167=""),"",Q167/J167-1)</f>
        <v/>
      </c>
      <c r="N167" s="243"/>
      <c r="O167" s="224"/>
      <c r="P167" s="224">
        <f t="array" ref="P167">IFERROR(INDEX('Detail inputs'!$B$3:$K$193,MATCH($B167&amp;$G167&amp;P$5,'Detail inputs'!$B$3:$B$193&amp;'Detail inputs'!$G$3:$G$193&amp;'Detail inputs'!$H$3:$H$193,0),MATCH(P$4,'Detail inputs'!$B$3:$K$3,0)),0)</f>
        <v>2.5</v>
      </c>
      <c r="Q167" s="224">
        <f t="shared" ref="Q167" si="80">IF(AND(O167="",P167=""),"",O167+P167*$F167/1000)</f>
        <v>4.5</v>
      </c>
      <c r="R167" s="246">
        <f>IFERROR(Q167/Q169,"")</f>
        <v>0.12266928361138371</v>
      </c>
      <c r="U167" s="3"/>
      <c r="V167" s="3"/>
    </row>
    <row r="168" spans="1:22" s="19" customFormat="1" outlineLevel="1" x14ac:dyDescent="0.35">
      <c r="A168" s="3"/>
      <c r="B168" s="3" t="str">
        <f t="shared" si="72"/>
        <v>SAPN</v>
      </c>
      <c r="C168" s="3" t="str">
        <f t="shared" si="73"/>
        <v>Residential</v>
      </c>
      <c r="D168" s="3" t="str">
        <f t="shared" si="74"/>
        <v>with CL</v>
      </c>
      <c r="E168" s="3" t="s">
        <v>15</v>
      </c>
      <c r="F168" s="228">
        <f t="array" ref="F168">IFERROR(INDEX(Usage!$B$5:$P$18,MATCH($B168,Usage!$B$5:$B$18,0),MATCH($C168&amp;$D168&amp;$E168,Usage!$B$5:$S$5&amp;Usage!$B$6:$S$6&amp;Usage!$B$7:$S$7,0)),0)</f>
        <v>1800</v>
      </c>
      <c r="G168" s="3" t="s">
        <v>69</v>
      </c>
      <c r="H168" s="224"/>
      <c r="I168" s="224" cm="1">
        <f t="array" ref="I168">ROUND(IFERROR(INDEX('Detail inputs'!$B$3:$K$193,MATCH($B168&amp;$C168&amp;$E168&amp;$G168&amp;I$5,'Detail inputs'!$B$3:$B$193&amp;'Detail inputs'!$D$3:$D$193&amp;'Detail inputs'!$F$3:$F$193&amp;'Detail inputs'!$G$3:$G$193&amp;'Detail inputs'!$H$3:$H$193,0),MATCH(I$4,'Detail inputs'!$B$3:$K$3,0)),0)*SUM(I164:I167),2)</f>
        <v>2.15</v>
      </c>
      <c r="J168" s="224">
        <f t="shared" si="75"/>
        <v>3.87</v>
      </c>
      <c r="K168" s="246">
        <f>IFERROR(J168/J169,"")</f>
        <v>0.10544384502206965</v>
      </c>
      <c r="L168" s="243"/>
      <c r="M168" s="246">
        <f t="shared" si="77"/>
        <v>-0.13953488372093026</v>
      </c>
      <c r="N168" s="243"/>
      <c r="O168" s="224"/>
      <c r="P168" s="224" cm="1">
        <f t="array" ref="P168">ROUND(IFERROR(INDEX('Detail inputs'!$B$3:$K$193,MATCH($B168&amp;$C168&amp;$E168&amp;$G168&amp;P$5,'Detail inputs'!$B$3:$B$193&amp;'Detail inputs'!$D$3:$D$193&amp;'Detail inputs'!$F$3:$F$193&amp;'Detail inputs'!$G$3:$G$193&amp;'Detail inputs'!$H$3:$H$193,0),MATCH(P$4,'Detail inputs'!$B$3:$K$3,0)),0)*SUM(P164:P167),2)</f>
        <v>1.85</v>
      </c>
      <c r="Q168" s="224">
        <f t="shared" si="76"/>
        <v>3.33</v>
      </c>
      <c r="R168" s="246">
        <f>IFERROR(Q168/Q169,"")</f>
        <v>9.0775269872423958E-2</v>
      </c>
      <c r="U168" s="3"/>
      <c r="V168" s="3"/>
    </row>
    <row r="169" spans="1:22" s="19" customFormat="1" outlineLevel="1" x14ac:dyDescent="0.3">
      <c r="A169" s="3"/>
      <c r="B169" s="3" t="str">
        <f t="shared" si="72"/>
        <v>SAPN</v>
      </c>
      <c r="C169" s="3" t="str">
        <f t="shared" si="73"/>
        <v>Residential</v>
      </c>
      <c r="D169" s="3" t="str">
        <f t="shared" si="74"/>
        <v>with CL</v>
      </c>
      <c r="E169" s="3" t="s">
        <v>15</v>
      </c>
      <c r="F169" s="228">
        <f t="array" ref="F169">IFERROR(INDEX(Usage!$B$5:$P$18,MATCH($B169,Usage!$B$5:$B$18,0),MATCH($C169&amp;$D169&amp;$E169,Usage!$B$5:$S$5&amp;Usage!$B$6:$S$6&amp;Usage!$B$7:$S$7,0)),0)</f>
        <v>1800</v>
      </c>
      <c r="G169" s="3" t="s">
        <v>53</v>
      </c>
      <c r="H169" s="226"/>
      <c r="I169" s="226">
        <f t="array" ref="I169">INDEX('Key inputs'!$B$16:$N$40,MATCH($B169&amp;$C169&amp;$E169,'Key inputs'!$B$16:$B$40&amp;'Key inputs'!$C$16:$C$40&amp;'Key inputs'!$D$16:$D$40,0),MATCH($A$2&amp;I$4,'Key inputs'!$B$17:$N$17&amp;'Key inputs'!$B$18:$N$18,0))</f>
        <v>20.39</v>
      </c>
      <c r="J169" s="224">
        <f t="shared" si="75"/>
        <v>36.701999999999998</v>
      </c>
      <c r="K169" s="247"/>
      <c r="L169" s="253"/>
      <c r="M169" s="247">
        <f t="shared" si="77"/>
        <v>-4.9043648847479915E-4</v>
      </c>
      <c r="N169" s="253"/>
      <c r="O169" s="226"/>
      <c r="P169" s="226">
        <f t="array" ref="P169">INDEX('Key inputs'!$B$16:$N$40,MATCH($B169&amp;$C169&amp;$E169,'Key inputs'!$B$16:$B$40&amp;'Key inputs'!$C$16:$C$40&amp;'Key inputs'!$D$16:$D$40,0),MATCH($A$2&amp;P$4,'Key inputs'!$B$17:$N$17&amp;'Key inputs'!$B$18:$N$18,0))</f>
        <v>20.38</v>
      </c>
      <c r="Q169" s="224">
        <f t="shared" si="76"/>
        <v>36.683999999999997</v>
      </c>
      <c r="R169" s="247"/>
      <c r="S169" s="104"/>
      <c r="T169" s="104"/>
      <c r="U169" s="97"/>
      <c r="V169" s="97"/>
    </row>
    <row r="170" spans="1:22" s="65" customFormat="1" x14ac:dyDescent="0.35">
      <c r="A170" s="60"/>
      <c r="B170" s="60" t="str">
        <f t="shared" si="72"/>
        <v>SAPN</v>
      </c>
      <c r="C170" s="60" t="str">
        <f t="shared" si="73"/>
        <v>Residential</v>
      </c>
      <c r="D170" s="60" t="str">
        <f t="shared" si="74"/>
        <v>with CL</v>
      </c>
      <c r="E170" s="60" t="s">
        <v>53</v>
      </c>
      <c r="F170" s="228">
        <f t="array" ref="F170">IFERROR(INDEX(Usage!$B$5:$P$18,MATCH($B170,Usage!$B$5:$B$18,0),MATCH($C170&amp;$D170&amp;$E170,Usage!$B$5:$S$5&amp;Usage!$B$6:$S$6&amp;Usage!$B$7:$S$7,0)),0)</f>
        <v>6000</v>
      </c>
      <c r="G170" s="60" t="s">
        <v>53</v>
      </c>
      <c r="H170" s="226"/>
      <c r="I170" s="226">
        <f>I163+I169</f>
        <v>40.78</v>
      </c>
      <c r="J170" s="226">
        <f>J163+J169</f>
        <v>122.34</v>
      </c>
      <c r="K170" s="247"/>
      <c r="L170" s="253"/>
      <c r="M170" s="247">
        <f t="shared" si="77"/>
        <v>-4.9043648847479915E-4</v>
      </c>
      <c r="N170" s="253"/>
      <c r="O170" s="226"/>
      <c r="P170" s="226">
        <f>P163+P169</f>
        <v>40.76</v>
      </c>
      <c r="Q170" s="226">
        <f>Q163+Q169</f>
        <v>122.28</v>
      </c>
      <c r="R170" s="247"/>
      <c r="U170" s="3"/>
      <c r="V170" s="3"/>
    </row>
    <row r="171" spans="1:22" s="19" customFormat="1" outlineLevel="1" x14ac:dyDescent="0.35">
      <c r="A171" s="3"/>
      <c r="B171" s="3" t="str">
        <f t="shared" ref="B171:D172" si="81">B170</f>
        <v>SAPN</v>
      </c>
      <c r="C171" s="3" t="str">
        <f t="shared" si="81"/>
        <v>Residential</v>
      </c>
      <c r="D171" s="3" t="str">
        <f t="shared" si="81"/>
        <v>with CL</v>
      </c>
      <c r="E171" s="3"/>
      <c r="F171" s="228"/>
      <c r="G171" s="60" t="s">
        <v>35</v>
      </c>
      <c r="H171" s="226"/>
      <c r="I171" s="226"/>
      <c r="J171" s="226">
        <f>J170*GST</f>
        <v>12.234000000000002</v>
      </c>
      <c r="K171" s="247"/>
      <c r="L171" s="253"/>
      <c r="M171" s="247"/>
      <c r="N171" s="253"/>
      <c r="O171" s="226"/>
      <c r="P171" s="226"/>
      <c r="Q171" s="226">
        <f>Q170*GST</f>
        <v>12.228000000000002</v>
      </c>
      <c r="R171" s="247"/>
      <c r="U171" s="3"/>
      <c r="V171" s="3"/>
    </row>
    <row r="172" spans="1:22" s="19" customFormat="1" x14ac:dyDescent="0.35">
      <c r="A172" s="3"/>
      <c r="B172" s="3" t="str">
        <f t="shared" si="81"/>
        <v>SAPN</v>
      </c>
      <c r="C172" s="3" t="str">
        <f t="shared" si="81"/>
        <v>Residential</v>
      </c>
      <c r="D172" s="3" t="str">
        <f t="shared" si="81"/>
        <v>with CL</v>
      </c>
      <c r="E172" s="3"/>
      <c r="F172" s="228"/>
      <c r="G172" s="5" t="s">
        <v>77</v>
      </c>
      <c r="H172" s="227"/>
      <c r="I172" s="227"/>
      <c r="J172" s="227">
        <f>SUM(J170:J171)</f>
        <v>134.57400000000001</v>
      </c>
      <c r="K172" s="248"/>
      <c r="L172" s="254"/>
      <c r="M172" s="248">
        <f>IF(OR(J172=0,Q172=""),"",Q172/J172-1)</f>
        <v>-4.9043648847479915E-4</v>
      </c>
      <c r="N172" s="254"/>
      <c r="O172" s="227"/>
      <c r="P172" s="227"/>
      <c r="Q172" s="227">
        <f>SUM(Q170:Q171)</f>
        <v>134.50800000000001</v>
      </c>
      <c r="R172" s="247"/>
      <c r="U172" s="97"/>
      <c r="V172" s="97"/>
    </row>
    <row r="173" spans="1:22" s="19" customFormat="1" x14ac:dyDescent="0.35">
      <c r="A173" s="3"/>
      <c r="B173" s="3"/>
      <c r="C173" s="3"/>
      <c r="D173" s="3"/>
      <c r="E173" s="3"/>
      <c r="F173" s="228"/>
      <c r="G173" s="3"/>
      <c r="H173" s="224"/>
      <c r="I173" s="224"/>
      <c r="J173" s="224"/>
      <c r="K173" s="247"/>
      <c r="L173" s="252"/>
      <c r="M173" s="246"/>
      <c r="N173" s="252"/>
      <c r="O173" s="224"/>
      <c r="P173" s="224"/>
      <c r="Q173" s="224"/>
      <c r="R173" s="247"/>
      <c r="U173" s="3"/>
      <c r="V173" s="3"/>
    </row>
    <row r="174" spans="1:22" s="19" customFormat="1" x14ac:dyDescent="0.35">
      <c r="A174" s="3"/>
      <c r="B174" s="5" t="s">
        <v>5</v>
      </c>
      <c r="C174" s="5" t="s">
        <v>14</v>
      </c>
      <c r="D174" s="5" t="s">
        <v>136</v>
      </c>
      <c r="E174" s="3"/>
      <c r="F174" s="228"/>
      <c r="G174" s="3"/>
      <c r="H174" s="224"/>
      <c r="I174" s="224"/>
      <c r="J174" s="224"/>
      <c r="K174" s="247"/>
      <c r="L174" s="252"/>
      <c r="M174" s="246"/>
      <c r="N174" s="252"/>
      <c r="O174" s="224"/>
      <c r="P174" s="224"/>
      <c r="Q174" s="224"/>
      <c r="R174" s="247"/>
      <c r="U174" s="3"/>
      <c r="V174" s="3"/>
    </row>
    <row r="175" spans="1:22" s="19" customFormat="1" outlineLevel="1" x14ac:dyDescent="0.35">
      <c r="A175" s="3"/>
      <c r="B175" s="3" t="str">
        <f t="shared" ref="B175:D182" si="82">B174</f>
        <v>SAPN</v>
      </c>
      <c r="C175" s="3" t="str">
        <f t="shared" si="82"/>
        <v>Small business</v>
      </c>
      <c r="D175" s="3" t="str">
        <f t="shared" si="82"/>
        <v>without CL</v>
      </c>
      <c r="E175" s="3" t="s">
        <v>21</v>
      </c>
      <c r="F175" s="228">
        <f t="array" ref="F175">IFERROR(INDEX(Usage!$B$5:$P$18,MATCH($B175,Usage!$B$5:$B$18,0),MATCH($C175&amp;$D175&amp;$E175,Usage!$B$5:$S$5&amp;Usage!$B$6:$S$6&amp;Usage!$B$7:$S$7,0)),0)</f>
        <v>10000</v>
      </c>
      <c r="G175" s="3" t="s">
        <v>70</v>
      </c>
      <c r="H175" s="224"/>
      <c r="I175" s="224"/>
      <c r="J175" s="224"/>
      <c r="K175" s="246"/>
      <c r="L175" s="243"/>
      <c r="M175" s="246"/>
      <c r="N175" s="243"/>
      <c r="O175" s="224"/>
      <c r="P175" s="224">
        <f t="array" ref="P175">IFERROR(INDEX('Detail inputs'!$B$3:$K$193,MATCH($B175&amp;$G175&amp;P$5,'Detail inputs'!$B$3:$B$193&amp;'Detail inputs'!$G$3:$G$193&amp;'Detail inputs'!$H$3:$H$193,0),MATCH(P$4,'Detail inputs'!$B$3:$K$3,0)),0)</f>
        <v>5.13</v>
      </c>
      <c r="Q175" s="224">
        <f t="shared" ref="Q175:Q180" si="83">IF(AND(O175="",P175=""),"",O175+P175*$F175/1000)</f>
        <v>51.3</v>
      </c>
      <c r="R175" s="246">
        <f>IFERROR(Q175/Q180,"")</f>
        <v>0.25171736997055932</v>
      </c>
      <c r="U175" s="3"/>
      <c r="V175" s="3"/>
    </row>
    <row r="176" spans="1:22" s="19" customFormat="1" outlineLevel="1" x14ac:dyDescent="0.35">
      <c r="A176" s="3"/>
      <c r="B176" s="3" t="str">
        <f t="shared" si="82"/>
        <v>SAPN</v>
      </c>
      <c r="C176" s="3" t="str">
        <f t="shared" si="82"/>
        <v>Small business</v>
      </c>
      <c r="D176" s="3" t="str">
        <f t="shared" si="82"/>
        <v>without CL</v>
      </c>
      <c r="E176" s="3" t="s">
        <v>21</v>
      </c>
      <c r="F176" s="228">
        <f t="array" ref="F176">IFERROR(INDEX(Usage!$B$5:$P$18,MATCH($B176,Usage!$B$5:$B$18,0),MATCH($C176&amp;$D176&amp;$E176,Usage!$B$5:$S$5&amp;Usage!$B$6:$S$6&amp;Usage!$B$7:$S$7,0)),0)</f>
        <v>10000</v>
      </c>
      <c r="G176" s="3" t="s">
        <v>71</v>
      </c>
      <c r="H176" s="224"/>
      <c r="I176" s="224"/>
      <c r="J176" s="224"/>
      <c r="K176" s="246"/>
      <c r="L176" s="243"/>
      <c r="M176" s="246"/>
      <c r="N176" s="243"/>
      <c r="O176" s="224"/>
      <c r="P176" s="224">
        <f t="array" ref="P176">IFERROR(INDEX('Detail inputs'!$B$3:$K$193,MATCH($B176&amp;$G176&amp;P$5,'Detail inputs'!$B$3:$B$193&amp;'Detail inputs'!$G$3:$G$193&amp;'Detail inputs'!$H$3:$H$193,0),MATCH(P$4,'Detail inputs'!$B$3:$K$3,0)),0)</f>
        <v>10.9</v>
      </c>
      <c r="Q176" s="224">
        <f t="shared" si="83"/>
        <v>109</v>
      </c>
      <c r="R176" s="246">
        <f>IFERROR(Q176/Q180,"")</f>
        <v>0.53483807654563298</v>
      </c>
      <c r="U176" s="3"/>
      <c r="V176" s="3"/>
    </row>
    <row r="177" spans="1:22" s="19" customFormat="1" outlineLevel="1" x14ac:dyDescent="0.35">
      <c r="A177" s="3"/>
      <c r="B177" s="3" t="str">
        <f t="shared" si="82"/>
        <v>SAPN</v>
      </c>
      <c r="C177" s="3" t="str">
        <f t="shared" si="82"/>
        <v>Small business</v>
      </c>
      <c r="D177" s="3" t="str">
        <f t="shared" si="82"/>
        <v>without CL</v>
      </c>
      <c r="E177" s="3" t="s">
        <v>21</v>
      </c>
      <c r="F177" s="228">
        <f t="array" ref="F177">IFERROR(INDEX(Usage!$B$5:$P$18,MATCH($B177,Usage!$B$5:$B$18,0),MATCH($C177&amp;$D177&amp;$E177,Usage!$B$5:$S$5&amp;Usage!$B$6:$S$6&amp;Usage!$B$7:$S$7,0)),0)</f>
        <v>10000</v>
      </c>
      <c r="G177" s="3" t="s">
        <v>76</v>
      </c>
      <c r="H177" s="224"/>
      <c r="I177" s="224"/>
      <c r="J177" s="224"/>
      <c r="K177" s="246"/>
      <c r="L177" s="243"/>
      <c r="M177" s="246"/>
      <c r="N177" s="243"/>
      <c r="O177" s="224"/>
      <c r="P177" s="224">
        <f t="array" ref="P177">IFERROR(INDEX('Detail inputs'!$B$3:$K$193,MATCH($B177&amp;$G177&amp;P$5,'Detail inputs'!$B$3:$B$193&amp;'Detail inputs'!$G$3:$G$193&amp;'Detail inputs'!$H$3:$H$193,0),MATCH(P$4,'Detail inputs'!$B$3:$K$3,0)),0)</f>
        <v>0</v>
      </c>
      <c r="Q177" s="224">
        <f t="shared" si="83"/>
        <v>0</v>
      </c>
      <c r="R177" s="246">
        <f>IFERROR(Q177/Q180,"")</f>
        <v>0</v>
      </c>
      <c r="U177" s="3"/>
      <c r="V177" s="3"/>
    </row>
    <row r="178" spans="1:22" s="19" customFormat="1" outlineLevel="1" x14ac:dyDescent="0.35">
      <c r="A178" s="3"/>
      <c r="B178" s="3" t="str">
        <f t="shared" si="82"/>
        <v>SAPN</v>
      </c>
      <c r="C178" s="3" t="str">
        <f t="shared" si="82"/>
        <v>Small business</v>
      </c>
      <c r="D178" s="3" t="str">
        <f t="shared" si="82"/>
        <v>without CL</v>
      </c>
      <c r="E178" s="3" t="s">
        <v>21</v>
      </c>
      <c r="F178" s="228">
        <f t="array" ref="F178">IFERROR(INDEX(Usage!$B$5:$P$18,MATCH($B178,Usage!$B$5:$B$18,0),MATCH($C178&amp;$D178&amp;$E178,Usage!$B$5:$S$5&amp;Usage!$B$6:$S$6&amp;Usage!$B$7:$S$7,0)),0)</f>
        <v>10000</v>
      </c>
      <c r="G178" s="3" t="s">
        <v>188</v>
      </c>
      <c r="H178" s="224"/>
      <c r="I178" s="224"/>
      <c r="J178" s="224"/>
      <c r="K178" s="246"/>
      <c r="L178" s="243"/>
      <c r="M178" s="246"/>
      <c r="N178" s="243"/>
      <c r="O178" s="224"/>
      <c r="P178" s="224">
        <f t="array" ref="P178">IFERROR(INDEX('Detail inputs'!$B$3:$K$193,MATCH($B178&amp;$G178&amp;P$5,'Detail inputs'!$B$3:$B$193&amp;'Detail inputs'!$G$3:$G$193&amp;'Detail inputs'!$H$3:$H$193,0),MATCH(P$4,'Detail inputs'!$B$3:$K$3,0)),0)</f>
        <v>2.5</v>
      </c>
      <c r="Q178" s="224">
        <f t="shared" si="83"/>
        <v>25</v>
      </c>
      <c r="R178" s="246">
        <f>IFERROR(Q178/Q180,"")</f>
        <v>0.1226692836113837</v>
      </c>
      <c r="U178" s="3"/>
      <c r="V178" s="3"/>
    </row>
    <row r="179" spans="1:22" s="19" customFormat="1" outlineLevel="1" x14ac:dyDescent="0.35">
      <c r="A179" s="3"/>
      <c r="B179" s="3" t="str">
        <f t="shared" si="82"/>
        <v>SAPN</v>
      </c>
      <c r="C179" s="3" t="str">
        <f t="shared" si="82"/>
        <v>Small business</v>
      </c>
      <c r="D179" s="3" t="str">
        <f t="shared" si="82"/>
        <v>without CL</v>
      </c>
      <c r="E179" s="3" t="s">
        <v>21</v>
      </c>
      <c r="F179" s="228">
        <f t="array" ref="F179">IFERROR(INDEX(Usage!$B$5:$P$18,MATCH($B179,Usage!$B$5:$B$18,0),MATCH($C179&amp;$D179&amp;$E179,Usage!$B$5:$S$5&amp;Usage!$B$6:$S$6&amp;Usage!$B$7:$S$7,0)),0)</f>
        <v>10000</v>
      </c>
      <c r="G179" s="3" t="s">
        <v>69</v>
      </c>
      <c r="H179" s="224"/>
      <c r="I179" s="224"/>
      <c r="J179" s="224"/>
      <c r="K179" s="246"/>
      <c r="L179" s="243"/>
      <c r="M179" s="246"/>
      <c r="N179" s="243"/>
      <c r="O179" s="224"/>
      <c r="P179" s="224" cm="1">
        <f t="array" ref="P179">ROUND(IFERROR(INDEX('Detail inputs'!$B$3:$K$193,MATCH($B179&amp;$C179&amp;$E179&amp;$G179&amp;P$5,'Detail inputs'!$B$3:$B$193&amp;'Detail inputs'!$D$3:$D$193&amp;'Detail inputs'!$F$3:$F$193&amp;'Detail inputs'!$G$3:$G$193&amp;'Detail inputs'!$H$3:$H$193,0),MATCH(P$4,'Detail inputs'!$B$3:$K$3,0)),0)*SUM(P175:P178),2)</f>
        <v>1.85</v>
      </c>
      <c r="Q179" s="224">
        <f t="shared" si="83"/>
        <v>18.5</v>
      </c>
      <c r="R179" s="246">
        <f>IFERROR(Q179/Q180,"")</f>
        <v>9.0775269872423944E-2</v>
      </c>
      <c r="U179" s="3"/>
      <c r="V179" s="3"/>
    </row>
    <row r="180" spans="1:22" s="19" customFormat="1" x14ac:dyDescent="0.3">
      <c r="A180" s="3"/>
      <c r="B180" s="3" t="str">
        <f t="shared" si="82"/>
        <v>SAPN</v>
      </c>
      <c r="C180" s="3" t="str">
        <f t="shared" si="82"/>
        <v>Small business</v>
      </c>
      <c r="D180" s="3" t="str">
        <f t="shared" si="82"/>
        <v>without CL</v>
      </c>
      <c r="E180" s="3" t="s">
        <v>21</v>
      </c>
      <c r="F180" s="228">
        <f t="array" ref="F180">IFERROR(INDEX(Usage!$B$5:$P$18,MATCH($B180,Usage!$B$5:$B$18,0),MATCH($C180&amp;$D180&amp;$E180,Usage!$B$5:$S$5&amp;Usage!$B$6:$S$6&amp;Usage!$B$7:$S$7,0)),0)</f>
        <v>10000</v>
      </c>
      <c r="G180" s="60" t="s">
        <v>53</v>
      </c>
      <c r="H180" s="226"/>
      <c r="I180" s="226"/>
      <c r="J180" s="224"/>
      <c r="K180" s="247"/>
      <c r="L180" s="253"/>
      <c r="M180" s="247"/>
      <c r="N180" s="253"/>
      <c r="O180" s="226"/>
      <c r="P180" s="226">
        <f t="array" ref="P180">INDEX('Key inputs'!$B$16:$N$40,MATCH($B180&amp;$C180&amp;$E180,'Key inputs'!$B$16:$B$40&amp;'Key inputs'!$C$16:$C$40&amp;'Key inputs'!$D$16:$D$40,0),MATCH($A$2&amp;P$4,'Key inputs'!$B$17:$N$17&amp;'Key inputs'!$B$18:$N$18,0))</f>
        <v>20.38</v>
      </c>
      <c r="Q180" s="224">
        <f t="shared" si="83"/>
        <v>203.8</v>
      </c>
      <c r="R180" s="246"/>
      <c r="S180" s="104"/>
      <c r="T180" s="104"/>
      <c r="U180" s="97"/>
      <c r="V180" s="97"/>
    </row>
    <row r="181" spans="1:22" s="19" customFormat="1" outlineLevel="1" x14ac:dyDescent="0.35">
      <c r="A181" s="3"/>
      <c r="B181" s="3" t="str">
        <f t="shared" si="82"/>
        <v>SAPN</v>
      </c>
      <c r="C181" s="3" t="str">
        <f t="shared" si="82"/>
        <v>Small business</v>
      </c>
      <c r="D181" s="3" t="str">
        <f t="shared" si="82"/>
        <v>without CL</v>
      </c>
      <c r="E181" s="3"/>
      <c r="F181" s="252"/>
      <c r="G181" s="60" t="s">
        <v>35</v>
      </c>
      <c r="H181" s="226"/>
      <c r="I181" s="226"/>
      <c r="J181" s="226"/>
      <c r="K181" s="247"/>
      <c r="L181" s="253"/>
      <c r="M181" s="247"/>
      <c r="N181" s="253"/>
      <c r="O181" s="226"/>
      <c r="P181" s="226"/>
      <c r="Q181" s="226">
        <f>Q180*GST</f>
        <v>20.380000000000003</v>
      </c>
      <c r="R181" s="246" t="str">
        <f>IFERROR(Q181/Q191,"")</f>
        <v/>
      </c>
      <c r="U181" s="3"/>
      <c r="V181" s="3"/>
    </row>
    <row r="182" spans="1:22" s="19" customFormat="1" x14ac:dyDescent="0.35">
      <c r="A182" s="3"/>
      <c r="B182" s="3" t="str">
        <f t="shared" si="82"/>
        <v>SAPN</v>
      </c>
      <c r="C182" s="3" t="str">
        <f t="shared" si="82"/>
        <v>Small business</v>
      </c>
      <c r="D182" s="3" t="str">
        <f t="shared" si="82"/>
        <v>without CL</v>
      </c>
      <c r="E182" s="3"/>
      <c r="F182" s="252"/>
      <c r="G182" s="5" t="s">
        <v>77</v>
      </c>
      <c r="H182" s="227"/>
      <c r="I182" s="227"/>
      <c r="J182" s="227"/>
      <c r="K182" s="248"/>
      <c r="L182" s="254"/>
      <c r="M182" s="248"/>
      <c r="N182" s="254"/>
      <c r="O182" s="227"/>
      <c r="P182" s="227"/>
      <c r="Q182" s="227">
        <f>SUM(Q180:Q181)</f>
        <v>224.18</v>
      </c>
      <c r="R182" s="246" t="str">
        <f>IFERROR(Q182/Q191,"")</f>
        <v/>
      </c>
      <c r="U182" s="3"/>
      <c r="V182" s="3"/>
    </row>
    <row r="183" spans="1:22" s="19" customForma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 t="str">
        <f>IFERROR(J183/J191,"")</f>
        <v/>
      </c>
      <c r="L183" s="3"/>
      <c r="M183" s="3"/>
      <c r="N183" s="3"/>
      <c r="O183" s="3"/>
      <c r="P183" s="3"/>
      <c r="Q183" s="3"/>
      <c r="R183" s="3" t="str">
        <f>IFERROR(Q183/Q191,"")</f>
        <v/>
      </c>
      <c r="U183" s="3"/>
      <c r="V183" s="3"/>
    </row>
    <row r="184" spans="1:22" s="19" customForma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 t="str">
        <f>IFERROR(J184/J191,"")</f>
        <v/>
      </c>
      <c r="L184" s="3"/>
      <c r="M184" s="3"/>
      <c r="N184" s="3"/>
      <c r="O184" s="3"/>
      <c r="P184" s="3"/>
      <c r="Q184" s="3"/>
      <c r="R184" s="3" t="str">
        <f>IFERROR(Q184/Q191,"")</f>
        <v/>
      </c>
      <c r="U184" s="97"/>
      <c r="V184" s="97"/>
    </row>
    <row r="185" spans="1:22" s="19" customForma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 t="str">
        <f>IFERROR(J185/J191,"")</f>
        <v/>
      </c>
      <c r="L185" s="3"/>
      <c r="M185" s="3"/>
      <c r="N185" s="3"/>
      <c r="O185" s="3"/>
      <c r="P185" s="3"/>
      <c r="Q185" s="3"/>
      <c r="R185" s="3" t="str">
        <f>IFERROR(Q185/Q191,"")</f>
        <v/>
      </c>
      <c r="U185" s="3"/>
      <c r="V185" s="3"/>
    </row>
    <row r="186" spans="1:22" s="19" customForma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 t="str">
        <f>IFERROR(J186/J191,"")</f>
        <v/>
      </c>
      <c r="L186" s="3"/>
      <c r="M186" s="3"/>
      <c r="N186" s="3"/>
      <c r="O186" s="3"/>
      <c r="P186" s="3"/>
      <c r="Q186" s="3"/>
      <c r="R186" s="3" t="str">
        <f>IFERROR(Q186/Q191,"")</f>
        <v/>
      </c>
      <c r="U186" s="3"/>
      <c r="V186" s="3"/>
    </row>
    <row r="187" spans="1:22" s="19" customForma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 t="str">
        <f>IFERROR(J187/J191,"")</f>
        <v/>
      </c>
      <c r="L187" s="3"/>
      <c r="M187" s="3"/>
      <c r="N187" s="3"/>
      <c r="O187" s="3"/>
      <c r="P187" s="3"/>
      <c r="Q187" s="3"/>
      <c r="R187" s="3" t="str">
        <f>IFERROR(Q187/Q191,"")</f>
        <v/>
      </c>
      <c r="U187" s="3"/>
      <c r="V187" s="3"/>
    </row>
    <row r="188" spans="1:22" s="19" customForma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 t="str">
        <f>IFERROR(J188/J191,"")</f>
        <v/>
      </c>
      <c r="L188" s="3"/>
      <c r="M188" s="3"/>
      <c r="N188" s="3"/>
      <c r="O188" s="3"/>
      <c r="P188" s="3"/>
      <c r="Q188" s="3"/>
      <c r="R188" s="3" t="str">
        <f>IFERROR(Q188/Q191,"")</f>
        <v/>
      </c>
      <c r="U188" s="3"/>
      <c r="V188" s="3"/>
    </row>
    <row r="189" spans="1:22" s="19" customForma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 t="str">
        <f>IFERROR(J189/J191,"")</f>
        <v/>
      </c>
      <c r="L189" s="3"/>
      <c r="M189" s="3"/>
      <c r="N189" s="3"/>
      <c r="O189" s="3"/>
      <c r="P189" s="3"/>
      <c r="Q189" s="3"/>
      <c r="R189" s="3" t="str">
        <f>IFERROR(Q189/Q191,"")</f>
        <v/>
      </c>
      <c r="U189" s="3"/>
      <c r="V189" s="3"/>
    </row>
    <row r="190" spans="1:22" s="19" customForma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 t="str">
        <f>IFERROR(J190/J191,"")</f>
        <v/>
      </c>
      <c r="L190" s="3"/>
      <c r="M190" s="3"/>
      <c r="N190" s="3"/>
      <c r="O190" s="3"/>
      <c r="P190" s="3"/>
      <c r="Q190" s="3"/>
      <c r="R190" s="3" t="str">
        <f>IFERROR(Q190/Q191,"")</f>
        <v/>
      </c>
      <c r="U190" s="3"/>
      <c r="V190" s="3"/>
    </row>
    <row r="191" spans="1:22" s="19" customForma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U191" s="3"/>
      <c r="V191" s="3"/>
    </row>
    <row r="192" spans="1:22" x14ac:dyDescent="0.35">
      <c r="F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6:22" x14ac:dyDescent="0.35">
      <c r="F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6:22" x14ac:dyDescent="0.35">
      <c r="F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6:22" x14ac:dyDescent="0.35">
      <c r="F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6:22" x14ac:dyDescent="0.35">
      <c r="F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6:22" x14ac:dyDescent="0.35">
      <c r="F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U197" s="97"/>
      <c r="V197" s="97"/>
    </row>
    <row r="198" spans="6:22" x14ac:dyDescent="0.35">
      <c r="F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V198" s="60"/>
    </row>
    <row r="199" spans="6:22" x14ac:dyDescent="0.35">
      <c r="F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6:22" x14ac:dyDescent="0.35">
      <c r="F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6:22" x14ac:dyDescent="0.35">
      <c r="F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6:22" x14ac:dyDescent="0.35">
      <c r="F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6:22" x14ac:dyDescent="0.35">
      <c r="F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6:22" x14ac:dyDescent="0.35">
      <c r="F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6:22" x14ac:dyDescent="0.35">
      <c r="F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6:22" x14ac:dyDescent="0.35">
      <c r="F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U206" s="60"/>
    </row>
    <row r="207" spans="6:22" x14ac:dyDescent="0.35">
      <c r="F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6:22" x14ac:dyDescent="0.35">
      <c r="F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6:22" x14ac:dyDescent="0.35">
      <c r="F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6:22" x14ac:dyDescent="0.35">
      <c r="F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U210" s="97"/>
      <c r="V210" s="97"/>
    </row>
    <row r="211" spans="6:22" x14ac:dyDescent="0.35">
      <c r="F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6:22" x14ac:dyDescent="0.35">
      <c r="F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6:22" x14ac:dyDescent="0.35">
      <c r="F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6:22" x14ac:dyDescent="0.35">
      <c r="F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21" spans="6:22" x14ac:dyDescent="0.35">
      <c r="U221" s="96"/>
    </row>
  </sheetData>
  <mergeCells count="3">
    <mergeCell ref="H3:K3"/>
    <mergeCell ref="O3:R3"/>
    <mergeCell ref="A1:B1"/>
  </mergeCells>
  <conditionalFormatting sqref="B7:R11 B15:R22 B14:H14 J14:O14 Q14:R14 B26:R28 B25:H25 Q25:R25 B32:R39 B31:H31 Q31:R31 J25:O25 J31:O31 B43:R49 B42:H42 J42:O42 Q42:R42 B53:R60 B52:H52 Q52:R52 J52:O52 B64:R66 B63:H63 J63:O63 B70:R77 B69:H69 J69:O69 Q63:R63 Q69:R69 B81:R87 B80:H80 J80:O80 Q80:R80 B91:R98 B90:H90 Q90:R90 J90:O90 B102:R104 B101:H101 J101:O101 Q101:R101 B108:R115 B107:H107 Q107:R107 J107:O107 B119:R125 B118:H118 J118:O118 Q118:R118 B127:R134 B126:H126 Q126:R126 J126:O126 B136:R138 B135:H135 J135:O135 B140:R147 B139:H139 J139:O139 Q135:R135 Q139:R139 B149:R155 B148:H148 Q148:R148 J148:O148 B159:R166 B158:H158 J158:O158 Q158:R158 B170:R177 B169:H169 Q169:R169 J169:O169 B181:R182 B180:H180 J180:O180 Q180:R180 E13:R13 E24:R24 E30:R30 E41:R41 E51:R51 E62:R62 E68:R68 E79:R79 E89:R89 E100:R100 E106:R106 E117:R117 E157:R157 E168:R168 E179:R179 B215:R215">
    <cfRule type="expression" dxfId="816" priority="348">
      <formula>MOD(ROW(),2)=0</formula>
    </cfRule>
  </conditionalFormatting>
  <conditionalFormatting sqref="S7:T11 S13:T22 S24:T28 S30:T39 S41:T49 S51:T60 S62:T66 S68:T77 S79:T87 S89:T98 S100:T104 S106:T115 S117:T155 S157:T166 S168:T177 S179:T215">
    <cfRule type="cellIs" dxfId="815" priority="349" operator="equal">
      <formula>FALSE</formula>
    </cfRule>
    <cfRule type="cellIs" dxfId="814" priority="414" operator="equal">
      <formula>TRUE</formula>
    </cfRule>
  </conditionalFormatting>
  <conditionalFormatting sqref="B7:D11 B14:D22 B25:D28 B31:D39 B42:D49 B52:D60 B63:D66 B69:D77 B80:D87 B90:D98 B101:D104 B107:D115 B118:D155 B158:D166 B169:D177 B180:D182 B215:D215">
    <cfRule type="expression" dxfId="813" priority="415">
      <formula>AND(B7=B6,MOD(ROW(),2)=1)</formula>
    </cfRule>
    <cfRule type="expression" dxfId="812" priority="416">
      <formula>AND(B7=B6,MOD(ROW(),2)=0)</formula>
    </cfRule>
  </conditionalFormatting>
  <conditionalFormatting sqref="P180">
    <cfRule type="expression" dxfId="811" priority="235">
      <formula>MOD(ROW(),2)=0</formula>
    </cfRule>
  </conditionalFormatting>
  <conditionalFormatting sqref="I14">
    <cfRule type="expression" dxfId="810" priority="272">
      <formula>MOD(ROW(),2)=0</formula>
    </cfRule>
  </conditionalFormatting>
  <conditionalFormatting sqref="P14">
    <cfRule type="expression" dxfId="809" priority="271">
      <formula>MOD(ROW(),2)=0</formula>
    </cfRule>
  </conditionalFormatting>
  <conditionalFormatting sqref="P25">
    <cfRule type="expression" dxfId="808" priority="270">
      <formula>MOD(ROW(),2)=0</formula>
    </cfRule>
  </conditionalFormatting>
  <conditionalFormatting sqref="P31">
    <cfRule type="expression" dxfId="807" priority="269">
      <formula>MOD(ROW(),2)=0</formula>
    </cfRule>
  </conditionalFormatting>
  <conditionalFormatting sqref="I25">
    <cfRule type="expression" dxfId="806" priority="268">
      <formula>MOD(ROW(),2)=0</formula>
    </cfRule>
  </conditionalFormatting>
  <conditionalFormatting sqref="I31">
    <cfRule type="expression" dxfId="805" priority="267">
      <formula>MOD(ROW(),2)=0</formula>
    </cfRule>
  </conditionalFormatting>
  <conditionalFormatting sqref="I42">
    <cfRule type="expression" dxfId="804" priority="266">
      <formula>MOD(ROW(),2)=0</formula>
    </cfRule>
  </conditionalFormatting>
  <conditionalFormatting sqref="P42">
    <cfRule type="expression" dxfId="803" priority="265">
      <formula>MOD(ROW(),2)=0</formula>
    </cfRule>
  </conditionalFormatting>
  <conditionalFormatting sqref="P52">
    <cfRule type="expression" dxfId="802" priority="264">
      <formula>MOD(ROW(),2)=0</formula>
    </cfRule>
  </conditionalFormatting>
  <conditionalFormatting sqref="I52">
    <cfRule type="expression" dxfId="801" priority="263">
      <formula>MOD(ROW(),2)=0</formula>
    </cfRule>
  </conditionalFormatting>
  <conditionalFormatting sqref="I63">
    <cfRule type="expression" dxfId="800" priority="262">
      <formula>MOD(ROW(),2)=0</formula>
    </cfRule>
  </conditionalFormatting>
  <conditionalFormatting sqref="I69">
    <cfRule type="expression" dxfId="799" priority="261">
      <formula>MOD(ROW(),2)=0</formula>
    </cfRule>
  </conditionalFormatting>
  <conditionalFormatting sqref="P63">
    <cfRule type="expression" dxfId="798" priority="260">
      <formula>MOD(ROW(),2)=0</formula>
    </cfRule>
  </conditionalFormatting>
  <conditionalFormatting sqref="P69">
    <cfRule type="expression" dxfId="797" priority="259">
      <formula>MOD(ROW(),2)=0</formula>
    </cfRule>
  </conditionalFormatting>
  <conditionalFormatting sqref="I80">
    <cfRule type="expression" dxfId="796" priority="258">
      <formula>MOD(ROW(),2)=0</formula>
    </cfRule>
  </conditionalFormatting>
  <conditionalFormatting sqref="P80">
    <cfRule type="expression" dxfId="795" priority="257">
      <formula>MOD(ROW(),2)=0</formula>
    </cfRule>
  </conditionalFormatting>
  <conditionalFormatting sqref="P90">
    <cfRule type="expression" dxfId="794" priority="256">
      <formula>MOD(ROW(),2)=0</formula>
    </cfRule>
  </conditionalFormatting>
  <conditionalFormatting sqref="I90">
    <cfRule type="expression" dxfId="793" priority="255">
      <formula>MOD(ROW(),2)=0</formula>
    </cfRule>
  </conditionalFormatting>
  <conditionalFormatting sqref="I101">
    <cfRule type="expression" dxfId="792" priority="254">
      <formula>MOD(ROW(),2)=0</formula>
    </cfRule>
  </conditionalFormatting>
  <conditionalFormatting sqref="P101">
    <cfRule type="expression" dxfId="791" priority="253">
      <formula>MOD(ROW(),2)=0</formula>
    </cfRule>
  </conditionalFormatting>
  <conditionalFormatting sqref="P107">
    <cfRule type="expression" dxfId="790" priority="252">
      <formula>MOD(ROW(),2)=0</formula>
    </cfRule>
  </conditionalFormatting>
  <conditionalFormatting sqref="I107">
    <cfRule type="expression" dxfId="789" priority="251">
      <formula>MOD(ROW(),2)=0</formula>
    </cfRule>
  </conditionalFormatting>
  <conditionalFormatting sqref="I118">
    <cfRule type="expression" dxfId="788" priority="250">
      <formula>MOD(ROW(),2)=0</formula>
    </cfRule>
  </conditionalFormatting>
  <conditionalFormatting sqref="P118">
    <cfRule type="expression" dxfId="787" priority="249">
      <formula>MOD(ROW(),2)=0</formula>
    </cfRule>
  </conditionalFormatting>
  <conditionalFormatting sqref="P126">
    <cfRule type="expression" dxfId="786" priority="248">
      <formula>MOD(ROW(),2)=0</formula>
    </cfRule>
  </conditionalFormatting>
  <conditionalFormatting sqref="I126">
    <cfRule type="expression" dxfId="785" priority="247">
      <formula>MOD(ROW(),2)=0</formula>
    </cfRule>
  </conditionalFormatting>
  <conditionalFormatting sqref="I135">
    <cfRule type="expression" dxfId="784" priority="246">
      <formula>MOD(ROW(),2)=0</formula>
    </cfRule>
  </conditionalFormatting>
  <conditionalFormatting sqref="I139">
    <cfRule type="expression" dxfId="783" priority="245">
      <formula>MOD(ROW(),2)=0</formula>
    </cfRule>
  </conditionalFormatting>
  <conditionalFormatting sqref="P135">
    <cfRule type="expression" dxfId="782" priority="244">
      <formula>MOD(ROW(),2)=0</formula>
    </cfRule>
  </conditionalFormatting>
  <conditionalFormatting sqref="P139">
    <cfRule type="expression" dxfId="781" priority="243">
      <formula>MOD(ROW(),2)=0</formula>
    </cfRule>
  </conditionalFormatting>
  <conditionalFormatting sqref="P148">
    <cfRule type="expression" dxfId="780" priority="242">
      <formula>MOD(ROW(),2)=0</formula>
    </cfRule>
  </conditionalFormatting>
  <conditionalFormatting sqref="I148">
    <cfRule type="expression" dxfId="779" priority="241">
      <formula>MOD(ROW(),2)=0</formula>
    </cfRule>
  </conditionalFormatting>
  <conditionalFormatting sqref="I158">
    <cfRule type="expression" dxfId="778" priority="240">
      <formula>MOD(ROW(),2)=0</formula>
    </cfRule>
  </conditionalFormatting>
  <conditionalFormatting sqref="P158">
    <cfRule type="expression" dxfId="777" priority="239">
      <formula>MOD(ROW(),2)=0</formula>
    </cfRule>
  </conditionalFormatting>
  <conditionalFormatting sqref="P169">
    <cfRule type="expression" dxfId="776" priority="238">
      <formula>MOD(ROW(),2)=0</formula>
    </cfRule>
  </conditionalFormatting>
  <conditionalFormatting sqref="I169">
    <cfRule type="expression" dxfId="775" priority="237">
      <formula>MOD(ROW(),2)=0</formula>
    </cfRule>
  </conditionalFormatting>
  <conditionalFormatting sqref="I180">
    <cfRule type="expression" dxfId="774" priority="236">
      <formula>MOD(ROW(),2)=0</formula>
    </cfRule>
  </conditionalFormatting>
  <conditionalFormatting sqref="B12:R12 B13:D13">
    <cfRule type="expression" dxfId="773" priority="230">
      <formula>MOD(ROW(),2)=0</formula>
    </cfRule>
  </conditionalFormatting>
  <conditionalFormatting sqref="S12:T12">
    <cfRule type="cellIs" dxfId="772" priority="231" operator="equal">
      <formula>FALSE</formula>
    </cfRule>
    <cfRule type="cellIs" dxfId="771" priority="232" operator="equal">
      <formula>TRUE</formula>
    </cfRule>
  </conditionalFormatting>
  <conditionalFormatting sqref="B12:D13">
    <cfRule type="expression" dxfId="770" priority="233">
      <formula>AND(B12=B11,MOD(ROW(),2)=1)</formula>
    </cfRule>
    <cfRule type="expression" dxfId="769" priority="234">
      <formula>AND(B12=B11,MOD(ROW(),2)=0)</formula>
    </cfRule>
  </conditionalFormatting>
  <conditionalFormatting sqref="B23:R23 B24:D24">
    <cfRule type="expression" dxfId="768" priority="225">
      <formula>MOD(ROW(),2)=0</formula>
    </cfRule>
  </conditionalFormatting>
  <conditionalFormatting sqref="S23:T23">
    <cfRule type="cellIs" dxfId="767" priority="226" operator="equal">
      <formula>FALSE</formula>
    </cfRule>
    <cfRule type="cellIs" dxfId="766" priority="227" operator="equal">
      <formula>TRUE</formula>
    </cfRule>
  </conditionalFormatting>
  <conditionalFormatting sqref="B23:D24">
    <cfRule type="expression" dxfId="765" priority="228">
      <formula>AND(B23=B22,MOD(ROW(),2)=1)</formula>
    </cfRule>
    <cfRule type="expression" dxfId="764" priority="229">
      <formula>AND(B23=B22,MOD(ROW(),2)=0)</formula>
    </cfRule>
  </conditionalFormatting>
  <conditionalFormatting sqref="B29:R29 B30:D30">
    <cfRule type="expression" dxfId="763" priority="220">
      <formula>MOD(ROW(),2)=0</formula>
    </cfRule>
  </conditionalFormatting>
  <conditionalFormatting sqref="S29:T29">
    <cfRule type="cellIs" dxfId="762" priority="221" operator="equal">
      <formula>FALSE</formula>
    </cfRule>
    <cfRule type="cellIs" dxfId="761" priority="222" operator="equal">
      <formula>TRUE</formula>
    </cfRule>
  </conditionalFormatting>
  <conditionalFormatting sqref="B29:D30">
    <cfRule type="expression" dxfId="760" priority="223">
      <formula>AND(B29=B28,MOD(ROW(),2)=1)</formula>
    </cfRule>
    <cfRule type="expression" dxfId="759" priority="224">
      <formula>AND(B29=B28,MOD(ROW(),2)=0)</formula>
    </cfRule>
  </conditionalFormatting>
  <conditionalFormatting sqref="B40:F40 H40:R40 B41:D41">
    <cfRule type="expression" dxfId="758" priority="215">
      <formula>MOD(ROW(),2)=0</formula>
    </cfRule>
  </conditionalFormatting>
  <conditionalFormatting sqref="S40:T40">
    <cfRule type="cellIs" dxfId="757" priority="216" operator="equal">
      <formula>FALSE</formula>
    </cfRule>
    <cfRule type="cellIs" dxfId="756" priority="217" operator="equal">
      <formula>TRUE</formula>
    </cfRule>
  </conditionalFormatting>
  <conditionalFormatting sqref="B40:D41">
    <cfRule type="expression" dxfId="755" priority="218">
      <formula>AND(B40=B39,MOD(ROW(),2)=1)</formula>
    </cfRule>
    <cfRule type="expression" dxfId="754" priority="219">
      <formula>AND(B40=B39,MOD(ROW(),2)=0)</formula>
    </cfRule>
  </conditionalFormatting>
  <conditionalFormatting sqref="G40">
    <cfRule type="expression" dxfId="753" priority="214">
      <formula>MOD(ROW(),2)=0</formula>
    </cfRule>
  </conditionalFormatting>
  <conditionalFormatting sqref="B50:F50 H50:R50 B51:D51">
    <cfRule type="expression" dxfId="752" priority="209">
      <formula>MOD(ROW(),2)=0</formula>
    </cfRule>
  </conditionalFormatting>
  <conditionalFormatting sqref="S50:T50">
    <cfRule type="cellIs" dxfId="751" priority="210" operator="equal">
      <formula>FALSE</formula>
    </cfRule>
    <cfRule type="cellIs" dxfId="750" priority="211" operator="equal">
      <formula>TRUE</formula>
    </cfRule>
  </conditionalFormatting>
  <conditionalFormatting sqref="B50:D51">
    <cfRule type="expression" dxfId="749" priority="212">
      <formula>AND(B50=B49,MOD(ROW(),2)=1)</formula>
    </cfRule>
    <cfRule type="expression" dxfId="748" priority="213">
      <formula>AND(B50=B49,MOD(ROW(),2)=0)</formula>
    </cfRule>
  </conditionalFormatting>
  <conditionalFormatting sqref="B61:F61 H61:R61 B62:D62">
    <cfRule type="expression" dxfId="747" priority="204">
      <formula>MOD(ROW(),2)=0</formula>
    </cfRule>
  </conditionalFormatting>
  <conditionalFormatting sqref="S61:T61">
    <cfRule type="cellIs" dxfId="746" priority="205" operator="equal">
      <formula>FALSE</formula>
    </cfRule>
    <cfRule type="cellIs" dxfId="745" priority="206" operator="equal">
      <formula>TRUE</formula>
    </cfRule>
  </conditionalFormatting>
  <conditionalFormatting sqref="B61:D62">
    <cfRule type="expression" dxfId="744" priority="207">
      <formula>AND(B61=B60,MOD(ROW(),2)=1)</formula>
    </cfRule>
    <cfRule type="expression" dxfId="743" priority="208">
      <formula>AND(B61=B60,MOD(ROW(),2)=0)</formula>
    </cfRule>
  </conditionalFormatting>
  <conditionalFormatting sqref="B67:F67 H67:R67 B68:D68">
    <cfRule type="expression" dxfId="742" priority="199">
      <formula>MOD(ROW(),2)=0</formula>
    </cfRule>
  </conditionalFormatting>
  <conditionalFormatting sqref="S67:T67">
    <cfRule type="cellIs" dxfId="741" priority="200" operator="equal">
      <formula>FALSE</formula>
    </cfRule>
    <cfRule type="cellIs" dxfId="740" priority="201" operator="equal">
      <formula>TRUE</formula>
    </cfRule>
  </conditionalFormatting>
  <conditionalFormatting sqref="B67:D68">
    <cfRule type="expression" dxfId="739" priority="202">
      <formula>AND(B67=B66,MOD(ROW(),2)=1)</formula>
    </cfRule>
    <cfRule type="expression" dxfId="738" priority="203">
      <formula>AND(B67=B66,MOD(ROW(),2)=0)</formula>
    </cfRule>
  </conditionalFormatting>
  <conditionalFormatting sqref="B78:F78 H78:R78 B79:D79">
    <cfRule type="expression" dxfId="737" priority="194">
      <formula>MOD(ROW(),2)=0</formula>
    </cfRule>
  </conditionalFormatting>
  <conditionalFormatting sqref="S78:T78">
    <cfRule type="cellIs" dxfId="736" priority="195" operator="equal">
      <formula>FALSE</formula>
    </cfRule>
    <cfRule type="cellIs" dxfId="735" priority="196" operator="equal">
      <formula>TRUE</formula>
    </cfRule>
  </conditionalFormatting>
  <conditionalFormatting sqref="B78:D79">
    <cfRule type="expression" dxfId="734" priority="197">
      <formula>AND(B78=B77,MOD(ROW(),2)=1)</formula>
    </cfRule>
    <cfRule type="expression" dxfId="733" priority="198">
      <formula>AND(B78=B77,MOD(ROW(),2)=0)</formula>
    </cfRule>
  </conditionalFormatting>
  <conditionalFormatting sqref="B88:F88 H88:R88 B89:D89">
    <cfRule type="expression" dxfId="732" priority="189">
      <formula>MOD(ROW(),2)=0</formula>
    </cfRule>
  </conditionalFormatting>
  <conditionalFormatting sqref="S88:T88">
    <cfRule type="cellIs" dxfId="731" priority="190" operator="equal">
      <formula>FALSE</formula>
    </cfRule>
    <cfRule type="cellIs" dxfId="730" priority="191" operator="equal">
      <formula>TRUE</formula>
    </cfRule>
  </conditionalFormatting>
  <conditionalFormatting sqref="B88:D89">
    <cfRule type="expression" dxfId="729" priority="192">
      <formula>AND(B88=B87,MOD(ROW(),2)=1)</formula>
    </cfRule>
    <cfRule type="expression" dxfId="728" priority="193">
      <formula>AND(B88=B87,MOD(ROW(),2)=0)</formula>
    </cfRule>
  </conditionalFormatting>
  <conditionalFormatting sqref="B99:F99 H99:R99 B100:D100">
    <cfRule type="expression" dxfId="727" priority="184">
      <formula>MOD(ROW(),2)=0</formula>
    </cfRule>
  </conditionalFormatting>
  <conditionalFormatting sqref="S99:T99">
    <cfRule type="cellIs" dxfId="726" priority="185" operator="equal">
      <formula>FALSE</formula>
    </cfRule>
    <cfRule type="cellIs" dxfId="725" priority="186" operator="equal">
      <formula>TRUE</formula>
    </cfRule>
  </conditionalFormatting>
  <conditionalFormatting sqref="B99:D100">
    <cfRule type="expression" dxfId="724" priority="187">
      <formula>AND(B99=B98,MOD(ROW(),2)=1)</formula>
    </cfRule>
    <cfRule type="expression" dxfId="723" priority="188">
      <formula>AND(B99=B98,MOD(ROW(),2)=0)</formula>
    </cfRule>
  </conditionalFormatting>
  <conditionalFormatting sqref="B105:F105 H105:R105 B106:D106">
    <cfRule type="expression" dxfId="722" priority="179">
      <formula>MOD(ROW(),2)=0</formula>
    </cfRule>
  </conditionalFormatting>
  <conditionalFormatting sqref="S105:T105">
    <cfRule type="cellIs" dxfId="721" priority="180" operator="equal">
      <formula>FALSE</formula>
    </cfRule>
    <cfRule type="cellIs" dxfId="720" priority="181" operator="equal">
      <formula>TRUE</formula>
    </cfRule>
  </conditionalFormatting>
  <conditionalFormatting sqref="B105:D106">
    <cfRule type="expression" dxfId="719" priority="182">
      <formula>AND(B105=B104,MOD(ROW(),2)=1)</formula>
    </cfRule>
    <cfRule type="expression" dxfId="718" priority="183">
      <formula>AND(B105=B104,MOD(ROW(),2)=0)</formula>
    </cfRule>
  </conditionalFormatting>
  <conditionalFormatting sqref="B116:F116 H116:R116 B117:D117">
    <cfRule type="expression" dxfId="717" priority="174">
      <formula>MOD(ROW(),2)=0</formula>
    </cfRule>
  </conditionalFormatting>
  <conditionalFormatting sqref="S116:T116">
    <cfRule type="cellIs" dxfId="716" priority="175" operator="equal">
      <formula>FALSE</formula>
    </cfRule>
    <cfRule type="cellIs" dxfId="715" priority="176" operator="equal">
      <formula>TRUE</formula>
    </cfRule>
  </conditionalFormatting>
  <conditionalFormatting sqref="B116:D117">
    <cfRule type="expression" dxfId="714" priority="177">
      <formula>AND(B116=B115,MOD(ROW(),2)=1)</formula>
    </cfRule>
    <cfRule type="expression" dxfId="713" priority="178">
      <formula>AND(B116=B115,MOD(ROW(),2)=0)</formula>
    </cfRule>
  </conditionalFormatting>
  <conditionalFormatting sqref="B156:R156 B157:D157">
    <cfRule type="expression" dxfId="712" priority="169">
      <formula>MOD(ROW(),2)=0</formula>
    </cfRule>
  </conditionalFormatting>
  <conditionalFormatting sqref="S156:T156">
    <cfRule type="cellIs" dxfId="711" priority="170" operator="equal">
      <formula>FALSE</formula>
    </cfRule>
    <cfRule type="cellIs" dxfId="710" priority="171" operator="equal">
      <formula>TRUE</formula>
    </cfRule>
  </conditionalFormatting>
  <conditionalFormatting sqref="B156:D157">
    <cfRule type="expression" dxfId="709" priority="172">
      <formula>AND(B156=B155,MOD(ROW(),2)=1)</formula>
    </cfRule>
    <cfRule type="expression" dxfId="708" priority="173">
      <formula>AND(B156=B155,MOD(ROW(),2)=0)</formula>
    </cfRule>
  </conditionalFormatting>
  <conditionalFormatting sqref="B167:R167 B168:D168">
    <cfRule type="expression" dxfId="707" priority="164">
      <formula>MOD(ROW(),2)=0</formula>
    </cfRule>
  </conditionalFormatting>
  <conditionalFormatting sqref="S167:T167">
    <cfRule type="cellIs" dxfId="706" priority="165" operator="equal">
      <formula>FALSE</formula>
    </cfRule>
    <cfRule type="cellIs" dxfId="705" priority="166" operator="equal">
      <formula>TRUE</formula>
    </cfRule>
  </conditionalFormatting>
  <conditionalFormatting sqref="B167:D168">
    <cfRule type="expression" dxfId="704" priority="167">
      <formula>AND(B167=B166,MOD(ROW(),2)=1)</formula>
    </cfRule>
    <cfRule type="expression" dxfId="703" priority="168">
      <formula>AND(B167=B166,MOD(ROW(),2)=0)</formula>
    </cfRule>
  </conditionalFormatting>
  <conditionalFormatting sqref="B178:R178 B179:D179">
    <cfRule type="expression" dxfId="702" priority="159">
      <formula>MOD(ROW(),2)=0</formula>
    </cfRule>
  </conditionalFormatting>
  <conditionalFormatting sqref="S178:T178">
    <cfRule type="cellIs" dxfId="701" priority="160" operator="equal">
      <formula>FALSE</formula>
    </cfRule>
    <cfRule type="cellIs" dxfId="700" priority="161" operator="equal">
      <formula>TRUE</formula>
    </cfRule>
  </conditionalFormatting>
  <conditionalFormatting sqref="B178:D179">
    <cfRule type="expression" dxfId="699" priority="162">
      <formula>AND(B178=B177,MOD(ROW(),2)=1)</formula>
    </cfRule>
    <cfRule type="expression" dxfId="698" priority="163">
      <formula>AND(B178=B177,MOD(ROW(),2)=0)</formula>
    </cfRule>
  </conditionalFormatting>
  <conditionalFormatting sqref="G50">
    <cfRule type="expression" dxfId="697" priority="158">
      <formula>MOD(ROW(),2)=0</formula>
    </cfRule>
  </conditionalFormatting>
  <conditionalFormatting sqref="G61">
    <cfRule type="expression" dxfId="696" priority="157">
      <formula>MOD(ROW(),2)=0</formula>
    </cfRule>
  </conditionalFormatting>
  <conditionalFormatting sqref="G67">
    <cfRule type="expression" dxfId="695" priority="156">
      <formula>MOD(ROW(),2)=0</formula>
    </cfRule>
  </conditionalFormatting>
  <conditionalFormatting sqref="G78">
    <cfRule type="expression" dxfId="694" priority="155">
      <formula>MOD(ROW(),2)=0</formula>
    </cfRule>
  </conditionalFormatting>
  <conditionalFormatting sqref="G88">
    <cfRule type="expression" dxfId="693" priority="154">
      <formula>MOD(ROW(),2)=0</formula>
    </cfRule>
  </conditionalFormatting>
  <conditionalFormatting sqref="G99">
    <cfRule type="expression" dxfId="692" priority="153">
      <formula>MOD(ROW(),2)=0</formula>
    </cfRule>
  </conditionalFormatting>
  <conditionalFormatting sqref="G105">
    <cfRule type="expression" dxfId="691" priority="152">
      <formula>MOD(ROW(),2)=0</formula>
    </cfRule>
  </conditionalFormatting>
  <conditionalFormatting sqref="G116">
    <cfRule type="expression" dxfId="690" priority="151">
      <formula>MOD(ROW(),2)=0</formula>
    </cfRule>
  </conditionalFormatting>
  <conditionalFormatting sqref="U7:V7">
    <cfRule type="cellIs" dxfId="689" priority="149" operator="equal">
      <formula>FALSE</formula>
    </cfRule>
    <cfRule type="cellIs" dxfId="688" priority="150" operator="equal">
      <formula>TRUE</formula>
    </cfRule>
  </conditionalFormatting>
  <conditionalFormatting sqref="V14">
    <cfRule type="cellIs" dxfId="687" priority="147" operator="equal">
      <formula>FALSE</formula>
    </cfRule>
    <cfRule type="cellIs" dxfId="686" priority="148" operator="equal">
      <formula>TRUE</formula>
    </cfRule>
  </conditionalFormatting>
  <conditionalFormatting sqref="U14">
    <cfRule type="cellIs" dxfId="685" priority="145" operator="equal">
      <formula>FALSE</formula>
    </cfRule>
    <cfRule type="cellIs" dxfId="684" priority="146" operator="equal">
      <formula>TRUE</formula>
    </cfRule>
  </conditionalFormatting>
  <conditionalFormatting sqref="V27">
    <cfRule type="cellIs" dxfId="683" priority="143" operator="equal">
      <formula>FALSE</formula>
    </cfRule>
    <cfRule type="cellIs" dxfId="682" priority="144" operator="equal">
      <formula>TRUE</formula>
    </cfRule>
  </conditionalFormatting>
  <conditionalFormatting sqref="U27">
    <cfRule type="cellIs" dxfId="681" priority="141" operator="equal">
      <formula>FALSE</formula>
    </cfRule>
    <cfRule type="cellIs" dxfId="680" priority="142" operator="equal">
      <formula>TRUE</formula>
    </cfRule>
  </conditionalFormatting>
  <conditionalFormatting sqref="V34">
    <cfRule type="cellIs" dxfId="679" priority="139" operator="equal">
      <formula>FALSE</formula>
    </cfRule>
    <cfRule type="cellIs" dxfId="678" priority="140" operator="equal">
      <formula>TRUE</formula>
    </cfRule>
  </conditionalFormatting>
  <conditionalFormatting sqref="U34">
    <cfRule type="cellIs" dxfId="677" priority="137" operator="equal">
      <formula>FALSE</formula>
    </cfRule>
    <cfRule type="cellIs" dxfId="676" priority="138" operator="equal">
      <formula>TRUE</formula>
    </cfRule>
  </conditionalFormatting>
  <conditionalFormatting sqref="V46">
    <cfRule type="cellIs" dxfId="675" priority="135" operator="equal">
      <formula>FALSE</formula>
    </cfRule>
    <cfRule type="cellIs" dxfId="674" priority="136" operator="equal">
      <formula>TRUE</formula>
    </cfRule>
  </conditionalFormatting>
  <conditionalFormatting sqref="U46">
    <cfRule type="cellIs" dxfId="673" priority="133" operator="equal">
      <formula>FALSE</formula>
    </cfRule>
    <cfRule type="cellIs" dxfId="672" priority="134" operator="equal">
      <formula>TRUE</formula>
    </cfRule>
  </conditionalFormatting>
  <conditionalFormatting sqref="V57">
    <cfRule type="cellIs" dxfId="671" priority="131" operator="equal">
      <formula>FALSE</formula>
    </cfRule>
    <cfRule type="cellIs" dxfId="670" priority="132" operator="equal">
      <formula>TRUE</formula>
    </cfRule>
  </conditionalFormatting>
  <conditionalFormatting sqref="U57">
    <cfRule type="cellIs" dxfId="669" priority="129" operator="equal">
      <formula>FALSE</formula>
    </cfRule>
    <cfRule type="cellIs" dxfId="668" priority="130" operator="equal">
      <formula>TRUE</formula>
    </cfRule>
  </conditionalFormatting>
  <conditionalFormatting sqref="V76">
    <cfRule type="cellIs" dxfId="667" priority="123" operator="equal">
      <formula>FALSE</formula>
    </cfRule>
    <cfRule type="cellIs" dxfId="666" priority="124" operator="equal">
      <formula>TRUE</formula>
    </cfRule>
  </conditionalFormatting>
  <conditionalFormatting sqref="U76">
    <cfRule type="cellIs" dxfId="665" priority="121" operator="equal">
      <formula>FALSE</formula>
    </cfRule>
    <cfRule type="cellIs" dxfId="664" priority="122" operator="equal">
      <formula>TRUE</formula>
    </cfRule>
  </conditionalFormatting>
  <conditionalFormatting sqref="V88">
    <cfRule type="cellIs" dxfId="663" priority="119" operator="equal">
      <formula>FALSE</formula>
    </cfRule>
    <cfRule type="cellIs" dxfId="662" priority="120" operator="equal">
      <formula>TRUE</formula>
    </cfRule>
  </conditionalFormatting>
  <conditionalFormatting sqref="U88">
    <cfRule type="cellIs" dxfId="661" priority="117" operator="equal">
      <formula>FALSE</formula>
    </cfRule>
    <cfRule type="cellIs" dxfId="660" priority="118" operator="equal">
      <formula>TRUE</formula>
    </cfRule>
  </conditionalFormatting>
  <conditionalFormatting sqref="V99">
    <cfRule type="cellIs" dxfId="659" priority="115" operator="equal">
      <formula>FALSE</formula>
    </cfRule>
    <cfRule type="cellIs" dxfId="658" priority="116" operator="equal">
      <formula>TRUE</formula>
    </cfRule>
  </conditionalFormatting>
  <conditionalFormatting sqref="U99">
    <cfRule type="cellIs" dxfId="657" priority="113" operator="equal">
      <formula>FALSE</formula>
    </cfRule>
    <cfRule type="cellIs" dxfId="656" priority="114" operator="equal">
      <formula>TRUE</formula>
    </cfRule>
  </conditionalFormatting>
  <conditionalFormatting sqref="V111">
    <cfRule type="cellIs" dxfId="655" priority="111" operator="equal">
      <formula>FALSE</formula>
    </cfRule>
    <cfRule type="cellIs" dxfId="654" priority="112" operator="equal">
      <formula>TRUE</formula>
    </cfRule>
  </conditionalFormatting>
  <conditionalFormatting sqref="U111">
    <cfRule type="cellIs" dxfId="653" priority="109" operator="equal">
      <formula>FALSE</formula>
    </cfRule>
    <cfRule type="cellIs" dxfId="652" priority="110" operator="equal">
      <formula>TRUE</formula>
    </cfRule>
  </conditionalFormatting>
  <conditionalFormatting sqref="V130">
    <cfRule type="cellIs" dxfId="651" priority="103" operator="equal">
      <formula>FALSE</formula>
    </cfRule>
    <cfRule type="cellIs" dxfId="650" priority="104" operator="equal">
      <formula>TRUE</formula>
    </cfRule>
  </conditionalFormatting>
  <conditionalFormatting sqref="U130">
    <cfRule type="cellIs" dxfId="649" priority="101" operator="equal">
      <formula>FALSE</formula>
    </cfRule>
    <cfRule type="cellIs" dxfId="648" priority="102" operator="equal">
      <formula>TRUE</formula>
    </cfRule>
  </conditionalFormatting>
  <conditionalFormatting sqref="V141">
    <cfRule type="cellIs" dxfId="647" priority="99" operator="equal">
      <formula>FALSE</formula>
    </cfRule>
    <cfRule type="cellIs" dxfId="646" priority="100" operator="equal">
      <formula>TRUE</formula>
    </cfRule>
  </conditionalFormatting>
  <conditionalFormatting sqref="U141">
    <cfRule type="cellIs" dxfId="645" priority="97" operator="equal">
      <formula>FALSE</formula>
    </cfRule>
    <cfRule type="cellIs" dxfId="644" priority="98" operator="equal">
      <formula>TRUE</formula>
    </cfRule>
  </conditionalFormatting>
  <conditionalFormatting sqref="V153">
    <cfRule type="cellIs" dxfId="643" priority="95" operator="equal">
      <formula>FALSE</formula>
    </cfRule>
    <cfRule type="cellIs" dxfId="642" priority="96" operator="equal">
      <formula>TRUE</formula>
    </cfRule>
  </conditionalFormatting>
  <conditionalFormatting sqref="U153">
    <cfRule type="cellIs" dxfId="641" priority="93" operator="equal">
      <formula>FALSE</formula>
    </cfRule>
    <cfRule type="cellIs" dxfId="640" priority="94" operator="equal">
      <formula>TRUE</formula>
    </cfRule>
  </conditionalFormatting>
  <conditionalFormatting sqref="V160">
    <cfRule type="cellIs" dxfId="639" priority="91" operator="equal">
      <formula>FALSE</formula>
    </cfRule>
    <cfRule type="cellIs" dxfId="638" priority="92" operator="equal">
      <formula>TRUE</formula>
    </cfRule>
  </conditionalFormatting>
  <conditionalFormatting sqref="U160">
    <cfRule type="cellIs" dxfId="637" priority="89" operator="equal">
      <formula>FALSE</formula>
    </cfRule>
    <cfRule type="cellIs" dxfId="636" priority="90" operator="equal">
      <formula>TRUE</formula>
    </cfRule>
  </conditionalFormatting>
  <conditionalFormatting sqref="V172">
    <cfRule type="cellIs" dxfId="635" priority="87" operator="equal">
      <formula>FALSE</formula>
    </cfRule>
    <cfRule type="cellIs" dxfId="634" priority="88" operator="equal">
      <formula>TRUE</formula>
    </cfRule>
  </conditionalFormatting>
  <conditionalFormatting sqref="U172">
    <cfRule type="cellIs" dxfId="633" priority="85" operator="equal">
      <formula>FALSE</formula>
    </cfRule>
    <cfRule type="cellIs" dxfId="632" priority="86" operator="equal">
      <formula>TRUE</formula>
    </cfRule>
  </conditionalFormatting>
  <conditionalFormatting sqref="V184">
    <cfRule type="cellIs" dxfId="631" priority="83" operator="equal">
      <formula>FALSE</formula>
    </cfRule>
    <cfRule type="cellIs" dxfId="630" priority="84" operator="equal">
      <formula>TRUE</formula>
    </cfRule>
  </conditionalFormatting>
  <conditionalFormatting sqref="U184">
    <cfRule type="cellIs" dxfId="629" priority="81" operator="equal">
      <formula>FALSE</formula>
    </cfRule>
    <cfRule type="cellIs" dxfId="628" priority="82" operator="equal">
      <formula>TRUE</formula>
    </cfRule>
  </conditionalFormatting>
  <conditionalFormatting sqref="V197">
    <cfRule type="cellIs" dxfId="627" priority="79" operator="equal">
      <formula>FALSE</formula>
    </cfRule>
    <cfRule type="cellIs" dxfId="626" priority="80" operator="equal">
      <formula>TRUE</formula>
    </cfRule>
  </conditionalFormatting>
  <conditionalFormatting sqref="U197">
    <cfRule type="cellIs" dxfId="625" priority="77" operator="equal">
      <formula>FALSE</formula>
    </cfRule>
    <cfRule type="cellIs" dxfId="624" priority="78" operator="equal">
      <formula>TRUE</formula>
    </cfRule>
  </conditionalFormatting>
  <conditionalFormatting sqref="V210">
    <cfRule type="cellIs" dxfId="623" priority="75" operator="equal">
      <formula>FALSE</formula>
    </cfRule>
    <cfRule type="cellIs" dxfId="622" priority="76" operator="equal">
      <formula>TRUE</formula>
    </cfRule>
  </conditionalFormatting>
  <conditionalFormatting sqref="U210">
    <cfRule type="cellIs" dxfId="621" priority="73" operator="equal">
      <formula>FALSE</formula>
    </cfRule>
    <cfRule type="cellIs" dxfId="620" priority="74" operator="equal">
      <formula>TRUE</formula>
    </cfRule>
  </conditionalFormatting>
  <conditionalFormatting sqref="V25">
    <cfRule type="cellIs" dxfId="619" priority="71" operator="equal">
      <formula>FALSE</formula>
    </cfRule>
    <cfRule type="cellIs" dxfId="618" priority="72" operator="equal">
      <formula>TRUE</formula>
    </cfRule>
  </conditionalFormatting>
  <conditionalFormatting sqref="U25">
    <cfRule type="cellIs" dxfId="617" priority="69" operator="equal">
      <formula>FALSE</formula>
    </cfRule>
    <cfRule type="cellIs" dxfId="616" priority="70" operator="equal">
      <formula>TRUE</formula>
    </cfRule>
  </conditionalFormatting>
  <conditionalFormatting sqref="V31">
    <cfRule type="cellIs" dxfId="615" priority="67" operator="equal">
      <formula>FALSE</formula>
    </cfRule>
    <cfRule type="cellIs" dxfId="614" priority="68" operator="equal">
      <formula>TRUE</formula>
    </cfRule>
  </conditionalFormatting>
  <conditionalFormatting sqref="U31">
    <cfRule type="cellIs" dxfId="613" priority="65" operator="equal">
      <formula>FALSE</formula>
    </cfRule>
    <cfRule type="cellIs" dxfId="612" priority="66" operator="equal">
      <formula>TRUE</formula>
    </cfRule>
  </conditionalFormatting>
  <conditionalFormatting sqref="V42">
    <cfRule type="cellIs" dxfId="611" priority="63" operator="equal">
      <formula>FALSE</formula>
    </cfRule>
    <cfRule type="cellIs" dxfId="610" priority="64" operator="equal">
      <formula>TRUE</formula>
    </cfRule>
  </conditionalFormatting>
  <conditionalFormatting sqref="U42">
    <cfRule type="cellIs" dxfId="609" priority="61" operator="equal">
      <formula>FALSE</formula>
    </cfRule>
    <cfRule type="cellIs" dxfId="608" priority="62" operator="equal">
      <formula>TRUE</formula>
    </cfRule>
  </conditionalFormatting>
  <conditionalFormatting sqref="V52">
    <cfRule type="cellIs" dxfId="607" priority="59" operator="equal">
      <formula>FALSE</formula>
    </cfRule>
    <cfRule type="cellIs" dxfId="606" priority="60" operator="equal">
      <formula>TRUE</formula>
    </cfRule>
  </conditionalFormatting>
  <conditionalFormatting sqref="U52">
    <cfRule type="cellIs" dxfId="605" priority="57" operator="equal">
      <formula>FALSE</formula>
    </cfRule>
    <cfRule type="cellIs" dxfId="604" priority="58" operator="equal">
      <formula>TRUE</formula>
    </cfRule>
  </conditionalFormatting>
  <conditionalFormatting sqref="V63">
    <cfRule type="cellIs" dxfId="603" priority="55" operator="equal">
      <formula>FALSE</formula>
    </cfRule>
    <cfRule type="cellIs" dxfId="602" priority="56" operator="equal">
      <formula>TRUE</formula>
    </cfRule>
  </conditionalFormatting>
  <conditionalFormatting sqref="U63">
    <cfRule type="cellIs" dxfId="601" priority="53" operator="equal">
      <formula>FALSE</formula>
    </cfRule>
    <cfRule type="cellIs" dxfId="600" priority="54" operator="equal">
      <formula>TRUE</formula>
    </cfRule>
  </conditionalFormatting>
  <conditionalFormatting sqref="V69">
    <cfRule type="cellIs" dxfId="599" priority="51" operator="equal">
      <formula>FALSE</formula>
    </cfRule>
    <cfRule type="cellIs" dxfId="598" priority="52" operator="equal">
      <formula>TRUE</formula>
    </cfRule>
  </conditionalFormatting>
  <conditionalFormatting sqref="U69">
    <cfRule type="cellIs" dxfId="597" priority="49" operator="equal">
      <formula>FALSE</formula>
    </cfRule>
    <cfRule type="cellIs" dxfId="596" priority="50" operator="equal">
      <formula>TRUE</formula>
    </cfRule>
  </conditionalFormatting>
  <conditionalFormatting sqref="V80">
    <cfRule type="cellIs" dxfId="595" priority="47" operator="equal">
      <formula>FALSE</formula>
    </cfRule>
    <cfRule type="cellIs" dxfId="594" priority="48" operator="equal">
      <formula>TRUE</formula>
    </cfRule>
  </conditionalFormatting>
  <conditionalFormatting sqref="U80">
    <cfRule type="cellIs" dxfId="593" priority="45" operator="equal">
      <formula>FALSE</formula>
    </cfRule>
    <cfRule type="cellIs" dxfId="592" priority="46" operator="equal">
      <formula>TRUE</formula>
    </cfRule>
  </conditionalFormatting>
  <conditionalFormatting sqref="V90">
    <cfRule type="cellIs" dxfId="591" priority="43" operator="equal">
      <formula>FALSE</formula>
    </cfRule>
    <cfRule type="cellIs" dxfId="590" priority="44" operator="equal">
      <formula>TRUE</formula>
    </cfRule>
  </conditionalFormatting>
  <conditionalFormatting sqref="U90">
    <cfRule type="cellIs" dxfId="589" priority="41" operator="equal">
      <formula>FALSE</formula>
    </cfRule>
    <cfRule type="cellIs" dxfId="588" priority="42" operator="equal">
      <formula>TRUE</formula>
    </cfRule>
  </conditionalFormatting>
  <conditionalFormatting sqref="V101">
    <cfRule type="cellIs" dxfId="587" priority="39" operator="equal">
      <formula>FALSE</formula>
    </cfRule>
    <cfRule type="cellIs" dxfId="586" priority="40" operator="equal">
      <formula>TRUE</formula>
    </cfRule>
  </conditionalFormatting>
  <conditionalFormatting sqref="U101">
    <cfRule type="cellIs" dxfId="585" priority="37" operator="equal">
      <formula>FALSE</formula>
    </cfRule>
    <cfRule type="cellIs" dxfId="584" priority="38" operator="equal">
      <formula>TRUE</formula>
    </cfRule>
  </conditionalFormatting>
  <conditionalFormatting sqref="V107">
    <cfRule type="cellIs" dxfId="583" priority="35" operator="equal">
      <formula>FALSE</formula>
    </cfRule>
    <cfRule type="cellIs" dxfId="582" priority="36" operator="equal">
      <formula>TRUE</formula>
    </cfRule>
  </conditionalFormatting>
  <conditionalFormatting sqref="U107">
    <cfRule type="cellIs" dxfId="581" priority="33" operator="equal">
      <formula>FALSE</formula>
    </cfRule>
    <cfRule type="cellIs" dxfId="580" priority="34" operator="equal">
      <formula>TRUE</formula>
    </cfRule>
  </conditionalFormatting>
  <conditionalFormatting sqref="V118">
    <cfRule type="cellIs" dxfId="579" priority="31" operator="equal">
      <formula>FALSE</formula>
    </cfRule>
    <cfRule type="cellIs" dxfId="578" priority="32" operator="equal">
      <formula>TRUE</formula>
    </cfRule>
  </conditionalFormatting>
  <conditionalFormatting sqref="U118">
    <cfRule type="cellIs" dxfId="577" priority="29" operator="equal">
      <formula>FALSE</formula>
    </cfRule>
    <cfRule type="cellIs" dxfId="576" priority="30" operator="equal">
      <formula>TRUE</formula>
    </cfRule>
  </conditionalFormatting>
  <conditionalFormatting sqref="V126">
    <cfRule type="cellIs" dxfId="575" priority="27" operator="equal">
      <formula>FALSE</formula>
    </cfRule>
    <cfRule type="cellIs" dxfId="574" priority="28" operator="equal">
      <formula>TRUE</formula>
    </cfRule>
  </conditionalFormatting>
  <conditionalFormatting sqref="U126">
    <cfRule type="cellIs" dxfId="573" priority="25" operator="equal">
      <formula>FALSE</formula>
    </cfRule>
    <cfRule type="cellIs" dxfId="572" priority="26" operator="equal">
      <formula>TRUE</formula>
    </cfRule>
  </conditionalFormatting>
  <conditionalFormatting sqref="V135">
    <cfRule type="cellIs" dxfId="571" priority="23" operator="equal">
      <formula>FALSE</formula>
    </cfRule>
    <cfRule type="cellIs" dxfId="570" priority="24" operator="equal">
      <formula>TRUE</formula>
    </cfRule>
  </conditionalFormatting>
  <conditionalFormatting sqref="U135">
    <cfRule type="cellIs" dxfId="569" priority="21" operator="equal">
      <formula>FALSE</formula>
    </cfRule>
    <cfRule type="cellIs" dxfId="568" priority="22" operator="equal">
      <formula>TRUE</formula>
    </cfRule>
  </conditionalFormatting>
  <conditionalFormatting sqref="V139">
    <cfRule type="cellIs" dxfId="567" priority="19" operator="equal">
      <formula>FALSE</formula>
    </cfRule>
    <cfRule type="cellIs" dxfId="566" priority="20" operator="equal">
      <formula>TRUE</formula>
    </cfRule>
  </conditionalFormatting>
  <conditionalFormatting sqref="U139">
    <cfRule type="cellIs" dxfId="565" priority="17" operator="equal">
      <formula>FALSE</formula>
    </cfRule>
    <cfRule type="cellIs" dxfId="564" priority="18" operator="equal">
      <formula>TRUE</formula>
    </cfRule>
  </conditionalFormatting>
  <conditionalFormatting sqref="V148">
    <cfRule type="cellIs" dxfId="563" priority="15" operator="equal">
      <formula>FALSE</formula>
    </cfRule>
    <cfRule type="cellIs" dxfId="562" priority="16" operator="equal">
      <formula>TRUE</formula>
    </cfRule>
  </conditionalFormatting>
  <conditionalFormatting sqref="U148">
    <cfRule type="cellIs" dxfId="561" priority="13" operator="equal">
      <formula>FALSE</formula>
    </cfRule>
    <cfRule type="cellIs" dxfId="560" priority="14" operator="equal">
      <formula>TRUE</formula>
    </cfRule>
  </conditionalFormatting>
  <conditionalFormatting sqref="V158">
    <cfRule type="cellIs" dxfId="559" priority="11" operator="equal">
      <formula>FALSE</formula>
    </cfRule>
    <cfRule type="cellIs" dxfId="558" priority="12" operator="equal">
      <formula>TRUE</formula>
    </cfRule>
  </conditionalFormatting>
  <conditionalFormatting sqref="U158">
    <cfRule type="cellIs" dxfId="557" priority="9" operator="equal">
      <formula>FALSE</formula>
    </cfRule>
    <cfRule type="cellIs" dxfId="556" priority="10" operator="equal">
      <formula>TRUE</formula>
    </cfRule>
  </conditionalFormatting>
  <conditionalFormatting sqref="V169">
    <cfRule type="cellIs" dxfId="555" priority="7" operator="equal">
      <formula>FALSE</formula>
    </cfRule>
    <cfRule type="cellIs" dxfId="554" priority="8" operator="equal">
      <formula>TRUE</formula>
    </cfRule>
  </conditionalFormatting>
  <conditionalFormatting sqref="U169">
    <cfRule type="cellIs" dxfId="553" priority="5" operator="equal">
      <formula>FALSE</formula>
    </cfRule>
    <cfRule type="cellIs" dxfId="552" priority="6" operator="equal">
      <formula>TRUE</formula>
    </cfRule>
  </conditionalFormatting>
  <conditionalFormatting sqref="V180">
    <cfRule type="cellIs" dxfId="551" priority="3" operator="equal">
      <formula>FALSE</formula>
    </cfRule>
    <cfRule type="cellIs" dxfId="550" priority="4" operator="equal">
      <formula>TRUE</formula>
    </cfRule>
  </conditionalFormatting>
  <conditionalFormatting sqref="U180">
    <cfRule type="cellIs" dxfId="549" priority="1" operator="equal">
      <formula>FALSE</formula>
    </cfRule>
    <cfRule type="cellIs" dxfId="548" priority="2" operator="equal">
      <formula>TRUE</formula>
    </cfRule>
  </conditionalFormatting>
  <hyperlinks>
    <hyperlink ref="A1" location="Index!A1" display="&lt;&lt;Back to Index" xr:uid="{00000000-0004-0000-1300-000000000000}"/>
  </hyperlinks>
  <pageMargins left="0.7" right="0.7" top="0.75" bottom="0.75" header="0.3" footer="0.3"/>
  <pageSetup paperSize="9" orientation="portrait" r:id="rId1"/>
  <ignoredErrors>
    <ignoredError sqref="K25:N25 K63:N63 K101:N10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BF83-8252-4C85-AFBB-619D4781C1EB}">
  <sheetPr codeName="Sheet21">
    <tabColor rgb="FF0070C0"/>
  </sheetPr>
  <dimension ref="A1:V268"/>
  <sheetViews>
    <sheetView workbookViewId="0">
      <pane ySplit="6" topLeftCell="A7" activePane="bottomLeft" state="frozen"/>
      <selection activeCell="S10" sqref="S10"/>
      <selection pane="bottomLeft" activeCell="Q14" sqref="Q14"/>
    </sheetView>
  </sheetViews>
  <sheetFormatPr defaultColWidth="8.81640625" defaultRowHeight="14.5" outlineLevelRow="1" x14ac:dyDescent="0.35"/>
  <cols>
    <col min="1" max="1" width="1.81640625" style="3" customWidth="1"/>
    <col min="2" max="3" width="15.81640625" style="3" customWidth="1"/>
    <col min="4" max="4" width="18.1796875" style="3" customWidth="1"/>
    <col min="5" max="5" width="10.81640625" style="3" customWidth="1"/>
    <col min="6" max="6" width="10.81640625" style="19" customWidth="1"/>
    <col min="7" max="7" width="24.26953125" style="3" bestFit="1" customWidth="1"/>
    <col min="8" max="10" width="10.81640625" style="66" customWidth="1"/>
    <col min="11" max="11" width="11.81640625" style="19" bestFit="1" customWidth="1"/>
    <col min="12" max="12" width="0.81640625" style="19" customWidth="1"/>
    <col min="13" max="13" width="10.81640625" style="19" customWidth="1"/>
    <col min="14" max="14" width="0.81640625" style="19" customWidth="1"/>
    <col min="15" max="17" width="10.81640625" style="66" customWidth="1"/>
    <col min="18" max="18" width="11.81640625" style="19" bestFit="1" customWidth="1"/>
    <col min="19" max="20" width="8.81640625" style="19"/>
    <col min="21" max="22" width="13.1796875" style="3" bestFit="1" customWidth="1"/>
    <col min="23" max="16384" width="8.81640625" style="3"/>
  </cols>
  <sheetData>
    <row r="1" spans="1:22" ht="10.4" customHeight="1" x14ac:dyDescent="0.35">
      <c r="A1" s="302" t="s">
        <v>20</v>
      </c>
      <c r="B1" s="307"/>
    </row>
    <row r="2" spans="1:22" s="13" customFormat="1" ht="22.5" customHeight="1" x14ac:dyDescent="0.35">
      <c r="A2" s="14" t="s">
        <v>194</v>
      </c>
      <c r="F2" s="20"/>
      <c r="H2" s="67"/>
      <c r="I2" s="67"/>
      <c r="J2" s="67"/>
      <c r="K2" s="20"/>
      <c r="L2" s="20"/>
      <c r="M2" s="20"/>
      <c r="N2" s="20"/>
      <c r="O2" s="67"/>
      <c r="P2" s="67"/>
      <c r="Q2" s="67"/>
      <c r="R2" s="20"/>
      <c r="S2" s="20"/>
      <c r="T2" s="20"/>
    </row>
    <row r="3" spans="1:22" s="27" customFormat="1" ht="25.5" customHeight="1" x14ac:dyDescent="0.35">
      <c r="B3" s="28"/>
      <c r="C3" s="28"/>
      <c r="D3" s="28"/>
      <c r="E3" s="28"/>
      <c r="F3" s="45"/>
      <c r="G3" s="28"/>
      <c r="H3" s="336" t="str">
        <f>PY</f>
        <v>2021-22</v>
      </c>
      <c r="I3" s="336"/>
      <c r="J3" s="336"/>
      <c r="K3" s="336"/>
      <c r="L3" s="37"/>
      <c r="M3" s="42" t="str">
        <f>FY</f>
        <v>2022-23</v>
      </c>
      <c r="N3" s="37"/>
      <c r="O3" s="336" t="str">
        <f>FY</f>
        <v>2022-23</v>
      </c>
      <c r="P3" s="336"/>
      <c r="Q3" s="336"/>
      <c r="R3" s="336"/>
      <c r="S3" s="101"/>
      <c r="T3" s="102"/>
    </row>
    <row r="4" spans="1:22" s="27" customFormat="1" ht="13.5" customHeight="1" x14ac:dyDescent="0.35">
      <c r="B4" s="28"/>
      <c r="C4" s="28"/>
      <c r="D4" s="28"/>
      <c r="E4" s="28"/>
      <c r="F4" s="41" t="str">
        <f t="shared" ref="F4:K4" si="0">$H$3</f>
        <v>2021-22</v>
      </c>
      <c r="G4" s="28"/>
      <c r="H4" s="68" t="str">
        <f>$H$3</f>
        <v>2021-22</v>
      </c>
      <c r="I4" s="68" t="str">
        <f t="shared" si="0"/>
        <v>2021-22</v>
      </c>
      <c r="J4" s="68" t="str">
        <f t="shared" si="0"/>
        <v>2021-22</v>
      </c>
      <c r="K4" s="41" t="str">
        <f t="shared" si="0"/>
        <v>2021-22</v>
      </c>
      <c r="L4" s="41"/>
      <c r="M4" s="41" t="str">
        <f>FY</f>
        <v>2022-23</v>
      </c>
      <c r="N4" s="41"/>
      <c r="O4" s="68" t="str">
        <f>$O$3</f>
        <v>2022-23</v>
      </c>
      <c r="P4" s="68" t="str">
        <f>$O$3</f>
        <v>2022-23</v>
      </c>
      <c r="Q4" s="68" t="str">
        <f>$O$3</f>
        <v>2022-23</v>
      </c>
      <c r="R4" s="41" t="str">
        <f>$O$3</f>
        <v>2022-23</v>
      </c>
      <c r="S4" s="101"/>
      <c r="T4" s="102"/>
    </row>
    <row r="5" spans="1:22" s="5" customFormat="1" ht="17.899999999999999" customHeight="1" x14ac:dyDescent="0.35">
      <c r="B5" s="23" t="s">
        <v>1</v>
      </c>
      <c r="C5" s="23" t="s">
        <v>12</v>
      </c>
      <c r="D5" s="23" t="s">
        <v>24</v>
      </c>
      <c r="E5" s="23" t="s">
        <v>13</v>
      </c>
      <c r="F5" s="198" t="s">
        <v>26</v>
      </c>
      <c r="G5" s="23" t="s">
        <v>33</v>
      </c>
      <c r="H5" s="249" t="s">
        <v>42</v>
      </c>
      <c r="I5" s="249" t="s">
        <v>43</v>
      </c>
      <c r="J5" s="249" t="s">
        <v>23</v>
      </c>
      <c r="K5" s="231" t="s">
        <v>25</v>
      </c>
      <c r="L5" s="231"/>
      <c r="M5" s="231" t="s">
        <v>22</v>
      </c>
      <c r="N5" s="231"/>
      <c r="O5" s="249" t="s">
        <v>42</v>
      </c>
      <c r="P5" s="249" t="s">
        <v>43</v>
      </c>
      <c r="Q5" s="249" t="s">
        <v>23</v>
      </c>
      <c r="R5" s="231" t="s">
        <v>25</v>
      </c>
      <c r="S5" s="189"/>
      <c r="T5" s="190"/>
    </row>
    <row r="6" spans="1:22" s="29" customFormat="1" ht="17.899999999999999" customHeight="1" x14ac:dyDescent="0.3">
      <c r="B6" s="30"/>
      <c r="C6" s="30"/>
      <c r="D6" s="30"/>
      <c r="E6" s="30"/>
      <c r="F6" s="31" t="s">
        <v>51</v>
      </c>
      <c r="G6" s="30"/>
      <c r="H6" s="250" t="s">
        <v>64</v>
      </c>
      <c r="I6" s="250" t="s">
        <v>40</v>
      </c>
      <c r="J6" s="250" t="s">
        <v>41</v>
      </c>
      <c r="K6" s="251" t="s">
        <v>29</v>
      </c>
      <c r="L6" s="251"/>
      <c r="M6" s="251" t="s">
        <v>29</v>
      </c>
      <c r="N6" s="251"/>
      <c r="O6" s="250" t="s">
        <v>64</v>
      </c>
      <c r="P6" s="250" t="s">
        <v>40</v>
      </c>
      <c r="Q6" s="250" t="s">
        <v>41</v>
      </c>
      <c r="R6" s="251" t="s">
        <v>29</v>
      </c>
      <c r="S6" s="103"/>
      <c r="T6" s="103"/>
      <c r="U6" s="216"/>
      <c r="V6" s="216"/>
    </row>
    <row r="7" spans="1:22" x14ac:dyDescent="0.3">
      <c r="F7" s="36"/>
      <c r="K7" s="245"/>
      <c r="L7" s="38"/>
      <c r="M7" s="255"/>
      <c r="N7" s="38"/>
      <c r="R7" s="245"/>
      <c r="S7" s="104"/>
      <c r="T7" s="104"/>
      <c r="U7" s="97"/>
      <c r="V7" s="97"/>
    </row>
    <row r="8" spans="1:22" x14ac:dyDescent="0.3">
      <c r="B8" s="5" t="s">
        <v>2</v>
      </c>
      <c r="C8" s="5" t="s">
        <v>6</v>
      </c>
      <c r="D8" s="5" t="s">
        <v>136</v>
      </c>
      <c r="F8" s="228"/>
      <c r="K8" s="245"/>
      <c r="L8" s="38"/>
      <c r="M8" s="255"/>
      <c r="N8" s="38"/>
      <c r="R8" s="245"/>
      <c r="S8" s="104"/>
      <c r="T8" s="104"/>
    </row>
    <row r="9" spans="1:22" outlineLevel="1" x14ac:dyDescent="0.3">
      <c r="B9" s="3" t="str">
        <f t="shared" ref="B9:D9" si="1">B8</f>
        <v>Ausgrid</v>
      </c>
      <c r="C9" s="3" t="str">
        <f t="shared" si="1"/>
        <v>Residential</v>
      </c>
      <c r="D9" s="3" t="str">
        <f t="shared" si="1"/>
        <v>without CL</v>
      </c>
      <c r="E9" s="3" t="s">
        <v>21</v>
      </c>
      <c r="F9" s="228">
        <f t="array" ref="F9">IFERROR(INDEX(Usage!$B$5:$P$18,MATCH($B9,Usage!$B$5:$B$18,0),MATCH($C9&amp;$D9&amp;$E9&amp;"Total",Usage!$B$5:$S$5&amp;Usage!$B$6:$S$6&amp;Usage!$B$7:$S$7&amp;Usage!$B$13:$S$13,0)),0)</f>
        <v>3900</v>
      </c>
      <c r="G9" s="3" t="s">
        <v>190</v>
      </c>
      <c r="H9" s="224" t="str" cm="1">
        <f t="array" ref="H9">IFERROR(INDEX('Detail inputs'!$B$3:$K$193,MATCH($B9&amp;$G9&amp;H$5&amp;$C9,'Detail inputs'!$B$3:$B$193&amp;'Detail inputs'!$G$3:$G$193&amp;'Detail inputs'!$H$3:$H$193&amp;'Detail inputs'!$D$3:$D$193,0),MATCH(H$4,'Detail inputs'!$B$3:$K$3,0)),0)</f>
        <v>NA</v>
      </c>
      <c r="I9" s="224"/>
      <c r="J9" s="224"/>
      <c r="K9" s="246"/>
      <c r="L9" s="225"/>
      <c r="M9" s="256"/>
      <c r="N9" s="225"/>
      <c r="O9" s="224" cm="1">
        <f t="array" ref="O9">IFERROR(INDEX('Detail inputs'!$B$3:$K$193,MATCH($B9&amp;$G9&amp;O$5&amp;$C9,'Detail inputs'!$B$3:$B$193&amp;'Detail inputs'!$G$3:$G$193&amp;'Detail inputs'!$H$3:$H$193&amp;'Detail inputs'!$D$3:$D$193,0),MATCH(O$4,'Detail inputs'!$B$3:$K$3,0)),0)</f>
        <v>132</v>
      </c>
      <c r="P9" s="224"/>
      <c r="Q9" s="224">
        <f>IF(AND(O9="",P9=""),"",O9+P9*$F9/1000)</f>
        <v>132</v>
      </c>
      <c r="R9" s="246">
        <f>IFERROR(Q9/Q12,"")</f>
        <v>0.76373470880940042</v>
      </c>
      <c r="S9" s="104"/>
      <c r="T9" s="104"/>
    </row>
    <row r="10" spans="1:22" outlineLevel="1" x14ac:dyDescent="0.3">
      <c r="B10" s="3" t="str">
        <f t="shared" ref="B10:D10" si="2">B9</f>
        <v>Ausgrid</v>
      </c>
      <c r="C10" s="3" t="str">
        <f t="shared" si="2"/>
        <v>Residential</v>
      </c>
      <c r="D10" s="3" t="str">
        <f t="shared" si="2"/>
        <v>without CL</v>
      </c>
      <c r="E10" s="3" t="s">
        <v>21</v>
      </c>
      <c r="F10" s="228">
        <f t="array" ref="F10">IFERROR(INDEX(Usage!$B$5:$P$18,MATCH($B10,Usage!$B$5:$B$18,0),MATCH($C10&amp;$D10&amp;$E10&amp;"Total",Usage!$B$5:$S$5&amp;Usage!$B$6:$S$6&amp;Usage!$B$7:$S$7&amp;Usage!$B$13:$S$13,0)),0)</f>
        <v>3900</v>
      </c>
      <c r="G10" s="3" t="s">
        <v>191</v>
      </c>
      <c r="H10" s="224" t="str" cm="1">
        <f t="array" ref="H10">IFERROR(INDEX('Detail inputs'!$B$3:$K$193,MATCH($B10&amp;$G10&amp;H$5&amp;$C10,'Detail inputs'!$B$3:$B$193&amp;'Detail inputs'!$G$3:$G$193&amp;'Detail inputs'!$H$3:$H$193&amp;'Detail inputs'!$D$3:$D$193,0),MATCH(H$4,'Detail inputs'!$B$3:$K$3,0)),0)</f>
        <v>NA</v>
      </c>
      <c r="I10" s="224"/>
      <c r="J10" s="224"/>
      <c r="K10" s="246"/>
      <c r="L10" s="225"/>
      <c r="M10" s="256"/>
      <c r="N10" s="225"/>
      <c r="O10" s="224" cm="1">
        <f t="array" ref="O10">IFERROR(INDEX('Detail inputs'!$B$3:$K$193,MATCH($B10&amp;$G10&amp;O$5,'Detail inputs'!$B$3:$B$193&amp;'Detail inputs'!$G$3:$G$193&amp;'Detail inputs'!$H$3:$H$193,0),MATCH(O$4,'Detail inputs'!$B$3:$K$3,0)),0)</f>
        <v>15.12</v>
      </c>
      <c r="P10" s="224"/>
      <c r="Q10" s="224">
        <f>IF(AND(O10="",P10=""),"",O10+P10*$F10/1000)</f>
        <v>15.12</v>
      </c>
      <c r="R10" s="246">
        <f>IFERROR(Q10/Q12,"")</f>
        <v>8.748233937271313E-2</v>
      </c>
      <c r="S10" s="104"/>
      <c r="T10" s="104"/>
    </row>
    <row r="11" spans="1:22" outlineLevel="1" x14ac:dyDescent="0.3">
      <c r="B11" s="3" t="str">
        <f t="shared" ref="B11:D11" si="3">B10</f>
        <v>Ausgrid</v>
      </c>
      <c r="C11" s="3" t="str">
        <f t="shared" si="3"/>
        <v>Residential</v>
      </c>
      <c r="D11" s="3" t="str">
        <f t="shared" si="3"/>
        <v>without CL</v>
      </c>
      <c r="E11" s="3" t="s">
        <v>21</v>
      </c>
      <c r="F11" s="228">
        <f t="array" ref="F11">IFERROR(INDEX(Usage!$B$5:$P$18,MATCH($B11,Usage!$B$5:$B$18,0),MATCH($C11&amp;$D11&amp;$E11&amp;"Total",Usage!$B$5:$S$5&amp;Usage!$B$6:$S$6&amp;Usage!$B$7:$S$7&amp;Usage!$B$13:$S$13,0)),0)</f>
        <v>3900</v>
      </c>
      <c r="G11" s="3" t="s">
        <v>192</v>
      </c>
      <c r="H11" s="224" t="str" cm="1">
        <f t="array" ref="H11">IFERROR(INDEX('Detail inputs'!$B$3:$K$193,MATCH($B11&amp;$G11&amp;H$5,'Detail inputs'!$B$3:$B$193&amp;'Detail inputs'!$G$3:$G$193&amp;'Detail inputs'!$H$3:$H$193,0),MATCH(H$4,'Detail inputs'!$B$3:$K$3,0)),0)</f>
        <v>NA</v>
      </c>
      <c r="I11" s="224"/>
      <c r="J11" s="224"/>
      <c r="K11" s="246"/>
      <c r="L11" s="225"/>
      <c r="M11" s="256"/>
      <c r="N11" s="225"/>
      <c r="O11" s="224" cm="1">
        <f t="array" ref="O11">IFERROR(INDEX('Detail inputs'!$B$3:$K$193,MATCH($B11&amp;$G11&amp;O$5,'Detail inputs'!$B$3:$B$193&amp;'Detail inputs'!$G$3:$G$193&amp;'Detail inputs'!$H$3:$H$193,0),MATCH(O$4,'Detail inputs'!$B$3:$K$3,0)),0)</f>
        <v>25.714884256834605</v>
      </c>
      <c r="P11" s="224"/>
      <c r="Q11" s="224">
        <f>IF(AND(O11="",P11=""),"",O11+P11*$F11/1000)</f>
        <v>25.714884256834605</v>
      </c>
      <c r="R11" s="246">
        <f>IFERROR(Q11/Q12,"")</f>
        <v>0.14878295181788645</v>
      </c>
      <c r="S11" s="104"/>
      <c r="T11" s="104"/>
    </row>
    <row r="12" spans="1:22" s="65" customFormat="1" x14ac:dyDescent="0.3">
      <c r="A12" s="60"/>
      <c r="B12" s="3" t="str">
        <f t="shared" ref="B12:D12" si="4">B11</f>
        <v>Ausgrid</v>
      </c>
      <c r="C12" s="3" t="str">
        <f t="shared" si="4"/>
        <v>Residential</v>
      </c>
      <c r="D12" s="3" t="str">
        <f t="shared" si="4"/>
        <v>without CL</v>
      </c>
      <c r="E12" s="3" t="s">
        <v>21</v>
      </c>
      <c r="F12" s="228">
        <f t="array" ref="F12">IFERROR(INDEX(Usage!$B$5:$P$18,MATCH($B12,Usage!$B$5:$B$18,0),MATCH($C12&amp;$D12&amp;$E12&amp;"Total",Usage!$B$5:$S$5&amp;Usage!$B$6:$S$6&amp;Usage!$B$7:$S$7&amp;Usage!$B$13:$S$13,0)),0)</f>
        <v>3900</v>
      </c>
      <c r="G12" s="60" t="s">
        <v>53</v>
      </c>
      <c r="H12" s="226"/>
      <c r="I12" s="226"/>
      <c r="J12" s="224"/>
      <c r="K12" s="247"/>
      <c r="L12" s="226"/>
      <c r="M12" s="257"/>
      <c r="N12" s="226"/>
      <c r="O12" s="226">
        <f>SUM(O9:O11)</f>
        <v>172.83488425683461</v>
      </c>
      <c r="P12" s="226"/>
      <c r="Q12" s="224">
        <f>IF(AND(O12="",P12=""),"",O12+P12*$F12/1000)</f>
        <v>172.83488425683461</v>
      </c>
      <c r="R12" s="247"/>
      <c r="S12" s="104"/>
      <c r="T12" s="104"/>
      <c r="U12" s="97"/>
      <c r="V12" s="97"/>
    </row>
    <row r="13" spans="1:22" s="65" customFormat="1" x14ac:dyDescent="0.3">
      <c r="A13" s="60"/>
      <c r="B13" s="3" t="str">
        <f t="shared" ref="B13:D13" si="5">B12</f>
        <v>Ausgrid</v>
      </c>
      <c r="C13" s="3" t="str">
        <f t="shared" si="5"/>
        <v>Residential</v>
      </c>
      <c r="D13" s="3" t="str">
        <f t="shared" si="5"/>
        <v>without CL</v>
      </c>
      <c r="E13" s="3" t="s">
        <v>21</v>
      </c>
      <c r="F13" s="228">
        <f t="array" ref="F13">IFERROR(INDEX(Usage!$B$5:$P$18,MATCH($B13,Usage!$B$5:$B$18,0),MATCH($C13&amp;$D13&amp;$E13&amp;"Total",Usage!$B$5:$S$5&amp;Usage!$B$6:$S$6&amp;Usage!$B$7:$S$7&amp;Usage!$B$13:$S$13,0)),0)</f>
        <v>3900</v>
      </c>
      <c r="G13" s="60" t="s">
        <v>199</v>
      </c>
      <c r="H13" s="226"/>
      <c r="I13" s="226"/>
      <c r="J13" s="226"/>
      <c r="K13" s="247"/>
      <c r="L13" s="226"/>
      <c r="M13" s="257"/>
      <c r="N13" s="226"/>
      <c r="O13" s="226">
        <f>O12*CPI</f>
        <v>17.255402756991728</v>
      </c>
      <c r="P13" s="226"/>
      <c r="Q13" s="226">
        <f>Q12*CPI</f>
        <v>17.255402756991728</v>
      </c>
      <c r="R13" s="247"/>
      <c r="S13" s="104"/>
      <c r="T13" s="104"/>
      <c r="U13" s="3"/>
      <c r="V13" s="3"/>
    </row>
    <row r="14" spans="1:22" s="19" customFormat="1" outlineLevel="1" x14ac:dyDescent="0.3">
      <c r="A14" s="3"/>
      <c r="B14" s="3" t="str">
        <f t="shared" ref="B14:D14" si="6">B13</f>
        <v>Ausgrid</v>
      </c>
      <c r="C14" s="3" t="str">
        <f t="shared" si="6"/>
        <v>Residential</v>
      </c>
      <c r="D14" s="3" t="str">
        <f t="shared" si="6"/>
        <v>without CL</v>
      </c>
      <c r="E14" s="3"/>
      <c r="F14" s="228"/>
      <c r="G14" s="60" t="s">
        <v>35</v>
      </c>
      <c r="H14" s="226"/>
      <c r="I14" s="226"/>
      <c r="J14" s="226"/>
      <c r="K14" s="247"/>
      <c r="L14" s="226"/>
      <c r="M14" s="257"/>
      <c r="N14" s="226"/>
      <c r="O14" s="226"/>
      <c r="P14" s="226"/>
      <c r="Q14" s="226">
        <f>SUM(Q12,Q13)*GST</f>
        <v>19.009028701382636</v>
      </c>
      <c r="R14" s="248"/>
      <c r="S14" s="104"/>
      <c r="T14" s="104"/>
      <c r="U14" s="3"/>
      <c r="V14" s="3"/>
    </row>
    <row r="15" spans="1:22" s="19" customFormat="1" x14ac:dyDescent="0.3">
      <c r="A15" s="3"/>
      <c r="B15" s="3" t="str">
        <f>B14</f>
        <v>Ausgrid</v>
      </c>
      <c r="C15" s="3" t="str">
        <f>C14</f>
        <v>Residential</v>
      </c>
      <c r="D15" s="3" t="str">
        <f>D14</f>
        <v>without CL</v>
      </c>
      <c r="E15" s="3"/>
      <c r="F15" s="228"/>
      <c r="G15" s="5" t="s">
        <v>77</v>
      </c>
      <c r="H15" s="227"/>
      <c r="I15" s="227"/>
      <c r="J15" s="227"/>
      <c r="K15" s="248"/>
      <c r="L15" s="227"/>
      <c r="M15" s="258"/>
      <c r="N15" s="227"/>
      <c r="O15" s="227"/>
      <c r="P15" s="227"/>
      <c r="Q15" s="227">
        <f>SUM(Q12:Q14)</f>
        <v>209.099315715209</v>
      </c>
      <c r="R15" s="248"/>
      <c r="S15" s="104"/>
      <c r="T15" s="104"/>
    </row>
    <row r="16" spans="1:22" s="19" customFormat="1" x14ac:dyDescent="0.3">
      <c r="A16" s="3"/>
      <c r="B16" s="3" t="str">
        <f t="shared" ref="B16:D16" si="7">B15</f>
        <v>Ausgrid</v>
      </c>
      <c r="C16" s="3" t="str">
        <f t="shared" si="7"/>
        <v>Residential</v>
      </c>
      <c r="D16" s="3" t="str">
        <f t="shared" si="7"/>
        <v>without CL</v>
      </c>
      <c r="E16" s="3"/>
      <c r="F16" s="228"/>
      <c r="G16" s="3"/>
      <c r="H16" s="224"/>
      <c r="I16" s="224"/>
      <c r="J16" s="224"/>
      <c r="K16" s="246"/>
      <c r="L16" s="224"/>
      <c r="M16" s="256"/>
      <c r="N16" s="224"/>
      <c r="O16" s="224"/>
      <c r="P16" s="224"/>
      <c r="Q16" s="224"/>
      <c r="R16" s="246"/>
      <c r="S16" s="104"/>
      <c r="T16" s="104"/>
      <c r="U16" s="3"/>
      <c r="V16" s="3"/>
    </row>
    <row r="17" spans="1:22" s="19" customFormat="1" x14ac:dyDescent="0.35">
      <c r="A17" s="3"/>
      <c r="B17" s="215" t="s">
        <v>2</v>
      </c>
      <c r="C17" s="5" t="s">
        <v>6</v>
      </c>
      <c r="D17" s="5" t="s">
        <v>137</v>
      </c>
      <c r="E17" s="3"/>
      <c r="F17" s="228"/>
      <c r="G17" s="3"/>
      <c r="H17" s="224"/>
      <c r="I17" s="224"/>
      <c r="J17" s="224"/>
      <c r="K17" s="246"/>
      <c r="L17" s="224"/>
      <c r="M17" s="256"/>
      <c r="N17" s="224"/>
      <c r="O17" s="224"/>
      <c r="P17" s="224"/>
      <c r="Q17" s="224"/>
      <c r="R17" s="246"/>
      <c r="S17" s="104"/>
      <c r="T17" s="104"/>
      <c r="U17" s="3"/>
      <c r="V17" s="3"/>
    </row>
    <row r="18" spans="1:22" outlineLevel="1" x14ac:dyDescent="0.3">
      <c r="B18" s="3" t="str">
        <f t="shared" ref="B18:D18" si="8">B17</f>
        <v>Ausgrid</v>
      </c>
      <c r="C18" s="3" t="str">
        <f t="shared" si="8"/>
        <v>Residential</v>
      </c>
      <c r="D18" s="3" t="str">
        <f t="shared" si="8"/>
        <v>with CL</v>
      </c>
      <c r="E18" s="3" t="s">
        <v>21</v>
      </c>
      <c r="F18" s="228">
        <f t="array" ref="F18">IFERROR(INDEX(Usage!$B$5:$P$18,MATCH($B18,Usage!$B$5:$B$18,0),MATCH($C18&amp;$D18&amp;$E18&amp;"Total",Usage!$B$5:$S$5&amp;Usage!$B$6:$S$6&amp;Usage!$B$7:$S$7&amp;Usage!$B$13:$S$13,0)),0)</f>
        <v>4800</v>
      </c>
      <c r="G18" s="3" t="s">
        <v>190</v>
      </c>
      <c r="H18" s="224" t="str" cm="1">
        <f t="array" ref="H18">IFERROR(INDEX('Detail inputs'!$B$3:$K$193,MATCH($B18&amp;$G18&amp;H$5&amp;$C18,'Detail inputs'!$B$3:$B$193&amp;'Detail inputs'!$G$3:$G$193&amp;'Detail inputs'!$H$3:$H$193&amp;'Detail inputs'!$D$3:$D$193,0),MATCH(H$4,'Detail inputs'!$B$3:$K$3,0)),0)</f>
        <v>NA</v>
      </c>
      <c r="I18" s="224"/>
      <c r="J18" s="224"/>
      <c r="K18" s="246"/>
      <c r="L18" s="225"/>
      <c r="M18" s="256"/>
      <c r="N18" s="225"/>
      <c r="O18" s="224" cm="1">
        <f t="array" ref="O18">IFERROR(INDEX('Detail inputs'!$B$3:$K$193,MATCH($B18&amp;$G18&amp;O$5&amp;$C18,'Detail inputs'!$B$3:$B$193&amp;'Detail inputs'!$G$3:$G$193&amp;'Detail inputs'!$H$3:$H$193&amp;'Detail inputs'!$D$3:$D$193,0),MATCH(O$4,'Detail inputs'!$B$3:$K$3,0)),0)</f>
        <v>132</v>
      </c>
      <c r="P18" s="224"/>
      <c r="Q18" s="224">
        <f>IF(AND(O18="",P18=""),"",O18+P18*$F18/1000)</f>
        <v>132</v>
      </c>
      <c r="R18" s="246">
        <f>IFERROR(Q18/Q21,"")</f>
        <v>0.76373470880940042</v>
      </c>
      <c r="S18" s="104"/>
      <c r="T18" s="104"/>
    </row>
    <row r="19" spans="1:22" outlineLevel="1" x14ac:dyDescent="0.3">
      <c r="B19" s="3" t="str">
        <f t="shared" ref="B19:D19" si="9">B18</f>
        <v>Ausgrid</v>
      </c>
      <c r="C19" s="3" t="str">
        <f t="shared" si="9"/>
        <v>Residential</v>
      </c>
      <c r="D19" s="3" t="str">
        <f t="shared" si="9"/>
        <v>with CL</v>
      </c>
      <c r="E19" s="3" t="s">
        <v>21</v>
      </c>
      <c r="F19" s="228">
        <f t="array" ref="F19">IFERROR(INDEX(Usage!$B$5:$P$18,MATCH($B19,Usage!$B$5:$B$18,0),MATCH($C19&amp;$D19&amp;$E19&amp;"Total",Usage!$B$5:$S$5&amp;Usage!$B$6:$S$6&amp;Usage!$B$7:$S$7&amp;Usage!$B$13:$S$13,0)),0)</f>
        <v>4800</v>
      </c>
      <c r="G19" s="3" t="s">
        <v>191</v>
      </c>
      <c r="H19" s="224" t="str" cm="1">
        <f t="array" ref="H19">IFERROR(INDEX('Detail inputs'!$B$3:$K$193,MATCH($B19&amp;$G19&amp;H$5&amp;$C19,'Detail inputs'!$B$3:$B$193&amp;'Detail inputs'!$G$3:$G$193&amp;'Detail inputs'!$H$3:$H$193&amp;'Detail inputs'!$D$3:$D$193,0),MATCH(H$4,'Detail inputs'!$B$3:$K$3,0)),0)</f>
        <v>NA</v>
      </c>
      <c r="I19" s="224"/>
      <c r="J19" s="224"/>
      <c r="K19" s="246"/>
      <c r="L19" s="225"/>
      <c r="M19" s="256"/>
      <c r="N19" s="225"/>
      <c r="O19" s="224" cm="1">
        <f t="array" ref="O19">IFERROR(INDEX('Detail inputs'!$B$3:$K$193,MATCH($B19&amp;$G19&amp;O$5,'Detail inputs'!$B$3:$B$193&amp;'Detail inputs'!$G$3:$G$193&amp;'Detail inputs'!$H$3:$H$193,0),MATCH(O$4,'Detail inputs'!$B$3:$K$3,0)),0)</f>
        <v>15.12</v>
      </c>
      <c r="P19" s="224"/>
      <c r="Q19" s="224">
        <f>IF(AND(O19="",P19=""),"",O19+P19*$F19/1000)</f>
        <v>15.12</v>
      </c>
      <c r="R19" s="246">
        <f>IFERROR(Q19/Q21,"")</f>
        <v>8.748233937271313E-2</v>
      </c>
      <c r="S19" s="104"/>
      <c r="T19" s="104"/>
    </row>
    <row r="20" spans="1:22" outlineLevel="1" x14ac:dyDescent="0.3">
      <c r="B20" s="3" t="str">
        <f t="shared" ref="B20:D20" si="10">B19</f>
        <v>Ausgrid</v>
      </c>
      <c r="C20" s="3" t="str">
        <f t="shared" si="10"/>
        <v>Residential</v>
      </c>
      <c r="D20" s="3" t="str">
        <f t="shared" si="10"/>
        <v>with CL</v>
      </c>
      <c r="E20" s="3" t="s">
        <v>21</v>
      </c>
      <c r="F20" s="228">
        <f t="array" ref="F20">IFERROR(INDEX(Usage!$B$5:$P$18,MATCH($B20,Usage!$B$5:$B$18,0),MATCH($C20&amp;$D20&amp;$E20&amp;"Total",Usage!$B$5:$S$5&amp;Usage!$B$6:$S$6&amp;Usage!$B$7:$S$7&amp;Usage!$B$13:$S$13,0)),0)</f>
        <v>4800</v>
      </c>
      <c r="G20" s="3" t="s">
        <v>192</v>
      </c>
      <c r="H20" s="224" t="str" cm="1">
        <f t="array" ref="H20">IFERROR(INDEX('Detail inputs'!$B$3:$K$193,MATCH($B20&amp;$G20&amp;H$5,'Detail inputs'!$B$3:$B$193&amp;'Detail inputs'!$G$3:$G$193&amp;'Detail inputs'!$H$3:$H$193,0),MATCH(H$4,'Detail inputs'!$B$3:$K$3,0)),0)</f>
        <v>NA</v>
      </c>
      <c r="I20" s="224"/>
      <c r="J20" s="224"/>
      <c r="K20" s="246"/>
      <c r="L20" s="225"/>
      <c r="M20" s="256"/>
      <c r="N20" s="225"/>
      <c r="O20" s="224" cm="1">
        <f t="array" ref="O20">IFERROR(INDEX('Detail inputs'!$B$3:$K$193,MATCH($B20&amp;$G20&amp;O$5,'Detail inputs'!$B$3:$B$193&amp;'Detail inputs'!$G$3:$G$193&amp;'Detail inputs'!$H$3:$H$193,0),MATCH(O$4,'Detail inputs'!$B$3:$K$3,0)),0)</f>
        <v>25.714884256834605</v>
      </c>
      <c r="P20" s="224"/>
      <c r="Q20" s="224">
        <f>IF(AND(O20="",P20=""),"",O20+P20*$F20/1000)</f>
        <v>25.714884256834605</v>
      </c>
      <c r="R20" s="246">
        <f>IFERROR(Q20/Q21,"")</f>
        <v>0.14878295181788645</v>
      </c>
      <c r="S20" s="104"/>
      <c r="T20" s="104"/>
    </row>
    <row r="21" spans="1:22" s="65" customFormat="1" x14ac:dyDescent="0.3">
      <c r="A21" s="60"/>
      <c r="B21" s="3" t="str">
        <f t="shared" ref="B21:D21" si="11">B20</f>
        <v>Ausgrid</v>
      </c>
      <c r="C21" s="3" t="str">
        <f t="shared" si="11"/>
        <v>Residential</v>
      </c>
      <c r="D21" s="3" t="str">
        <f t="shared" si="11"/>
        <v>with CL</v>
      </c>
      <c r="E21" s="3" t="s">
        <v>21</v>
      </c>
      <c r="F21" s="228">
        <f t="array" ref="F21">IFERROR(INDEX(Usage!$B$5:$P$18,MATCH($B21,Usage!$B$5:$B$18,0),MATCH($C21&amp;$D21&amp;$E21&amp;"Total",Usage!$B$5:$S$5&amp;Usage!$B$6:$S$6&amp;Usage!$B$7:$S$7&amp;Usage!$B$13:$S$13,0)),0)</f>
        <v>4800</v>
      </c>
      <c r="G21" s="60" t="s">
        <v>53</v>
      </c>
      <c r="H21" s="226"/>
      <c r="I21" s="226"/>
      <c r="J21" s="224"/>
      <c r="K21" s="247"/>
      <c r="L21" s="226"/>
      <c r="M21" s="257"/>
      <c r="N21" s="226"/>
      <c r="O21" s="226">
        <f>SUM(O18:O20)</f>
        <v>172.83488425683461</v>
      </c>
      <c r="P21" s="226"/>
      <c r="Q21" s="224">
        <f>IF(AND(O21="",P21=""),"",O21+P21*$F21/1000)</f>
        <v>172.83488425683461</v>
      </c>
      <c r="R21" s="247"/>
      <c r="S21" s="104"/>
      <c r="T21" s="104"/>
      <c r="U21" s="3"/>
      <c r="V21" s="97"/>
    </row>
    <row r="22" spans="1:22" s="65" customFormat="1" x14ac:dyDescent="0.3">
      <c r="A22" s="60"/>
      <c r="B22" s="3" t="str">
        <f t="shared" ref="B22:D22" si="12">B21</f>
        <v>Ausgrid</v>
      </c>
      <c r="C22" s="3" t="str">
        <f t="shared" si="12"/>
        <v>Residential</v>
      </c>
      <c r="D22" s="3" t="str">
        <f t="shared" si="12"/>
        <v>with CL</v>
      </c>
      <c r="E22" s="3" t="s">
        <v>21</v>
      </c>
      <c r="F22" s="228">
        <f t="array" ref="F22">IFERROR(INDEX(Usage!$B$5:$P$18,MATCH($B22,Usage!$B$5:$B$18,0),MATCH($C22&amp;$D22&amp;$E22&amp;"Total",Usage!$B$5:$S$5&amp;Usage!$B$6:$S$6&amp;Usage!$B$7:$S$7&amp;Usage!$B$13:$S$13,0)),0)</f>
        <v>4800</v>
      </c>
      <c r="G22" s="60" t="s">
        <v>199</v>
      </c>
      <c r="H22" s="226"/>
      <c r="I22" s="226"/>
      <c r="J22" s="226"/>
      <c r="K22" s="247"/>
      <c r="L22" s="226"/>
      <c r="M22" s="257"/>
      <c r="N22" s="226"/>
      <c r="O22" s="226">
        <f>O21*CPI</f>
        <v>17.255402756991728</v>
      </c>
      <c r="P22" s="226"/>
      <c r="Q22" s="226">
        <f>Q21*CPI</f>
        <v>17.255402756991728</v>
      </c>
      <c r="R22" s="247"/>
      <c r="S22" s="104"/>
      <c r="T22" s="104"/>
      <c r="U22" s="3"/>
      <c r="V22" s="3"/>
    </row>
    <row r="23" spans="1:22" s="19" customFormat="1" outlineLevel="1" x14ac:dyDescent="0.3">
      <c r="A23" s="3"/>
      <c r="B23" s="3" t="str">
        <f t="shared" ref="B23:D23" si="13">B22</f>
        <v>Ausgrid</v>
      </c>
      <c r="C23" s="3" t="str">
        <f t="shared" si="13"/>
        <v>Residential</v>
      </c>
      <c r="D23" s="3" t="str">
        <f t="shared" si="13"/>
        <v>with CL</v>
      </c>
      <c r="E23" s="3"/>
      <c r="F23" s="228"/>
      <c r="G23" s="60" t="s">
        <v>35</v>
      </c>
      <c r="H23" s="226"/>
      <c r="I23" s="226"/>
      <c r="J23" s="226"/>
      <c r="K23" s="247"/>
      <c r="L23" s="226"/>
      <c r="M23" s="257"/>
      <c r="N23" s="226"/>
      <c r="O23" s="226"/>
      <c r="P23" s="226"/>
      <c r="Q23" s="226">
        <f>SUM(Q21,Q22)*GST</f>
        <v>19.009028701382636</v>
      </c>
      <c r="R23" s="248"/>
      <c r="S23" s="104"/>
      <c r="T23" s="104"/>
      <c r="U23" s="3"/>
      <c r="V23" s="3"/>
    </row>
    <row r="24" spans="1:22" s="19" customFormat="1" x14ac:dyDescent="0.3">
      <c r="A24" s="3"/>
      <c r="B24" s="3" t="str">
        <f t="shared" ref="B24:D24" si="14">B23</f>
        <v>Ausgrid</v>
      </c>
      <c r="C24" s="3" t="str">
        <f t="shared" si="14"/>
        <v>Residential</v>
      </c>
      <c r="D24" s="3" t="str">
        <f t="shared" si="14"/>
        <v>with CL</v>
      </c>
      <c r="E24" s="3"/>
      <c r="F24" s="228"/>
      <c r="G24" s="5" t="s">
        <v>77</v>
      </c>
      <c r="H24" s="227"/>
      <c r="I24" s="227"/>
      <c r="J24" s="227"/>
      <c r="K24" s="248"/>
      <c r="L24" s="227"/>
      <c r="M24" s="258"/>
      <c r="N24" s="227"/>
      <c r="O24" s="227"/>
      <c r="P24" s="227"/>
      <c r="Q24" s="227">
        <f>SUM(Q21:Q23)</f>
        <v>209.099315715209</v>
      </c>
      <c r="R24" s="248"/>
      <c r="S24" s="104"/>
      <c r="T24" s="104"/>
      <c r="U24" s="3"/>
      <c r="V24" s="3"/>
    </row>
    <row r="25" spans="1:22" s="19" customFormat="1" x14ac:dyDescent="0.35">
      <c r="A25" s="3"/>
      <c r="B25" s="3" t="str">
        <f t="shared" ref="B25:D25" si="15">B24</f>
        <v>Ausgrid</v>
      </c>
      <c r="C25" s="3" t="str">
        <f t="shared" si="15"/>
        <v>Residential</v>
      </c>
      <c r="D25" s="3" t="str">
        <f t="shared" si="15"/>
        <v>with CL</v>
      </c>
      <c r="E25" s="3"/>
      <c r="F25" s="228"/>
      <c r="G25" s="3"/>
      <c r="H25" s="224"/>
      <c r="I25" s="224"/>
      <c r="J25" s="224"/>
      <c r="K25" s="246"/>
      <c r="L25" s="224"/>
      <c r="M25" s="256"/>
      <c r="N25" s="224"/>
      <c r="O25" s="224"/>
      <c r="P25" s="224"/>
      <c r="Q25" s="224"/>
      <c r="R25" s="246"/>
      <c r="U25" s="3"/>
      <c r="V25" s="3"/>
    </row>
    <row r="26" spans="1:22" s="19" customFormat="1" x14ac:dyDescent="0.35">
      <c r="A26" s="3"/>
      <c r="B26" s="5" t="s">
        <v>2</v>
      </c>
      <c r="C26" s="5" t="s">
        <v>14</v>
      </c>
      <c r="D26" s="5" t="s">
        <v>136</v>
      </c>
      <c r="E26" s="3"/>
      <c r="F26" s="228"/>
      <c r="G26" s="3"/>
      <c r="H26" s="224"/>
      <c r="I26" s="224"/>
      <c r="J26" s="224"/>
      <c r="K26" s="246"/>
      <c r="L26" s="224"/>
      <c r="M26" s="256"/>
      <c r="N26" s="224"/>
      <c r="O26" s="224"/>
      <c r="P26" s="224"/>
      <c r="Q26" s="224"/>
      <c r="R26" s="246"/>
      <c r="U26" s="3"/>
      <c r="V26" s="3"/>
    </row>
    <row r="27" spans="1:22" outlineLevel="1" x14ac:dyDescent="0.3">
      <c r="B27" s="3" t="str">
        <f>B26</f>
        <v>Ausgrid</v>
      </c>
      <c r="C27" s="3" t="str">
        <f t="shared" ref="C27:D27" si="16">C26</f>
        <v>Small business</v>
      </c>
      <c r="D27" s="3" t="str">
        <f t="shared" si="16"/>
        <v>without CL</v>
      </c>
      <c r="E27" s="3" t="s">
        <v>21</v>
      </c>
      <c r="F27" s="228">
        <f t="array" ref="F27">IFERROR(INDEX(Usage!$B$5:$P$18,MATCH($B27,Usage!$B$5:$B$18,0),MATCH($C27&amp;$D27&amp;$E27&amp;"Total",Usage!$B$5:$S$5&amp;Usage!$B$6:$S$6&amp;Usage!$B$7:$S$7&amp;Usage!$B$13:$S$13,0)),0)</f>
        <v>10000</v>
      </c>
      <c r="G27" s="3" t="s">
        <v>190</v>
      </c>
      <c r="H27" s="224" t="str" cm="1">
        <f t="array" ref="H27">IFERROR(INDEX('Detail inputs'!$B$3:$K$193,MATCH($B27&amp;$G27&amp;H$5&amp;$C27,'Detail inputs'!$B$3:$B$193&amp;'Detail inputs'!$G$3:$G$193&amp;'Detail inputs'!$H$3:$H$193&amp;'Detail inputs'!$D$3:$D$193,0),MATCH(H$4,'Detail inputs'!$B$3:$K$3,0)),0)</f>
        <v>NA</v>
      </c>
      <c r="I27" s="224"/>
      <c r="J27" s="224"/>
      <c r="K27" s="246"/>
      <c r="L27" s="225"/>
      <c r="M27" s="256"/>
      <c r="N27" s="225"/>
      <c r="O27" s="224" cm="1">
        <f t="array" ref="O27">IFERROR(INDEX('Detail inputs'!$B$3:$K$193,MATCH($B27&amp;$G27&amp;O$5&amp;$C27,'Detail inputs'!$B$3:$B$193&amp;'Detail inputs'!$G$3:$G$193&amp;'Detail inputs'!$H$3:$H$193&amp;'Detail inputs'!$D$3:$D$193,0),MATCH(O$4,'Detail inputs'!$B$3:$K$3,0)),0)</f>
        <v>204</v>
      </c>
      <c r="P27" s="224"/>
      <c r="Q27" s="224">
        <f>IF(AND(O27="",P27=""),"",O27+P27*$F27/1000)</f>
        <v>204</v>
      </c>
      <c r="R27" s="246">
        <f>IFERROR(Q27/Q30,"")</f>
        <v>0.85378910088623727</v>
      </c>
      <c r="S27" s="104"/>
      <c r="T27" s="104"/>
      <c r="U27" s="97"/>
      <c r="V27" s="97"/>
    </row>
    <row r="28" spans="1:22" outlineLevel="1" x14ac:dyDescent="0.3">
      <c r="B28" s="3" t="str">
        <f t="shared" ref="B28:D34" si="17">B27</f>
        <v>Ausgrid</v>
      </c>
      <c r="C28" s="3" t="str">
        <f t="shared" si="17"/>
        <v>Small business</v>
      </c>
      <c r="D28" s="3" t="str">
        <f t="shared" si="17"/>
        <v>without CL</v>
      </c>
      <c r="E28" s="3" t="s">
        <v>21</v>
      </c>
      <c r="F28" s="228">
        <f t="array" ref="F28">IFERROR(INDEX(Usage!$B$5:$P$18,MATCH($B28,Usage!$B$5:$B$18,0),MATCH($C28&amp;$D28&amp;$E28&amp;"Total",Usage!$B$5:$S$5&amp;Usage!$B$6:$S$6&amp;Usage!$B$7:$S$7&amp;Usage!$B$13:$S$13,0)),0)</f>
        <v>10000</v>
      </c>
      <c r="G28" s="3" t="s">
        <v>191</v>
      </c>
      <c r="H28" s="224" t="str" cm="1">
        <f t="array" ref="H28">IFERROR(INDEX('Detail inputs'!$B$3:$K$193,MATCH($B28&amp;$G28&amp;H$5&amp;$C28,'Detail inputs'!$B$3:$B$193&amp;'Detail inputs'!$G$3:$G$193&amp;'Detail inputs'!$H$3:$H$193&amp;'Detail inputs'!$D$3:$D$193,0),MATCH(H$4,'Detail inputs'!$B$3:$K$3,0)),0)</f>
        <v>NA</v>
      </c>
      <c r="I28" s="224"/>
      <c r="J28" s="224"/>
      <c r="K28" s="246"/>
      <c r="L28" s="225"/>
      <c r="M28" s="256"/>
      <c r="N28" s="225"/>
      <c r="O28" s="224" cm="1">
        <f t="array" ref="O28">IFERROR(INDEX('Detail inputs'!$B$3:$K$193,MATCH($B28&amp;$G28&amp;O$5&amp;$C28,'Detail inputs'!$B$3:$B$193&amp;'Detail inputs'!$G$3:$G$193&amp;'Detail inputs'!$H$3:$H$193&amp;'Detail inputs'!$D$3:$D$193,0),MATCH(O$4,'Detail inputs'!$B$3:$K$3,0)),0)</f>
        <v>9.2200000000000006</v>
      </c>
      <c r="P28" s="224"/>
      <c r="Q28" s="224">
        <f>IF(AND(O28="",P28=""),"",O28+P28*$F28/1000)</f>
        <v>9.2200000000000006</v>
      </c>
      <c r="R28" s="246">
        <f>IFERROR(Q28/Q30,"")</f>
        <v>3.8587919167505431E-2</v>
      </c>
      <c r="S28" s="104"/>
      <c r="T28" s="104"/>
    </row>
    <row r="29" spans="1:22" outlineLevel="1" x14ac:dyDescent="0.3">
      <c r="B29" s="3" t="str">
        <f t="shared" si="17"/>
        <v>Ausgrid</v>
      </c>
      <c r="C29" s="3" t="str">
        <f t="shared" si="17"/>
        <v>Small business</v>
      </c>
      <c r="D29" s="3" t="str">
        <f t="shared" si="17"/>
        <v>without CL</v>
      </c>
      <c r="E29" s="3" t="s">
        <v>21</v>
      </c>
      <c r="F29" s="228">
        <f t="array" ref="F29">IFERROR(INDEX(Usage!$B$5:$P$18,MATCH($B29,Usage!$B$5:$B$18,0),MATCH($C29&amp;$D29&amp;$E29&amp;"Total",Usage!$B$5:$S$5&amp;Usage!$B$6:$S$6&amp;Usage!$B$7:$S$7&amp;Usage!$B$13:$S$13,0)),0)</f>
        <v>10000</v>
      </c>
      <c r="G29" s="3" t="s">
        <v>192</v>
      </c>
      <c r="H29" s="224" t="str" cm="1">
        <f t="array" ref="H29">IFERROR(INDEX('Detail inputs'!$B$3:$K$193,MATCH($B29&amp;$G29&amp;H$5,'Detail inputs'!$B$3:$B$193&amp;'Detail inputs'!$G$3:$G$193&amp;'Detail inputs'!$H$3:$H$193,0),MATCH(H$4,'Detail inputs'!$B$3:$K$3,0)),0)</f>
        <v>NA</v>
      </c>
      <c r="I29" s="224"/>
      <c r="J29" s="224"/>
      <c r="K29" s="246"/>
      <c r="L29" s="225"/>
      <c r="M29" s="256"/>
      <c r="N29" s="225"/>
      <c r="O29" s="224" cm="1">
        <f t="array" ref="O29">IFERROR(INDEX('Detail inputs'!$B$3:$K$193,MATCH($B29&amp;$G29&amp;O$5,'Detail inputs'!$B$3:$B$193&amp;'Detail inputs'!$G$3:$G$193&amp;'Detail inputs'!$H$3:$H$193,0),MATCH(O$4,'Detail inputs'!$B$3:$K$3,0)),0)</f>
        <v>25.714884256834605</v>
      </c>
      <c r="P29" s="224"/>
      <c r="Q29" s="224">
        <f>IF(AND(O29="",P29=""),"",O29+P29*$F29/1000)</f>
        <v>25.714884256834605</v>
      </c>
      <c r="R29" s="246">
        <f>IFERROR(Q29/Q30,"")</f>
        <v>0.10762297994625723</v>
      </c>
      <c r="S29" s="104"/>
      <c r="T29" s="104"/>
    </row>
    <row r="30" spans="1:22" s="65" customFormat="1" x14ac:dyDescent="0.3">
      <c r="A30" s="60"/>
      <c r="B30" s="3" t="str">
        <f t="shared" si="17"/>
        <v>Ausgrid</v>
      </c>
      <c r="C30" s="3" t="str">
        <f t="shared" si="17"/>
        <v>Small business</v>
      </c>
      <c r="D30" s="3" t="str">
        <f t="shared" si="17"/>
        <v>without CL</v>
      </c>
      <c r="E30" s="3" t="s">
        <v>21</v>
      </c>
      <c r="F30" s="228">
        <f t="array" ref="F30">IFERROR(INDEX(Usage!$B$5:$P$18,MATCH($B30,Usage!$B$5:$B$18,0),MATCH($C30&amp;$D30&amp;$E30&amp;"Total",Usage!$B$5:$S$5&amp;Usage!$B$6:$S$6&amp;Usage!$B$7:$S$7&amp;Usage!$B$13:$S$13,0)),0)</f>
        <v>10000</v>
      </c>
      <c r="G30" s="60" t="s">
        <v>53</v>
      </c>
      <c r="H30" s="226"/>
      <c r="I30" s="226"/>
      <c r="J30" s="224"/>
      <c r="K30" s="247"/>
      <c r="L30" s="226"/>
      <c r="M30" s="257"/>
      <c r="N30" s="226"/>
      <c r="O30" s="226">
        <f>SUM(O27:O29)</f>
        <v>238.93488425683461</v>
      </c>
      <c r="P30" s="226"/>
      <c r="Q30" s="224">
        <f>IF(AND(O30="",P30=""),"",O30+P30*$F30/1000)</f>
        <v>238.93488425683461</v>
      </c>
      <c r="R30" s="247"/>
      <c r="S30" s="104"/>
      <c r="T30" s="104"/>
      <c r="U30" s="3"/>
      <c r="V30" s="97"/>
    </row>
    <row r="31" spans="1:22" s="65" customFormat="1" x14ac:dyDescent="0.3">
      <c r="A31" s="60"/>
      <c r="B31" s="3" t="str">
        <f t="shared" si="17"/>
        <v>Ausgrid</v>
      </c>
      <c r="C31" s="3" t="str">
        <f t="shared" si="17"/>
        <v>Small business</v>
      </c>
      <c r="D31" s="3" t="str">
        <f t="shared" si="17"/>
        <v>without CL</v>
      </c>
      <c r="E31" s="3" t="s">
        <v>21</v>
      </c>
      <c r="F31" s="228">
        <f t="array" ref="F31">IFERROR(INDEX(Usage!$B$5:$P$18,MATCH($B31,Usage!$B$5:$B$18,0),MATCH($C31&amp;$D31&amp;$E31&amp;"Total",Usage!$B$5:$S$5&amp;Usage!$B$6:$S$6&amp;Usage!$B$7:$S$7&amp;Usage!$B$13:$S$13,0)),0)</f>
        <v>10000</v>
      </c>
      <c r="G31" s="60" t="s">
        <v>199</v>
      </c>
      <c r="H31" s="226"/>
      <c r="I31" s="226"/>
      <c r="J31" s="226"/>
      <c r="K31" s="247"/>
      <c r="L31" s="226"/>
      <c r="M31" s="257"/>
      <c r="N31" s="226"/>
      <c r="O31" s="226">
        <f>O30*CPI</f>
        <v>23.854661506991732</v>
      </c>
      <c r="P31" s="226"/>
      <c r="Q31" s="226">
        <f>Q30*CPI</f>
        <v>23.854661506991732</v>
      </c>
      <c r="R31" s="247"/>
      <c r="S31" s="104"/>
      <c r="T31" s="104"/>
      <c r="U31" s="3"/>
      <c r="V31" s="3"/>
    </row>
    <row r="32" spans="1:22" s="19" customFormat="1" outlineLevel="1" x14ac:dyDescent="0.3">
      <c r="A32" s="3"/>
      <c r="B32" s="3" t="str">
        <f t="shared" si="17"/>
        <v>Ausgrid</v>
      </c>
      <c r="C32" s="3" t="str">
        <f t="shared" si="17"/>
        <v>Small business</v>
      </c>
      <c r="D32" s="3" t="str">
        <f t="shared" si="17"/>
        <v>without CL</v>
      </c>
      <c r="E32" s="3"/>
      <c r="F32" s="228"/>
      <c r="G32" s="60" t="s">
        <v>35</v>
      </c>
      <c r="H32" s="226"/>
      <c r="I32" s="226"/>
      <c r="J32" s="226"/>
      <c r="K32" s="247"/>
      <c r="L32" s="226"/>
      <c r="M32" s="257"/>
      <c r="N32" s="226"/>
      <c r="O32" s="226"/>
      <c r="P32" s="226"/>
      <c r="Q32" s="226">
        <f>SUM(Q30,Q31)*GST</f>
        <v>26.278954576382638</v>
      </c>
      <c r="R32" s="248"/>
      <c r="S32" s="104"/>
      <c r="T32" s="104"/>
      <c r="U32" s="3"/>
      <c r="V32" s="3"/>
    </row>
    <row r="33" spans="1:22" s="19" customFormat="1" x14ac:dyDescent="0.3">
      <c r="A33" s="3"/>
      <c r="B33" s="3" t="str">
        <f t="shared" si="17"/>
        <v>Ausgrid</v>
      </c>
      <c r="C33" s="3" t="str">
        <f t="shared" si="17"/>
        <v>Small business</v>
      </c>
      <c r="D33" s="3" t="str">
        <f t="shared" si="17"/>
        <v>without CL</v>
      </c>
      <c r="E33" s="3"/>
      <c r="F33" s="228"/>
      <c r="G33" s="5" t="s">
        <v>77</v>
      </c>
      <c r="H33" s="227"/>
      <c r="I33" s="227"/>
      <c r="J33" s="227"/>
      <c r="K33" s="248"/>
      <c r="L33" s="227"/>
      <c r="M33" s="258"/>
      <c r="N33" s="227"/>
      <c r="O33" s="227"/>
      <c r="P33" s="227"/>
      <c r="Q33" s="227">
        <f>SUM(Q30:Q32)</f>
        <v>289.06850034020903</v>
      </c>
      <c r="R33" s="248"/>
      <c r="S33" s="104"/>
      <c r="T33" s="104"/>
      <c r="U33" s="3"/>
      <c r="V33" s="3"/>
    </row>
    <row r="34" spans="1:22" s="19" customFormat="1" x14ac:dyDescent="0.35">
      <c r="A34" s="3"/>
      <c r="B34" s="3" t="str">
        <f t="shared" si="17"/>
        <v>Ausgrid</v>
      </c>
      <c r="C34" s="3" t="str">
        <f t="shared" si="17"/>
        <v>Small business</v>
      </c>
      <c r="D34" s="3" t="str">
        <f t="shared" si="17"/>
        <v>without CL</v>
      </c>
      <c r="E34" s="3"/>
      <c r="F34" s="228"/>
      <c r="G34" s="3"/>
      <c r="H34" s="224"/>
      <c r="I34" s="224"/>
      <c r="J34" s="224"/>
      <c r="K34" s="246"/>
      <c r="L34" s="224"/>
      <c r="M34" s="256"/>
      <c r="N34" s="224"/>
      <c r="O34" s="224"/>
      <c r="P34" s="224"/>
      <c r="Q34" s="224"/>
      <c r="R34" s="246"/>
      <c r="U34" s="97"/>
      <c r="V34" s="97"/>
    </row>
    <row r="35" spans="1:22" x14ac:dyDescent="0.3">
      <c r="B35" s="5" t="s">
        <v>4</v>
      </c>
      <c r="C35" s="5" t="s">
        <v>6</v>
      </c>
      <c r="D35" s="5" t="s">
        <v>136</v>
      </c>
      <c r="F35" s="228"/>
      <c r="H35" s="224"/>
      <c r="I35" s="224"/>
      <c r="J35" s="224"/>
      <c r="K35" s="246"/>
      <c r="L35" s="225"/>
      <c r="M35" s="256"/>
      <c r="N35" s="225"/>
      <c r="O35" s="224"/>
      <c r="P35" s="224"/>
      <c r="Q35" s="224"/>
      <c r="R35" s="246"/>
      <c r="S35" s="104"/>
      <c r="T35" s="104"/>
      <c r="U35" s="60"/>
      <c r="V35" s="60"/>
    </row>
    <row r="36" spans="1:22" outlineLevel="1" x14ac:dyDescent="0.3">
      <c r="B36" s="3" t="str">
        <f>B35</f>
        <v>Endeavour</v>
      </c>
      <c r="C36" s="3" t="str">
        <f t="shared" ref="C36:D36" si="18">C35</f>
        <v>Residential</v>
      </c>
      <c r="D36" s="3" t="str">
        <f t="shared" si="18"/>
        <v>without CL</v>
      </c>
      <c r="E36" s="3" t="s">
        <v>21</v>
      </c>
      <c r="F36" s="228">
        <f t="array" ref="F36">IFERROR(INDEX(Usage!$B$5:$P$18,MATCH($B36,Usage!$B$5:$B$18,0),MATCH($C36&amp;$D36&amp;$E36&amp;"Total",Usage!$B$5:$S$5&amp;Usage!$B$6:$S$6&amp;Usage!$B$7:$S$7&amp;Usage!$B$13:$S$13,0)),0)</f>
        <v>4900</v>
      </c>
      <c r="G36" s="3" t="s">
        <v>190</v>
      </c>
      <c r="H36" s="224" t="str" cm="1">
        <f t="array" ref="H36">IFERROR(INDEX('Detail inputs'!$B$3:$K$193,MATCH($B36&amp;$G36&amp;H$5&amp;$C36,'Detail inputs'!$B$3:$B$193&amp;'Detail inputs'!$G$3:$G$193&amp;'Detail inputs'!$H$3:$H$193&amp;'Detail inputs'!$D$3:$D$193,0),MATCH(H$4,'Detail inputs'!$B$3:$K$3,0)),0)</f>
        <v>NA</v>
      </c>
      <c r="I36" s="224"/>
      <c r="J36" s="224"/>
      <c r="K36" s="246"/>
      <c r="L36" s="225"/>
      <c r="M36" s="256"/>
      <c r="N36" s="225"/>
      <c r="O36" s="224" cm="1">
        <f t="array" ref="O36">IFERROR(INDEX('Detail inputs'!$B$3:$K$193,MATCH($B36&amp;$G36&amp;O$5&amp;$C36,'Detail inputs'!$B$3:$B$193&amp;'Detail inputs'!$G$3:$G$193&amp;'Detail inputs'!$H$3:$H$193&amp;'Detail inputs'!$D$3:$D$193,0),MATCH(O$4,'Detail inputs'!$B$3:$K$3,0)),0)</f>
        <v>132</v>
      </c>
      <c r="P36" s="224"/>
      <c r="Q36" s="224">
        <f>IF(AND(O36="",P36=""),"",O36+P36*$F36/1000)</f>
        <v>132</v>
      </c>
      <c r="R36" s="246">
        <f>IFERROR(Q36/Q39,"")</f>
        <v>0.73695718001148292</v>
      </c>
      <c r="S36" s="104"/>
      <c r="T36" s="104"/>
    </row>
    <row r="37" spans="1:22" outlineLevel="1" x14ac:dyDescent="0.3">
      <c r="B37" s="3" t="str">
        <f t="shared" ref="B37:D43" si="19">B36</f>
        <v>Endeavour</v>
      </c>
      <c r="C37" s="3" t="str">
        <f t="shared" si="19"/>
        <v>Residential</v>
      </c>
      <c r="D37" s="3" t="str">
        <f t="shared" si="19"/>
        <v>without CL</v>
      </c>
      <c r="E37" s="3" t="s">
        <v>21</v>
      </c>
      <c r="F37" s="228">
        <f t="array" ref="F37">IFERROR(INDEX(Usage!$B$5:$P$18,MATCH($B37,Usage!$B$5:$B$18,0),MATCH($C37&amp;$D37&amp;$E37&amp;"Total",Usage!$B$5:$S$5&amp;Usage!$B$6:$S$6&amp;Usage!$B$7:$S$7&amp;Usage!$B$13:$S$13,0)),0)</f>
        <v>4900</v>
      </c>
      <c r="G37" s="3" t="s">
        <v>191</v>
      </c>
      <c r="H37" s="224" t="str" cm="1">
        <f t="array" ref="H37">IFERROR(INDEX('Detail inputs'!$B$3:$K$193,MATCH($B37&amp;$G37&amp;H$5&amp;$C37,'Detail inputs'!$B$3:$B$193&amp;'Detail inputs'!$G$3:$G$193&amp;'Detail inputs'!$H$3:$H$193&amp;'Detail inputs'!$D$3:$D$193,0),MATCH(H$4,'Detail inputs'!$B$3:$K$3,0)),0)</f>
        <v>NA</v>
      </c>
      <c r="I37" s="224"/>
      <c r="J37" s="224"/>
      <c r="K37" s="246"/>
      <c r="L37" s="225"/>
      <c r="M37" s="256"/>
      <c r="N37" s="225"/>
      <c r="O37" s="224" cm="1">
        <f t="array" ref="O37">IFERROR(INDEX('Detail inputs'!$B$3:$K$193,MATCH($B37&amp;$G37&amp;O$5,'Detail inputs'!$B$3:$B$193&amp;'Detail inputs'!$G$3:$G$193&amp;'Detail inputs'!$H$3:$H$193,0),MATCH(O$4,'Detail inputs'!$B$3:$K$3,0)),0)</f>
        <v>21.4</v>
      </c>
      <c r="P37" s="224"/>
      <c r="Q37" s="224">
        <f>IF(AND(O37="",P37=""),"",O37+P37*$F37/1000)</f>
        <v>21.4</v>
      </c>
      <c r="R37" s="246">
        <f>IFERROR(Q37/Q39,"")</f>
        <v>0.11947639130489192</v>
      </c>
      <c r="S37" s="104"/>
      <c r="T37" s="104"/>
    </row>
    <row r="38" spans="1:22" outlineLevel="1" x14ac:dyDescent="0.3">
      <c r="B38" s="3" t="str">
        <f t="shared" si="19"/>
        <v>Endeavour</v>
      </c>
      <c r="C38" s="3" t="str">
        <f t="shared" si="19"/>
        <v>Residential</v>
      </c>
      <c r="D38" s="3" t="str">
        <f t="shared" si="19"/>
        <v>without CL</v>
      </c>
      <c r="E38" s="3" t="s">
        <v>21</v>
      </c>
      <c r="F38" s="228">
        <f t="array" ref="F38">IFERROR(INDEX(Usage!$B$5:$P$18,MATCH($B38,Usage!$B$5:$B$18,0),MATCH($C38&amp;$D38&amp;$E38&amp;"Total",Usage!$B$5:$S$5&amp;Usage!$B$6:$S$6&amp;Usage!$B$7:$S$7&amp;Usage!$B$13:$S$13,0)),0)</f>
        <v>4900</v>
      </c>
      <c r="G38" s="3" t="s">
        <v>192</v>
      </c>
      <c r="H38" s="224" t="str" cm="1">
        <f t="array" ref="H38">IFERROR(INDEX('Detail inputs'!$B$3:$K$193,MATCH($B38&amp;$G38&amp;H$5,'Detail inputs'!$B$3:$B$193&amp;'Detail inputs'!$G$3:$G$193&amp;'Detail inputs'!$H$3:$H$193,0),MATCH(H$4,'Detail inputs'!$B$3:$K$3,0)),0)</f>
        <v>NA</v>
      </c>
      <c r="I38" s="224"/>
      <c r="J38" s="224"/>
      <c r="K38" s="246"/>
      <c r="L38" s="225"/>
      <c r="M38" s="256"/>
      <c r="N38" s="225"/>
      <c r="O38" s="224" cm="1">
        <f t="array" ref="O38">IFERROR(INDEX('Detail inputs'!$B$3:$K$193,MATCH($B38&amp;$G38&amp;O$5,'Detail inputs'!$B$3:$B$193&amp;'Detail inputs'!$G$3:$G$193&amp;'Detail inputs'!$H$3:$H$193,0),MATCH(O$4,'Detail inputs'!$B$3:$K$3,0)),0)</f>
        <v>25.714884256834605</v>
      </c>
      <c r="P38" s="224"/>
      <c r="Q38" s="224">
        <f>IF(AND(O38="",P38=""),"",O38+P38*$F38/1000)</f>
        <v>25.714884256834605</v>
      </c>
      <c r="R38" s="246">
        <f>IFERROR(Q38/Q39,"")</f>
        <v>0.14356642868362507</v>
      </c>
      <c r="S38" s="104"/>
      <c r="T38" s="104"/>
    </row>
    <row r="39" spans="1:22" s="65" customFormat="1" x14ac:dyDescent="0.3">
      <c r="A39" s="60"/>
      <c r="B39" s="3" t="str">
        <f t="shared" si="19"/>
        <v>Endeavour</v>
      </c>
      <c r="C39" s="3" t="str">
        <f t="shared" si="19"/>
        <v>Residential</v>
      </c>
      <c r="D39" s="3" t="str">
        <f t="shared" si="19"/>
        <v>without CL</v>
      </c>
      <c r="E39" s="3" t="s">
        <v>21</v>
      </c>
      <c r="F39" s="228">
        <f t="array" ref="F39">IFERROR(INDEX(Usage!$B$5:$P$18,MATCH($B39,Usage!$B$5:$B$18,0),MATCH($C39&amp;$D39&amp;$E39&amp;"Total",Usage!$B$5:$S$5&amp;Usage!$B$6:$S$6&amp;Usage!$B$7:$S$7&amp;Usage!$B$13:$S$13,0)),0)</f>
        <v>4900</v>
      </c>
      <c r="G39" s="60" t="s">
        <v>53</v>
      </c>
      <c r="H39" s="226"/>
      <c r="I39" s="226"/>
      <c r="J39" s="224"/>
      <c r="K39" s="247"/>
      <c r="L39" s="226"/>
      <c r="M39" s="257"/>
      <c r="N39" s="226"/>
      <c r="O39" s="226">
        <f>SUM(O36:O38)</f>
        <v>179.11488425683461</v>
      </c>
      <c r="P39" s="226"/>
      <c r="Q39" s="224">
        <f>IF(AND(O39="",P39=""),"",O39+P39*$F39/1000)</f>
        <v>179.11488425683461</v>
      </c>
      <c r="R39" s="247"/>
      <c r="S39" s="104"/>
      <c r="T39" s="104"/>
      <c r="U39" s="3"/>
      <c r="V39" s="97"/>
    </row>
    <row r="40" spans="1:22" s="65" customFormat="1" x14ac:dyDescent="0.3">
      <c r="A40" s="60"/>
      <c r="B40" s="3" t="str">
        <f t="shared" si="19"/>
        <v>Endeavour</v>
      </c>
      <c r="C40" s="3" t="str">
        <f t="shared" si="19"/>
        <v>Residential</v>
      </c>
      <c r="D40" s="3" t="str">
        <f t="shared" si="19"/>
        <v>without CL</v>
      </c>
      <c r="E40" s="3" t="s">
        <v>21</v>
      </c>
      <c r="F40" s="228">
        <f t="array" ref="F40">IFERROR(INDEX(Usage!$B$5:$P$18,MATCH($B40,Usage!$B$5:$B$18,0),MATCH($C40&amp;$D40&amp;$E40&amp;"Total",Usage!$B$5:$S$5&amp;Usage!$B$6:$S$6&amp;Usage!$B$7:$S$7&amp;Usage!$B$13:$S$13,0)),0)</f>
        <v>4900</v>
      </c>
      <c r="G40" s="60" t="s">
        <v>199</v>
      </c>
      <c r="H40" s="226"/>
      <c r="I40" s="226"/>
      <c r="J40" s="226"/>
      <c r="K40" s="247"/>
      <c r="L40" s="226"/>
      <c r="M40" s="257"/>
      <c r="N40" s="226"/>
      <c r="O40" s="226">
        <f>O39*CPI</f>
        <v>17.882382256991729</v>
      </c>
      <c r="P40" s="226"/>
      <c r="Q40" s="226">
        <f>Q39*CPI</f>
        <v>17.882382256991729</v>
      </c>
      <c r="R40" s="247"/>
      <c r="S40" s="104"/>
      <c r="T40" s="104"/>
      <c r="U40" s="3"/>
      <c r="V40" s="3"/>
    </row>
    <row r="41" spans="1:22" s="19" customFormat="1" outlineLevel="1" x14ac:dyDescent="0.3">
      <c r="A41" s="3"/>
      <c r="B41" s="3" t="str">
        <f t="shared" si="19"/>
        <v>Endeavour</v>
      </c>
      <c r="C41" s="3" t="str">
        <f t="shared" si="19"/>
        <v>Residential</v>
      </c>
      <c r="D41" s="3" t="str">
        <f t="shared" si="19"/>
        <v>without CL</v>
      </c>
      <c r="E41" s="3"/>
      <c r="F41" s="228"/>
      <c r="G41" s="60" t="s">
        <v>35</v>
      </c>
      <c r="H41" s="226"/>
      <c r="I41" s="226"/>
      <c r="J41" s="226"/>
      <c r="K41" s="247"/>
      <c r="L41" s="226"/>
      <c r="M41" s="257"/>
      <c r="N41" s="226"/>
      <c r="O41" s="226"/>
      <c r="P41" s="226"/>
      <c r="Q41" s="226">
        <f>SUM(Q39,Q40)*GST</f>
        <v>19.699726651382633</v>
      </c>
      <c r="R41" s="248"/>
      <c r="S41" s="104"/>
      <c r="T41" s="104"/>
      <c r="U41" s="3"/>
      <c r="V41" s="3"/>
    </row>
    <row r="42" spans="1:22" s="19" customFormat="1" x14ac:dyDescent="0.3">
      <c r="A42" s="3"/>
      <c r="B42" s="3" t="str">
        <f t="shared" si="19"/>
        <v>Endeavour</v>
      </c>
      <c r="C42" s="3" t="str">
        <f t="shared" si="19"/>
        <v>Residential</v>
      </c>
      <c r="D42" s="3" t="str">
        <f t="shared" si="19"/>
        <v>without CL</v>
      </c>
      <c r="E42" s="3"/>
      <c r="F42" s="228"/>
      <c r="G42" s="5" t="s">
        <v>77</v>
      </c>
      <c r="H42" s="227"/>
      <c r="I42" s="227"/>
      <c r="J42" s="227"/>
      <c r="K42" s="248"/>
      <c r="L42" s="227"/>
      <c r="M42" s="258"/>
      <c r="N42" s="227"/>
      <c r="O42" s="227"/>
      <c r="P42" s="227"/>
      <c r="Q42" s="227">
        <f>SUM(Q39:Q41)</f>
        <v>216.69699316520897</v>
      </c>
      <c r="R42" s="248"/>
      <c r="S42" s="104"/>
      <c r="T42" s="104"/>
      <c r="U42" s="3"/>
      <c r="V42" s="3"/>
    </row>
    <row r="43" spans="1:22" s="19" customFormat="1" x14ac:dyDescent="0.3">
      <c r="A43" s="3"/>
      <c r="B43" s="3" t="str">
        <f t="shared" si="19"/>
        <v>Endeavour</v>
      </c>
      <c r="C43" s="3" t="str">
        <f t="shared" si="19"/>
        <v>Residential</v>
      </c>
      <c r="D43" s="3" t="str">
        <f t="shared" si="19"/>
        <v>without CL</v>
      </c>
      <c r="E43" s="3"/>
      <c r="F43" s="228"/>
      <c r="G43" s="3"/>
      <c r="H43" s="224"/>
      <c r="I43" s="224"/>
      <c r="J43" s="224"/>
      <c r="K43" s="246"/>
      <c r="L43" s="224"/>
      <c r="M43" s="256"/>
      <c r="N43" s="224"/>
      <c r="O43" s="224"/>
      <c r="P43" s="224"/>
      <c r="Q43" s="224"/>
      <c r="R43" s="246"/>
      <c r="S43" s="104"/>
      <c r="T43" s="104"/>
      <c r="U43" s="3"/>
      <c r="V43" s="3"/>
    </row>
    <row r="44" spans="1:22" s="19" customFormat="1" x14ac:dyDescent="0.3">
      <c r="A44" s="3"/>
      <c r="B44" s="5" t="s">
        <v>4</v>
      </c>
      <c r="C44" s="5" t="s">
        <v>6</v>
      </c>
      <c r="D44" s="5" t="s">
        <v>137</v>
      </c>
      <c r="E44" s="3"/>
      <c r="F44" s="228"/>
      <c r="G44" s="3"/>
      <c r="H44" s="224"/>
      <c r="I44" s="224"/>
      <c r="J44" s="224"/>
      <c r="K44" s="246"/>
      <c r="L44" s="224"/>
      <c r="M44" s="256"/>
      <c r="N44" s="224"/>
      <c r="O44" s="224"/>
      <c r="P44" s="224"/>
      <c r="Q44" s="224"/>
      <c r="R44" s="246"/>
      <c r="S44" s="104"/>
      <c r="T44" s="104"/>
      <c r="U44" s="3"/>
      <c r="V44" s="3"/>
    </row>
    <row r="45" spans="1:22" outlineLevel="1" x14ac:dyDescent="0.3">
      <c r="B45" s="3" t="str">
        <f t="shared" ref="B45:D45" si="20">B44</f>
        <v>Endeavour</v>
      </c>
      <c r="C45" s="3" t="str">
        <f t="shared" si="20"/>
        <v>Residential</v>
      </c>
      <c r="D45" s="3" t="str">
        <f t="shared" si="20"/>
        <v>with CL</v>
      </c>
      <c r="E45" s="3" t="s">
        <v>21</v>
      </c>
      <c r="F45" s="228">
        <f t="array" ref="F45">IFERROR(INDEX(Usage!$B$5:$P$18,MATCH($B45,Usage!$B$5:$B$18,0),MATCH($C45&amp;$D45&amp;$E45&amp;"Total",Usage!$B$5:$S$5&amp;Usage!$B$6:$S$6&amp;Usage!$B$7:$S$7&amp;Usage!$B$13:$S$13,0)),0)</f>
        <v>5200</v>
      </c>
      <c r="G45" s="3" t="s">
        <v>190</v>
      </c>
      <c r="H45" s="224" t="str" cm="1">
        <f t="array" ref="H45">IFERROR(INDEX('Detail inputs'!$B$3:$K$193,MATCH($B45&amp;$G45&amp;H$5&amp;$C45,'Detail inputs'!$B$3:$B$193&amp;'Detail inputs'!$G$3:$G$193&amp;'Detail inputs'!$H$3:$H$193&amp;'Detail inputs'!$D$3:$D$193,0),MATCH(H$4,'Detail inputs'!$B$3:$K$3,0)),0)</f>
        <v>NA</v>
      </c>
      <c r="I45" s="224"/>
      <c r="J45" s="224"/>
      <c r="K45" s="246"/>
      <c r="L45" s="225"/>
      <c r="M45" s="256"/>
      <c r="N45" s="225"/>
      <c r="O45" s="224" cm="1">
        <f t="array" ref="O45">IFERROR(INDEX('Detail inputs'!$B$3:$K$193,MATCH($B45&amp;$G45&amp;O$5&amp;$C45,'Detail inputs'!$B$3:$B$193&amp;'Detail inputs'!$G$3:$G$193&amp;'Detail inputs'!$H$3:$H$193&amp;'Detail inputs'!$D$3:$D$193,0),MATCH(O$4,'Detail inputs'!$B$3:$K$3,0)),0)</f>
        <v>132</v>
      </c>
      <c r="P45" s="224"/>
      <c r="Q45" s="224">
        <f>IF(AND(O45="",P45=""),"",O45+P45*$F45/1000)</f>
        <v>132</v>
      </c>
      <c r="R45" s="246">
        <f>IFERROR(Q45/Q48,"")</f>
        <v>0.73695718001148292</v>
      </c>
      <c r="S45" s="104"/>
      <c r="T45" s="104"/>
    </row>
    <row r="46" spans="1:22" outlineLevel="1" x14ac:dyDescent="0.3">
      <c r="B46" s="3" t="str">
        <f t="shared" ref="B46:D46" si="21">B45</f>
        <v>Endeavour</v>
      </c>
      <c r="C46" s="3" t="str">
        <f t="shared" si="21"/>
        <v>Residential</v>
      </c>
      <c r="D46" s="3" t="str">
        <f t="shared" si="21"/>
        <v>with CL</v>
      </c>
      <c r="E46" s="3" t="s">
        <v>21</v>
      </c>
      <c r="F46" s="228">
        <f t="array" ref="F46">IFERROR(INDEX(Usage!$B$5:$P$18,MATCH($B46,Usage!$B$5:$B$18,0),MATCH($C46&amp;$D46&amp;$E46&amp;"Total",Usage!$B$5:$S$5&amp;Usage!$B$6:$S$6&amp;Usage!$B$7:$S$7&amp;Usage!$B$13:$S$13,0)),0)</f>
        <v>5200</v>
      </c>
      <c r="G46" s="3" t="s">
        <v>191</v>
      </c>
      <c r="H46" s="224" t="str" cm="1">
        <f t="array" ref="H46">IFERROR(INDEX('Detail inputs'!$B$3:$K$193,MATCH($B46&amp;$G46&amp;H$5&amp;$C46,'Detail inputs'!$B$3:$B$193&amp;'Detail inputs'!$G$3:$G$193&amp;'Detail inputs'!$H$3:$H$193&amp;'Detail inputs'!$D$3:$D$193,0),MATCH(H$4,'Detail inputs'!$B$3:$K$3,0)),0)</f>
        <v>NA</v>
      </c>
      <c r="I46" s="224"/>
      <c r="J46" s="224"/>
      <c r="K46" s="246"/>
      <c r="L46" s="225"/>
      <c r="M46" s="256"/>
      <c r="N46" s="225"/>
      <c r="O46" s="224" cm="1">
        <f t="array" ref="O46">IFERROR(INDEX('Detail inputs'!$B$3:$K$193,MATCH($B46&amp;$G46&amp;O$5,'Detail inputs'!$B$3:$B$193&amp;'Detail inputs'!$G$3:$G$193&amp;'Detail inputs'!$H$3:$H$193,0),MATCH(O$4,'Detail inputs'!$B$3:$K$3,0)),0)</f>
        <v>21.4</v>
      </c>
      <c r="P46" s="224"/>
      <c r="Q46" s="224">
        <f>IF(AND(O46="",P46=""),"",O46+P46*$F46/1000)</f>
        <v>21.4</v>
      </c>
      <c r="R46" s="246">
        <f>IFERROR(Q46/Q48,"")</f>
        <v>0.11947639130489192</v>
      </c>
      <c r="S46" s="104"/>
      <c r="T46" s="104"/>
      <c r="U46" s="97"/>
      <c r="V46" s="97"/>
    </row>
    <row r="47" spans="1:22" outlineLevel="1" x14ac:dyDescent="0.3">
      <c r="B47" s="3" t="str">
        <f t="shared" ref="B47:D47" si="22">B46</f>
        <v>Endeavour</v>
      </c>
      <c r="C47" s="3" t="str">
        <f t="shared" si="22"/>
        <v>Residential</v>
      </c>
      <c r="D47" s="3" t="str">
        <f t="shared" si="22"/>
        <v>with CL</v>
      </c>
      <c r="E47" s="3" t="s">
        <v>21</v>
      </c>
      <c r="F47" s="228">
        <f t="array" ref="F47">IFERROR(INDEX(Usage!$B$5:$P$18,MATCH($B47,Usage!$B$5:$B$18,0),MATCH($C47&amp;$D47&amp;$E47&amp;"Total",Usage!$B$5:$S$5&amp;Usage!$B$6:$S$6&amp;Usage!$B$7:$S$7&amp;Usage!$B$13:$S$13,0)),0)</f>
        <v>5200</v>
      </c>
      <c r="G47" s="3" t="s">
        <v>192</v>
      </c>
      <c r="H47" s="224" t="str" cm="1">
        <f t="array" ref="H47">IFERROR(INDEX('Detail inputs'!$B$3:$K$193,MATCH($B47&amp;$G47&amp;H$5,'Detail inputs'!$B$3:$B$193&amp;'Detail inputs'!$G$3:$G$193&amp;'Detail inputs'!$H$3:$H$193,0),MATCH(H$4,'Detail inputs'!$B$3:$K$3,0)),0)</f>
        <v>NA</v>
      </c>
      <c r="I47" s="224"/>
      <c r="J47" s="224"/>
      <c r="K47" s="246"/>
      <c r="L47" s="225"/>
      <c r="M47" s="256"/>
      <c r="N47" s="225"/>
      <c r="O47" s="224" cm="1">
        <f t="array" ref="O47">IFERROR(INDEX('Detail inputs'!$B$3:$K$193,MATCH($B47&amp;$G47&amp;O$5,'Detail inputs'!$B$3:$B$193&amp;'Detail inputs'!$G$3:$G$193&amp;'Detail inputs'!$H$3:$H$193,0),MATCH(O$4,'Detail inputs'!$B$3:$K$3,0)),0)</f>
        <v>25.714884256834605</v>
      </c>
      <c r="P47" s="224"/>
      <c r="Q47" s="224">
        <f>IF(AND(O47="",P47=""),"",O47+P47*$F47/1000)</f>
        <v>25.714884256834605</v>
      </c>
      <c r="R47" s="246">
        <f>IFERROR(Q47/Q48,"")</f>
        <v>0.14356642868362507</v>
      </c>
      <c r="S47" s="104"/>
      <c r="T47" s="104"/>
    </row>
    <row r="48" spans="1:22" s="65" customFormat="1" x14ac:dyDescent="0.3">
      <c r="A48" s="60"/>
      <c r="B48" s="3" t="str">
        <f t="shared" ref="B48:D48" si="23">B47</f>
        <v>Endeavour</v>
      </c>
      <c r="C48" s="3" t="str">
        <f t="shared" si="23"/>
        <v>Residential</v>
      </c>
      <c r="D48" s="3" t="str">
        <f t="shared" si="23"/>
        <v>with CL</v>
      </c>
      <c r="E48" s="3" t="s">
        <v>21</v>
      </c>
      <c r="F48" s="228">
        <f t="array" ref="F48">IFERROR(INDEX(Usage!$B$5:$P$18,MATCH($B48,Usage!$B$5:$B$18,0),MATCH($C48&amp;$D48&amp;$E48&amp;"Total",Usage!$B$5:$S$5&amp;Usage!$B$6:$S$6&amp;Usage!$B$7:$S$7&amp;Usage!$B$13:$S$13,0)),0)</f>
        <v>5200</v>
      </c>
      <c r="G48" s="60" t="s">
        <v>53</v>
      </c>
      <c r="H48" s="226"/>
      <c r="I48" s="226"/>
      <c r="J48" s="224"/>
      <c r="K48" s="247"/>
      <c r="L48" s="226"/>
      <c r="M48" s="257"/>
      <c r="N48" s="226"/>
      <c r="O48" s="226">
        <f>SUM(O45:O47)</f>
        <v>179.11488425683461</v>
      </c>
      <c r="P48" s="226"/>
      <c r="Q48" s="224">
        <f>IF(AND(O48="",P48=""),"",O48+P48*$F48/1000)</f>
        <v>179.11488425683461</v>
      </c>
      <c r="R48" s="247"/>
      <c r="S48" s="104"/>
      <c r="T48" s="104"/>
      <c r="U48" s="3"/>
      <c r="V48" s="97"/>
    </row>
    <row r="49" spans="1:22" s="65" customFormat="1" x14ac:dyDescent="0.3">
      <c r="A49" s="60"/>
      <c r="B49" s="3" t="str">
        <f t="shared" ref="B49:D49" si="24">B48</f>
        <v>Endeavour</v>
      </c>
      <c r="C49" s="3" t="str">
        <f t="shared" si="24"/>
        <v>Residential</v>
      </c>
      <c r="D49" s="3" t="str">
        <f t="shared" si="24"/>
        <v>with CL</v>
      </c>
      <c r="E49" s="3" t="s">
        <v>21</v>
      </c>
      <c r="F49" s="228">
        <f t="array" ref="F49">IFERROR(INDEX(Usage!$B$5:$P$18,MATCH($B49,Usage!$B$5:$B$18,0),MATCH($C49&amp;$D49&amp;$E49&amp;"Total",Usage!$B$5:$S$5&amp;Usage!$B$6:$S$6&amp;Usage!$B$7:$S$7&amp;Usage!$B$13:$S$13,0)),0)</f>
        <v>5200</v>
      </c>
      <c r="G49" s="60" t="s">
        <v>199</v>
      </c>
      <c r="H49" s="226"/>
      <c r="I49" s="226"/>
      <c r="J49" s="226"/>
      <c r="K49" s="247"/>
      <c r="L49" s="226"/>
      <c r="M49" s="257"/>
      <c r="N49" s="226"/>
      <c r="O49" s="226">
        <f>O48*CPI</f>
        <v>17.882382256991729</v>
      </c>
      <c r="P49" s="226"/>
      <c r="Q49" s="226">
        <f>Q48*CPI</f>
        <v>17.882382256991729</v>
      </c>
      <c r="R49" s="247"/>
      <c r="S49" s="104"/>
      <c r="T49" s="104"/>
      <c r="U49" s="3"/>
      <c r="V49" s="3"/>
    </row>
    <row r="50" spans="1:22" s="19" customFormat="1" outlineLevel="1" x14ac:dyDescent="0.3">
      <c r="A50" s="3"/>
      <c r="B50" s="3" t="str">
        <f t="shared" ref="B50:D50" si="25">B49</f>
        <v>Endeavour</v>
      </c>
      <c r="C50" s="3" t="str">
        <f t="shared" si="25"/>
        <v>Residential</v>
      </c>
      <c r="D50" s="3" t="str">
        <f t="shared" si="25"/>
        <v>with CL</v>
      </c>
      <c r="E50" s="3"/>
      <c r="F50" s="228"/>
      <c r="G50" s="60" t="s">
        <v>35</v>
      </c>
      <c r="H50" s="226"/>
      <c r="I50" s="226"/>
      <c r="J50" s="226"/>
      <c r="K50" s="247"/>
      <c r="L50" s="226"/>
      <c r="M50" s="257"/>
      <c r="N50" s="226"/>
      <c r="O50" s="226"/>
      <c r="P50" s="226"/>
      <c r="Q50" s="226">
        <f>SUM(Q48,Q49)*GST</f>
        <v>19.699726651382633</v>
      </c>
      <c r="R50" s="248"/>
      <c r="S50" s="104"/>
      <c r="T50" s="104"/>
      <c r="U50" s="3"/>
      <c r="V50" s="3"/>
    </row>
    <row r="51" spans="1:22" s="19" customFormat="1" x14ac:dyDescent="0.3">
      <c r="A51" s="3"/>
      <c r="B51" s="3" t="str">
        <f t="shared" ref="B51:D51" si="26">B50</f>
        <v>Endeavour</v>
      </c>
      <c r="C51" s="3" t="str">
        <f t="shared" si="26"/>
        <v>Residential</v>
      </c>
      <c r="D51" s="3" t="str">
        <f t="shared" si="26"/>
        <v>with CL</v>
      </c>
      <c r="E51" s="3"/>
      <c r="F51" s="228"/>
      <c r="G51" s="5" t="s">
        <v>77</v>
      </c>
      <c r="H51" s="227"/>
      <c r="I51" s="227"/>
      <c r="J51" s="227"/>
      <c r="K51" s="248"/>
      <c r="L51" s="227"/>
      <c r="M51" s="258"/>
      <c r="N51" s="227"/>
      <c r="O51" s="227"/>
      <c r="P51" s="227"/>
      <c r="Q51" s="227">
        <f>SUM(Q48:Q50)</f>
        <v>216.69699316520897</v>
      </c>
      <c r="R51" s="248"/>
      <c r="S51" s="104"/>
      <c r="T51" s="104"/>
      <c r="U51" s="3"/>
      <c r="V51" s="3"/>
    </row>
    <row r="52" spans="1:22" s="19" customFormat="1" x14ac:dyDescent="0.35">
      <c r="A52" s="3"/>
      <c r="B52" s="3" t="str">
        <f t="shared" ref="B52:D52" si="27">B51</f>
        <v>Endeavour</v>
      </c>
      <c r="C52" s="3" t="str">
        <f t="shared" si="27"/>
        <v>Residential</v>
      </c>
      <c r="D52" s="3" t="str">
        <f t="shared" si="27"/>
        <v>with CL</v>
      </c>
      <c r="E52" s="3"/>
      <c r="F52" s="228"/>
      <c r="G52" s="3"/>
      <c r="H52" s="224"/>
      <c r="I52" s="224"/>
      <c r="J52" s="224"/>
      <c r="K52" s="246"/>
      <c r="L52" s="224"/>
      <c r="M52" s="256"/>
      <c r="N52" s="224"/>
      <c r="O52" s="224"/>
      <c r="P52" s="224"/>
      <c r="Q52" s="224"/>
      <c r="R52" s="246"/>
      <c r="U52" s="3"/>
      <c r="V52" s="3"/>
    </row>
    <row r="53" spans="1:22" s="19" customFormat="1" x14ac:dyDescent="0.35">
      <c r="A53" s="3"/>
      <c r="B53" s="5" t="s">
        <v>4</v>
      </c>
      <c r="C53" s="5" t="s">
        <v>14</v>
      </c>
      <c r="D53" s="5" t="s">
        <v>136</v>
      </c>
      <c r="E53" s="3"/>
      <c r="F53" s="228"/>
      <c r="G53" s="3"/>
      <c r="H53" s="224"/>
      <c r="I53" s="224"/>
      <c r="J53" s="224"/>
      <c r="K53" s="246"/>
      <c r="L53" s="224"/>
      <c r="M53" s="256"/>
      <c r="N53" s="224"/>
      <c r="O53" s="224"/>
      <c r="P53" s="224"/>
      <c r="Q53" s="224"/>
      <c r="R53" s="246"/>
      <c r="U53" s="3"/>
      <c r="V53" s="3"/>
    </row>
    <row r="54" spans="1:22" outlineLevel="1" x14ac:dyDescent="0.3">
      <c r="B54" s="3" t="str">
        <f t="shared" ref="B54:D54" si="28">B53</f>
        <v>Endeavour</v>
      </c>
      <c r="C54" s="3" t="str">
        <f t="shared" si="28"/>
        <v>Small business</v>
      </c>
      <c r="D54" s="3" t="str">
        <f t="shared" si="28"/>
        <v>without CL</v>
      </c>
      <c r="E54" s="3" t="s">
        <v>21</v>
      </c>
      <c r="F54" s="228">
        <f t="array" ref="F54">IFERROR(INDEX(Usage!$B$5:$P$18,MATCH($B54,Usage!$B$5:$B$18,0),MATCH($C54&amp;$D54&amp;$E54&amp;"Total",Usage!$B$5:$S$5&amp;Usage!$B$6:$S$6&amp;Usage!$B$7:$S$7&amp;Usage!$B$13:$S$13,0)),0)</f>
        <v>10000</v>
      </c>
      <c r="G54" s="3" t="s">
        <v>190</v>
      </c>
      <c r="H54" s="224" t="str" cm="1">
        <f t="array" ref="H54">IFERROR(INDEX('Detail inputs'!$B$3:$K$193,MATCH($B54&amp;$G54&amp;H$5&amp;$C54,'Detail inputs'!$B$3:$B$193&amp;'Detail inputs'!$G$3:$G$193&amp;'Detail inputs'!$H$3:$H$193&amp;'Detail inputs'!$D$3:$D$193,0),MATCH(H$4,'Detail inputs'!$B$3:$K$3,0)),0)</f>
        <v>NA</v>
      </c>
      <c r="I54" s="224"/>
      <c r="J54" s="224"/>
      <c r="K54" s="246"/>
      <c r="L54" s="225"/>
      <c r="M54" s="256"/>
      <c r="N54" s="225"/>
      <c r="O54" s="224" cm="1">
        <f t="array" ref="O54">IFERROR(INDEX('Detail inputs'!$B$3:$K$193,MATCH($B54&amp;$G54&amp;O$5&amp;$C54,'Detail inputs'!$B$3:$B$193&amp;'Detail inputs'!$G$3:$G$193&amp;'Detail inputs'!$H$3:$H$193&amp;'Detail inputs'!$D$3:$D$193,0),MATCH(O$4,'Detail inputs'!$B$3:$K$3,0)),0)</f>
        <v>204</v>
      </c>
      <c r="P54" s="224"/>
      <c r="Q54" s="224">
        <f>IF(AND(O54="",P54=""),"",O54+P54*$F54/1000)</f>
        <v>204</v>
      </c>
      <c r="R54" s="246">
        <f>IFERROR(Q54/Q57,"")</f>
        <v>0.8339639700166781</v>
      </c>
      <c r="S54" s="104"/>
      <c r="T54" s="104"/>
    </row>
    <row r="55" spans="1:22" outlineLevel="1" x14ac:dyDescent="0.3">
      <c r="B55" s="3" t="str">
        <f t="shared" ref="B55:D55" si="29">B54</f>
        <v>Endeavour</v>
      </c>
      <c r="C55" s="3" t="str">
        <f t="shared" si="29"/>
        <v>Small business</v>
      </c>
      <c r="D55" s="3" t="str">
        <f t="shared" si="29"/>
        <v>without CL</v>
      </c>
      <c r="E55" s="3" t="s">
        <v>21</v>
      </c>
      <c r="F55" s="228">
        <f t="array" ref="F55">IFERROR(INDEX(Usage!$B$5:$P$18,MATCH($B55,Usage!$B$5:$B$18,0),MATCH($C55&amp;$D55&amp;$E55&amp;"Total",Usage!$B$5:$S$5&amp;Usage!$B$6:$S$6&amp;Usage!$B$7:$S$7&amp;Usage!$B$13:$S$13,0)),0)</f>
        <v>10000</v>
      </c>
      <c r="G55" s="3" t="s">
        <v>191</v>
      </c>
      <c r="H55" s="224" t="str" cm="1">
        <f t="array" ref="H55">IFERROR(INDEX('Detail inputs'!$B$3:$K$193,MATCH($B55&amp;$G55&amp;H$5&amp;$C55,'Detail inputs'!$B$3:$B$193&amp;'Detail inputs'!$G$3:$G$193&amp;'Detail inputs'!$H$3:$H$193&amp;'Detail inputs'!$D$3:$D$193,0),MATCH(H$4,'Detail inputs'!$B$3:$K$3,0)),0)</f>
        <v>NA</v>
      </c>
      <c r="I55" s="224"/>
      <c r="J55" s="224"/>
      <c r="K55" s="246"/>
      <c r="L55" s="225"/>
      <c r="M55" s="256"/>
      <c r="N55" s="225"/>
      <c r="O55" s="224" cm="1">
        <f t="array" ref="O55">IFERROR(INDEX('Detail inputs'!$B$3:$K$193,MATCH($B55&amp;$G55&amp;O$5&amp;$C55,'Detail inputs'!$B$3:$B$193&amp;'Detail inputs'!$G$3:$G$193&amp;'Detail inputs'!$H$3:$H$193&amp;'Detail inputs'!$D$3:$D$193,0),MATCH(O$4,'Detail inputs'!$B$3:$K$3,0)),0)</f>
        <v>14.9</v>
      </c>
      <c r="P55" s="224"/>
      <c r="Q55" s="224">
        <f>IF(AND(O55="",P55=""),"",O55+P55*$F55/1000)</f>
        <v>14.9</v>
      </c>
      <c r="R55" s="246">
        <f>IFERROR(Q55/Q57,"")</f>
        <v>6.0912074280629919E-2</v>
      </c>
      <c r="S55" s="104"/>
      <c r="T55" s="104"/>
    </row>
    <row r="56" spans="1:22" outlineLevel="1" x14ac:dyDescent="0.3">
      <c r="B56" s="3" t="str">
        <f t="shared" ref="B56:D56" si="30">B55</f>
        <v>Endeavour</v>
      </c>
      <c r="C56" s="3" t="str">
        <f t="shared" si="30"/>
        <v>Small business</v>
      </c>
      <c r="D56" s="3" t="str">
        <f t="shared" si="30"/>
        <v>without CL</v>
      </c>
      <c r="E56" s="3" t="s">
        <v>21</v>
      </c>
      <c r="F56" s="228">
        <f t="array" ref="F56">IFERROR(INDEX(Usage!$B$5:$P$18,MATCH($B56,Usage!$B$5:$B$18,0),MATCH($C56&amp;$D56&amp;$E56&amp;"Total",Usage!$B$5:$S$5&amp;Usage!$B$6:$S$6&amp;Usage!$B$7:$S$7&amp;Usage!$B$13:$S$13,0)),0)</f>
        <v>10000</v>
      </c>
      <c r="G56" s="3" t="s">
        <v>192</v>
      </c>
      <c r="H56" s="224" t="str" cm="1">
        <f t="array" ref="H56">IFERROR(INDEX('Detail inputs'!$B$3:$K$193,MATCH($B56&amp;$G56&amp;H$5,'Detail inputs'!$B$3:$B$193&amp;'Detail inputs'!$G$3:$G$193&amp;'Detail inputs'!$H$3:$H$193,0),MATCH(H$4,'Detail inputs'!$B$3:$K$3,0)),0)</f>
        <v>NA</v>
      </c>
      <c r="I56" s="224"/>
      <c r="J56" s="224"/>
      <c r="K56" s="246"/>
      <c r="L56" s="225"/>
      <c r="M56" s="256"/>
      <c r="N56" s="225"/>
      <c r="O56" s="224" cm="1">
        <f t="array" ref="O56">IFERROR(INDEX('Detail inputs'!$B$3:$K$193,MATCH($B56&amp;$G56&amp;O$5,'Detail inputs'!$B$3:$B$193&amp;'Detail inputs'!$G$3:$G$193&amp;'Detail inputs'!$H$3:$H$193,0),MATCH(O$4,'Detail inputs'!$B$3:$K$3,0)),0)</f>
        <v>25.714884256834605</v>
      </c>
      <c r="P56" s="224"/>
      <c r="Q56" s="224">
        <f>IF(AND(O56="",P56=""),"",O56+P56*$F56/1000)</f>
        <v>25.714884256834605</v>
      </c>
      <c r="R56" s="246">
        <f>IFERROR(Q56/Q57,"")</f>
        <v>0.10512395570269197</v>
      </c>
      <c r="S56" s="104"/>
      <c r="T56" s="104"/>
    </row>
    <row r="57" spans="1:22" s="65" customFormat="1" x14ac:dyDescent="0.3">
      <c r="A57" s="60"/>
      <c r="B57" s="3" t="str">
        <f t="shared" ref="B57:D57" si="31">B56</f>
        <v>Endeavour</v>
      </c>
      <c r="C57" s="3" t="str">
        <f t="shared" si="31"/>
        <v>Small business</v>
      </c>
      <c r="D57" s="3" t="str">
        <f t="shared" si="31"/>
        <v>without CL</v>
      </c>
      <c r="E57" s="3" t="s">
        <v>21</v>
      </c>
      <c r="F57" s="228">
        <f t="array" ref="F57">IFERROR(INDEX(Usage!$B$5:$P$18,MATCH($B57,Usage!$B$5:$B$18,0),MATCH($C57&amp;$D57&amp;$E57&amp;"Total",Usage!$B$5:$S$5&amp;Usage!$B$6:$S$6&amp;Usage!$B$7:$S$7&amp;Usage!$B$13:$S$13,0)),0)</f>
        <v>10000</v>
      </c>
      <c r="G57" s="60" t="s">
        <v>53</v>
      </c>
      <c r="H57" s="226"/>
      <c r="I57" s="226"/>
      <c r="J57" s="224"/>
      <c r="K57" s="247"/>
      <c r="L57" s="226"/>
      <c r="M57" s="257"/>
      <c r="N57" s="226"/>
      <c r="O57" s="226">
        <f>SUM(O54:O56)</f>
        <v>244.61488425683461</v>
      </c>
      <c r="P57" s="226"/>
      <c r="Q57" s="224">
        <f>IF(AND(O57="",P57=""),"",O57+P57*$F57/1000)</f>
        <v>244.61488425683461</v>
      </c>
      <c r="R57" s="247"/>
      <c r="S57" s="104"/>
      <c r="T57" s="104"/>
      <c r="U57" s="97"/>
      <c r="V57" s="97"/>
    </row>
    <row r="58" spans="1:22" s="65" customFormat="1" x14ac:dyDescent="0.3">
      <c r="A58" s="60"/>
      <c r="B58" s="3" t="str">
        <f t="shared" ref="B58:D58" si="32">B57</f>
        <v>Endeavour</v>
      </c>
      <c r="C58" s="3" t="str">
        <f t="shared" si="32"/>
        <v>Small business</v>
      </c>
      <c r="D58" s="3" t="str">
        <f t="shared" si="32"/>
        <v>without CL</v>
      </c>
      <c r="E58" s="3" t="s">
        <v>21</v>
      </c>
      <c r="F58" s="228">
        <f t="array" ref="F58">IFERROR(INDEX(Usage!$B$5:$P$18,MATCH($B58,Usage!$B$5:$B$18,0),MATCH($C58&amp;$D58&amp;$E58&amp;"Total",Usage!$B$5:$S$5&amp;Usage!$B$6:$S$6&amp;Usage!$B$7:$S$7&amp;Usage!$B$13:$S$13,0)),0)</f>
        <v>10000</v>
      </c>
      <c r="G58" s="60" t="s">
        <v>199</v>
      </c>
      <c r="H58" s="226"/>
      <c r="I58" s="226"/>
      <c r="J58" s="226"/>
      <c r="K58" s="247"/>
      <c r="L58" s="226"/>
      <c r="M58" s="257"/>
      <c r="N58" s="226"/>
      <c r="O58" s="226">
        <f>O57*CPI</f>
        <v>24.42173850699173</v>
      </c>
      <c r="P58" s="226"/>
      <c r="Q58" s="226">
        <f>Q57*CPI</f>
        <v>24.42173850699173</v>
      </c>
      <c r="R58" s="247"/>
      <c r="S58" s="104"/>
      <c r="T58" s="104"/>
      <c r="U58" s="3"/>
      <c r="V58" s="3"/>
    </row>
    <row r="59" spans="1:22" s="19" customFormat="1" outlineLevel="1" x14ac:dyDescent="0.3">
      <c r="A59" s="3"/>
      <c r="B59" s="3" t="str">
        <f t="shared" ref="B59:D59" si="33">B58</f>
        <v>Endeavour</v>
      </c>
      <c r="C59" s="3" t="str">
        <f t="shared" si="33"/>
        <v>Small business</v>
      </c>
      <c r="D59" s="3" t="str">
        <f t="shared" si="33"/>
        <v>without CL</v>
      </c>
      <c r="E59" s="3"/>
      <c r="F59" s="228"/>
      <c r="G59" s="60" t="s">
        <v>35</v>
      </c>
      <c r="H59" s="226"/>
      <c r="I59" s="226"/>
      <c r="J59" s="226"/>
      <c r="K59" s="247"/>
      <c r="L59" s="226"/>
      <c r="M59" s="257"/>
      <c r="N59" s="226"/>
      <c r="O59" s="226"/>
      <c r="P59" s="226"/>
      <c r="Q59" s="226">
        <f>SUM(Q57,Q58)*GST</f>
        <v>26.903662276382637</v>
      </c>
      <c r="R59" s="248"/>
      <c r="S59" s="104"/>
      <c r="T59" s="104"/>
      <c r="U59" s="3"/>
      <c r="V59" s="3"/>
    </row>
    <row r="60" spans="1:22" s="19" customFormat="1" x14ac:dyDescent="0.3">
      <c r="A60" s="3"/>
      <c r="B60" s="3" t="str">
        <f t="shared" ref="B60:D60" si="34">B59</f>
        <v>Endeavour</v>
      </c>
      <c r="C60" s="3" t="str">
        <f t="shared" si="34"/>
        <v>Small business</v>
      </c>
      <c r="D60" s="3" t="str">
        <f t="shared" si="34"/>
        <v>without CL</v>
      </c>
      <c r="E60" s="3"/>
      <c r="F60" s="228"/>
      <c r="G60" s="5" t="s">
        <v>77</v>
      </c>
      <c r="H60" s="227"/>
      <c r="I60" s="227"/>
      <c r="J60" s="227"/>
      <c r="K60" s="248"/>
      <c r="L60" s="227"/>
      <c r="M60" s="258"/>
      <c r="N60" s="227"/>
      <c r="O60" s="227"/>
      <c r="P60" s="227"/>
      <c r="Q60" s="227">
        <f>SUM(Q57:Q59)</f>
        <v>295.94028504020901</v>
      </c>
      <c r="R60" s="248"/>
      <c r="S60" s="104"/>
      <c r="T60" s="104"/>
      <c r="U60" s="3"/>
      <c r="V60" s="3"/>
    </row>
    <row r="61" spans="1:22" s="19" customFormat="1" x14ac:dyDescent="0.35">
      <c r="A61" s="3"/>
      <c r="B61" s="3" t="str">
        <f t="shared" ref="B61:D61" si="35">B60</f>
        <v>Endeavour</v>
      </c>
      <c r="C61" s="3" t="str">
        <f t="shared" si="35"/>
        <v>Small business</v>
      </c>
      <c r="D61" s="3" t="str">
        <f t="shared" si="35"/>
        <v>without CL</v>
      </c>
      <c r="E61" s="3"/>
      <c r="F61" s="228"/>
      <c r="G61" s="3"/>
      <c r="H61" s="224"/>
      <c r="I61" s="224"/>
      <c r="J61" s="224"/>
      <c r="K61" s="246"/>
      <c r="L61" s="224"/>
      <c r="M61" s="256"/>
      <c r="N61" s="224"/>
      <c r="O61" s="224"/>
      <c r="P61" s="224"/>
      <c r="Q61" s="224"/>
      <c r="R61" s="246"/>
      <c r="U61" s="3"/>
      <c r="V61" s="3"/>
    </row>
    <row r="62" spans="1:22" x14ac:dyDescent="0.3">
      <c r="B62" s="5" t="s">
        <v>3</v>
      </c>
      <c r="C62" s="5" t="s">
        <v>6</v>
      </c>
      <c r="D62" s="5" t="s">
        <v>136</v>
      </c>
      <c r="F62" s="228"/>
      <c r="H62" s="224"/>
      <c r="I62" s="224"/>
      <c r="J62" s="224"/>
      <c r="K62" s="246"/>
      <c r="L62" s="225"/>
      <c r="M62" s="256"/>
      <c r="N62" s="225"/>
      <c r="O62" s="224"/>
      <c r="P62" s="224"/>
      <c r="Q62" s="224"/>
      <c r="R62" s="246"/>
      <c r="S62" s="104"/>
      <c r="T62" s="104"/>
    </row>
    <row r="63" spans="1:22" outlineLevel="1" x14ac:dyDescent="0.3">
      <c r="B63" s="3" t="str">
        <f t="shared" ref="B63:D63" si="36">B62</f>
        <v>Essential</v>
      </c>
      <c r="C63" s="3" t="str">
        <f t="shared" si="36"/>
        <v>Residential</v>
      </c>
      <c r="D63" s="3" t="str">
        <f t="shared" si="36"/>
        <v>without CL</v>
      </c>
      <c r="E63" s="3" t="s">
        <v>21</v>
      </c>
      <c r="F63" s="228">
        <f t="array" ref="F63">IFERROR(INDEX(Usage!$B$5:$P$18,MATCH($B63,Usage!$B$5:$B$18,0),MATCH($C63&amp;$D63&amp;$E63&amp;"Total",Usage!$B$5:$S$5&amp;Usage!$B$6:$S$6&amp;Usage!$B$7:$S$7&amp;Usage!$B$13:$S$13,0)),0)</f>
        <v>4600</v>
      </c>
      <c r="G63" s="3" t="s">
        <v>190</v>
      </c>
      <c r="H63" s="224" t="str" cm="1">
        <f t="array" ref="H63">IFERROR(INDEX('Detail inputs'!$B$3:$K$193,MATCH($B63&amp;$G63&amp;H$5&amp;$C63,'Detail inputs'!$B$3:$B$193&amp;'Detail inputs'!$G$3:$G$193&amp;'Detail inputs'!$H$3:$H$193&amp;'Detail inputs'!$D$3:$D$193,0),MATCH(H$4,'Detail inputs'!$B$3:$K$3,0)),0)</f>
        <v>NA</v>
      </c>
      <c r="I63" s="224"/>
      <c r="J63" s="224"/>
      <c r="K63" s="246"/>
      <c r="L63" s="225"/>
      <c r="M63" s="256"/>
      <c r="N63" s="225"/>
      <c r="O63" s="224" cm="1">
        <f t="array" ref="O63">IFERROR(INDEX('Detail inputs'!$B$3:$K$193,MATCH($B63&amp;$G63&amp;O$5&amp;$C63,'Detail inputs'!$B$3:$B$193&amp;'Detail inputs'!$G$3:$G$193&amp;'Detail inputs'!$H$3:$H$193&amp;'Detail inputs'!$D$3:$D$193,0),MATCH(O$4,'Detail inputs'!$B$3:$K$3,0)),0)</f>
        <v>132</v>
      </c>
      <c r="P63" s="224"/>
      <c r="Q63" s="224">
        <f>IF(AND(O63="",P63=""),"",O63+P63*$F63/1000)</f>
        <v>132</v>
      </c>
      <c r="R63" s="246">
        <f>IFERROR(Q63/Q66,"")</f>
        <v>0.75108871907243924</v>
      </c>
      <c r="S63" s="104"/>
      <c r="T63" s="104"/>
    </row>
    <row r="64" spans="1:22" outlineLevel="1" x14ac:dyDescent="0.3">
      <c r="B64" s="3" t="str">
        <f t="shared" ref="B64:D64" si="37">B63</f>
        <v>Essential</v>
      </c>
      <c r="C64" s="3" t="str">
        <f t="shared" si="37"/>
        <v>Residential</v>
      </c>
      <c r="D64" s="3" t="str">
        <f t="shared" si="37"/>
        <v>without CL</v>
      </c>
      <c r="E64" s="3" t="s">
        <v>21</v>
      </c>
      <c r="F64" s="228">
        <f t="array" ref="F64">IFERROR(INDEX(Usage!$B$5:$P$18,MATCH($B64,Usage!$B$5:$B$18,0),MATCH($C64&amp;$D64&amp;$E64&amp;"Total",Usage!$B$5:$S$5&amp;Usage!$B$6:$S$6&amp;Usage!$B$7:$S$7&amp;Usage!$B$13:$S$13,0)),0)</f>
        <v>4600</v>
      </c>
      <c r="G64" s="3" t="s">
        <v>191</v>
      </c>
      <c r="H64" s="224" t="str" cm="1">
        <f t="array" ref="H64">IFERROR(INDEX('Detail inputs'!$B$3:$K$193,MATCH($B64&amp;$G64&amp;H$5,'Detail inputs'!$B$3:$B$193&amp;'Detail inputs'!$G$3:$G$193&amp;'Detail inputs'!$H$3:$H$193,0),MATCH(H$4,'Detail inputs'!$B$3:$K$3,0)),0)</f>
        <v>NA</v>
      </c>
      <c r="I64" s="224"/>
      <c r="J64" s="224"/>
      <c r="K64" s="246"/>
      <c r="L64" s="225"/>
      <c r="M64" s="256"/>
      <c r="N64" s="225"/>
      <c r="O64" s="224" cm="1">
        <f t="array" ref="O64">IFERROR(INDEX('Detail inputs'!$B$3:$K$193,MATCH($B64&amp;$G64&amp;O$5,'Detail inputs'!$B$3:$B$193&amp;'Detail inputs'!$G$3:$G$193&amp;'Detail inputs'!$H$3:$H$193,0),MATCH(O$4,'Detail inputs'!$B$3:$K$3,0)),0)</f>
        <v>18.03</v>
      </c>
      <c r="P64" s="224"/>
      <c r="Q64" s="224">
        <f>IF(AND(O64="",P64=""),"",O64+P64*$F64/1000)</f>
        <v>18.03</v>
      </c>
      <c r="R64" s="246">
        <f>IFERROR(Q64/Q66,"")</f>
        <v>0.10259189094603091</v>
      </c>
      <c r="S64" s="104"/>
      <c r="T64" s="104"/>
    </row>
    <row r="65" spans="1:22" outlineLevel="1" x14ac:dyDescent="0.3">
      <c r="B65" s="3" t="str">
        <f t="shared" ref="B65:D65" si="38">B64</f>
        <v>Essential</v>
      </c>
      <c r="C65" s="3" t="str">
        <f t="shared" si="38"/>
        <v>Residential</v>
      </c>
      <c r="D65" s="3" t="str">
        <f t="shared" si="38"/>
        <v>without CL</v>
      </c>
      <c r="E65" s="3" t="s">
        <v>21</v>
      </c>
      <c r="F65" s="228">
        <f t="array" ref="F65">IFERROR(INDEX(Usage!$B$5:$P$18,MATCH($B65,Usage!$B$5:$B$18,0),MATCH($C65&amp;$D65&amp;$E65&amp;"Total",Usage!$B$5:$S$5&amp;Usage!$B$6:$S$6&amp;Usage!$B$7:$S$7&amp;Usage!$B$13:$S$13,0)),0)</f>
        <v>4600</v>
      </c>
      <c r="G65" s="3" t="s">
        <v>192</v>
      </c>
      <c r="H65" s="224" t="str" cm="1">
        <f t="array" ref="H65">IFERROR(INDEX('Detail inputs'!$B$3:$K$193,MATCH($B65&amp;$G65&amp;H$5,'Detail inputs'!$B$3:$B$193&amp;'Detail inputs'!$G$3:$G$193&amp;'Detail inputs'!$H$3:$H$193,0),MATCH(H$4,'Detail inputs'!$B$3:$K$3,0)),0)</f>
        <v>NA</v>
      </c>
      <c r="I65" s="224"/>
      <c r="J65" s="224"/>
      <c r="K65" s="246"/>
      <c r="L65" s="225"/>
      <c r="M65" s="256"/>
      <c r="N65" s="225"/>
      <c r="O65" s="224" cm="1">
        <f t="array" ref="O65">IFERROR(INDEX('Detail inputs'!$B$3:$K$193,MATCH($B65&amp;$G65&amp;O$5,'Detail inputs'!$B$3:$B$193&amp;'Detail inputs'!$G$3:$G$193&amp;'Detail inputs'!$H$3:$H$193,0),MATCH(O$4,'Detail inputs'!$B$3:$K$3,0)),0)</f>
        <v>25.714884256834605</v>
      </c>
      <c r="P65" s="224"/>
      <c r="Q65" s="224">
        <f>IF(AND(O65="",P65=""),"",O65+P65*$F65/1000)</f>
        <v>25.714884256834605</v>
      </c>
      <c r="R65" s="246">
        <f>IFERROR(Q65/Q66,"")</f>
        <v>0.14631938998152982</v>
      </c>
      <c r="S65" s="104"/>
      <c r="T65" s="104"/>
    </row>
    <row r="66" spans="1:22" s="65" customFormat="1" x14ac:dyDescent="0.3">
      <c r="A66" s="60"/>
      <c r="B66" s="3" t="str">
        <f t="shared" ref="B66:D66" si="39">B65</f>
        <v>Essential</v>
      </c>
      <c r="C66" s="3" t="str">
        <f t="shared" si="39"/>
        <v>Residential</v>
      </c>
      <c r="D66" s="3" t="str">
        <f t="shared" si="39"/>
        <v>without CL</v>
      </c>
      <c r="E66" s="3" t="s">
        <v>21</v>
      </c>
      <c r="F66" s="228">
        <f t="array" ref="F66">IFERROR(INDEX(Usage!$B$5:$P$18,MATCH($B66,Usage!$B$5:$B$18,0),MATCH($C66&amp;$D66&amp;$E66&amp;"Total",Usage!$B$5:$S$5&amp;Usage!$B$6:$S$6&amp;Usage!$B$7:$S$7&amp;Usage!$B$13:$S$13,0)),0)</f>
        <v>4600</v>
      </c>
      <c r="G66" s="60" t="s">
        <v>53</v>
      </c>
      <c r="H66" s="226"/>
      <c r="I66" s="226"/>
      <c r="J66" s="224"/>
      <c r="K66" s="247"/>
      <c r="L66" s="226"/>
      <c r="M66" s="257"/>
      <c r="N66" s="226"/>
      <c r="O66" s="226">
        <f>SUM(O63:O65)</f>
        <v>175.74488425683461</v>
      </c>
      <c r="P66" s="226"/>
      <c r="Q66" s="224">
        <f>IF(AND(O66="",P66=""),"",O66+P66*$F66/1000)</f>
        <v>175.74488425683461</v>
      </c>
      <c r="R66" s="247"/>
      <c r="S66" s="104"/>
      <c r="T66" s="104"/>
      <c r="U66" s="3"/>
      <c r="V66" s="97"/>
    </row>
    <row r="67" spans="1:22" s="65" customFormat="1" x14ac:dyDescent="0.3">
      <c r="A67" s="60"/>
      <c r="B67" s="3" t="str">
        <f t="shared" ref="B67:D67" si="40">B66</f>
        <v>Essential</v>
      </c>
      <c r="C67" s="3" t="str">
        <f t="shared" si="40"/>
        <v>Residential</v>
      </c>
      <c r="D67" s="3" t="str">
        <f t="shared" si="40"/>
        <v>without CL</v>
      </c>
      <c r="E67" s="3" t="s">
        <v>21</v>
      </c>
      <c r="F67" s="228">
        <f t="array" ref="F67">IFERROR(INDEX(Usage!$B$5:$P$18,MATCH($B67,Usage!$B$5:$B$18,0),MATCH($C67&amp;$D67&amp;$E67&amp;"Total",Usage!$B$5:$S$5&amp;Usage!$B$6:$S$6&amp;Usage!$B$7:$S$7&amp;Usage!$B$13:$S$13,0)),0)</f>
        <v>4600</v>
      </c>
      <c r="G67" s="60" t="s">
        <v>199</v>
      </c>
      <c r="H67" s="226"/>
      <c r="I67" s="226"/>
      <c r="J67" s="226"/>
      <c r="K67" s="247"/>
      <c r="L67" s="226"/>
      <c r="M67" s="257"/>
      <c r="N67" s="226"/>
      <c r="O67" s="226">
        <f>O66*CPI</f>
        <v>17.545929881991729</v>
      </c>
      <c r="P67" s="226"/>
      <c r="Q67" s="226">
        <f>Q66*CPI</f>
        <v>17.545929881991729</v>
      </c>
      <c r="R67" s="247"/>
      <c r="S67" s="104"/>
      <c r="T67" s="104"/>
      <c r="U67" s="3"/>
      <c r="V67" s="3"/>
    </row>
    <row r="68" spans="1:22" s="19" customFormat="1" outlineLevel="1" x14ac:dyDescent="0.3">
      <c r="A68" s="3"/>
      <c r="B68" s="3" t="str">
        <f t="shared" ref="B68:D68" si="41">B67</f>
        <v>Essential</v>
      </c>
      <c r="C68" s="3" t="str">
        <f t="shared" si="41"/>
        <v>Residential</v>
      </c>
      <c r="D68" s="3" t="str">
        <f t="shared" si="41"/>
        <v>without CL</v>
      </c>
      <c r="E68" s="3"/>
      <c r="F68" s="228"/>
      <c r="G68" s="60" t="s">
        <v>35</v>
      </c>
      <c r="H68" s="226"/>
      <c r="I68" s="226"/>
      <c r="J68" s="226"/>
      <c r="K68" s="247"/>
      <c r="L68" s="226"/>
      <c r="M68" s="257"/>
      <c r="N68" s="226"/>
      <c r="O68" s="226"/>
      <c r="P68" s="226"/>
      <c r="Q68" s="226">
        <f>SUM(Q66,Q67)*GST</f>
        <v>19.329081413882633</v>
      </c>
      <c r="R68" s="248"/>
      <c r="S68" s="104"/>
      <c r="T68" s="104"/>
      <c r="U68" s="3"/>
      <c r="V68" s="3"/>
    </row>
    <row r="69" spans="1:22" s="19" customFormat="1" x14ac:dyDescent="0.3">
      <c r="A69" s="3"/>
      <c r="B69" s="3" t="str">
        <f t="shared" ref="B69:D69" si="42">B68</f>
        <v>Essential</v>
      </c>
      <c r="C69" s="3" t="str">
        <f t="shared" si="42"/>
        <v>Residential</v>
      </c>
      <c r="D69" s="3" t="str">
        <f t="shared" si="42"/>
        <v>without CL</v>
      </c>
      <c r="E69" s="3"/>
      <c r="F69" s="228"/>
      <c r="G69" s="5" t="s">
        <v>77</v>
      </c>
      <c r="H69" s="227"/>
      <c r="I69" s="227"/>
      <c r="J69" s="227"/>
      <c r="K69" s="248"/>
      <c r="L69" s="227"/>
      <c r="M69" s="258"/>
      <c r="N69" s="227"/>
      <c r="O69" s="227"/>
      <c r="P69" s="227"/>
      <c r="Q69" s="227">
        <f>SUM(Q66:Q68)</f>
        <v>212.61989555270895</v>
      </c>
      <c r="R69" s="248"/>
      <c r="S69" s="104"/>
      <c r="T69" s="104"/>
      <c r="U69" s="97"/>
      <c r="V69" s="97"/>
    </row>
    <row r="70" spans="1:22" s="19" customFormat="1" x14ac:dyDescent="0.3">
      <c r="A70" s="3"/>
      <c r="B70" s="3" t="str">
        <f t="shared" ref="B70:D70" si="43">B69</f>
        <v>Essential</v>
      </c>
      <c r="C70" s="3" t="str">
        <f t="shared" si="43"/>
        <v>Residential</v>
      </c>
      <c r="D70" s="3" t="str">
        <f t="shared" si="43"/>
        <v>without CL</v>
      </c>
      <c r="E70" s="3"/>
      <c r="F70" s="228"/>
      <c r="G70" s="3"/>
      <c r="H70" s="224"/>
      <c r="I70" s="224"/>
      <c r="J70" s="224"/>
      <c r="K70" s="246"/>
      <c r="L70" s="224"/>
      <c r="M70" s="256"/>
      <c r="N70" s="224"/>
      <c r="O70" s="224"/>
      <c r="P70" s="224"/>
      <c r="Q70" s="224"/>
      <c r="R70" s="246"/>
      <c r="S70" s="104"/>
      <c r="T70" s="104"/>
      <c r="U70" s="3"/>
      <c r="V70" s="3"/>
    </row>
    <row r="71" spans="1:22" s="19" customFormat="1" x14ac:dyDescent="0.3">
      <c r="A71" s="3"/>
      <c r="B71" s="5" t="s">
        <v>3</v>
      </c>
      <c r="C71" s="5" t="s">
        <v>6</v>
      </c>
      <c r="D71" s="5" t="s">
        <v>137</v>
      </c>
      <c r="E71" s="3"/>
      <c r="F71" s="228"/>
      <c r="G71" s="3"/>
      <c r="H71" s="224"/>
      <c r="I71" s="224"/>
      <c r="J71" s="224"/>
      <c r="K71" s="246"/>
      <c r="L71" s="224"/>
      <c r="M71" s="256"/>
      <c r="N71" s="224"/>
      <c r="O71" s="224"/>
      <c r="P71" s="224"/>
      <c r="Q71" s="224"/>
      <c r="R71" s="246"/>
      <c r="S71" s="104"/>
      <c r="T71" s="104"/>
      <c r="U71" s="3"/>
      <c r="V71" s="3"/>
    </row>
    <row r="72" spans="1:22" outlineLevel="1" x14ac:dyDescent="0.3">
      <c r="B72" s="3" t="str">
        <f t="shared" ref="B72:D72" si="44">B71</f>
        <v>Essential</v>
      </c>
      <c r="C72" s="3" t="str">
        <f t="shared" si="44"/>
        <v>Residential</v>
      </c>
      <c r="D72" s="3" t="str">
        <f t="shared" si="44"/>
        <v>with CL</v>
      </c>
      <c r="E72" s="3" t="s">
        <v>21</v>
      </c>
      <c r="F72" s="228">
        <f t="array" ref="F72">IFERROR(INDEX(Usage!$B$5:$P$18,MATCH($B72,Usage!$B$5:$B$18,0),MATCH($C72&amp;$D72&amp;$E72&amp;"Total",Usage!$B$5:$S$5&amp;Usage!$B$6:$S$6&amp;Usage!$B$7:$S$7&amp;Usage!$B$13:$S$13,0)),0)</f>
        <v>4600</v>
      </c>
      <c r="G72" s="3" t="s">
        <v>190</v>
      </c>
      <c r="H72" s="224" t="str" cm="1">
        <f t="array" ref="H72">IFERROR(INDEX('Detail inputs'!$B$3:$K$193,MATCH($B72&amp;$G72&amp;H$5&amp;$C72,'Detail inputs'!$B$3:$B$193&amp;'Detail inputs'!$G$3:$G$193&amp;'Detail inputs'!$H$3:$H$193&amp;'Detail inputs'!$D$3:$D$193,0),MATCH(H$4,'Detail inputs'!$B$3:$K$3,0)),0)</f>
        <v>NA</v>
      </c>
      <c r="I72" s="224"/>
      <c r="J72" s="224"/>
      <c r="K72" s="246"/>
      <c r="L72" s="225"/>
      <c r="M72" s="256"/>
      <c r="N72" s="225"/>
      <c r="O72" s="224" cm="1">
        <f t="array" ref="O72">IFERROR(INDEX('Detail inputs'!$B$3:$K$193,MATCH($B72&amp;$G72&amp;O$5&amp;$C72,'Detail inputs'!$B$3:$B$193&amp;'Detail inputs'!$G$3:$G$193&amp;'Detail inputs'!$H$3:$H$193&amp;'Detail inputs'!$D$3:$D$193,0),MATCH(O$4,'Detail inputs'!$B$3:$K$3,0)),0)</f>
        <v>132</v>
      </c>
      <c r="P72" s="224"/>
      <c r="Q72" s="224">
        <f>IF(AND(O72="",P72=""),"",O72+P72*$F72/1000)</f>
        <v>132</v>
      </c>
      <c r="R72" s="246">
        <f>IFERROR(Q72/Q75,"")</f>
        <v>0.75108871907243924</v>
      </c>
      <c r="S72" s="104"/>
      <c r="T72" s="104"/>
    </row>
    <row r="73" spans="1:22" outlineLevel="1" x14ac:dyDescent="0.3">
      <c r="B73" s="3" t="str">
        <f t="shared" ref="B73:D73" si="45">B72</f>
        <v>Essential</v>
      </c>
      <c r="C73" s="3" t="str">
        <f t="shared" si="45"/>
        <v>Residential</v>
      </c>
      <c r="D73" s="3" t="str">
        <f t="shared" si="45"/>
        <v>with CL</v>
      </c>
      <c r="E73" s="3" t="s">
        <v>21</v>
      </c>
      <c r="F73" s="228">
        <f t="array" ref="F73">IFERROR(INDEX(Usage!$B$5:$P$18,MATCH($B73,Usage!$B$5:$B$18,0),MATCH($C73&amp;$D73&amp;$E73&amp;"Total",Usage!$B$5:$S$5&amp;Usage!$B$6:$S$6&amp;Usage!$B$7:$S$7&amp;Usage!$B$13:$S$13,0)),0)</f>
        <v>4600</v>
      </c>
      <c r="G73" s="3" t="s">
        <v>191</v>
      </c>
      <c r="H73" s="224" t="str" cm="1">
        <f t="array" ref="H73">IFERROR(INDEX('Detail inputs'!$B$3:$K$193,MATCH($B73&amp;$G73&amp;H$5,'Detail inputs'!$B$3:$B$193&amp;'Detail inputs'!$G$3:$G$193&amp;'Detail inputs'!$H$3:$H$193,0),MATCH(H$4,'Detail inputs'!$B$3:$K$3,0)),0)</f>
        <v>NA</v>
      </c>
      <c r="I73" s="224"/>
      <c r="J73" s="224"/>
      <c r="K73" s="246"/>
      <c r="L73" s="225"/>
      <c r="M73" s="256"/>
      <c r="N73" s="225"/>
      <c r="O73" s="224" cm="1">
        <f t="array" ref="O73">IFERROR(INDEX('Detail inputs'!$B$3:$K$193,MATCH($B73&amp;$G73&amp;O$5,'Detail inputs'!$B$3:$B$193&amp;'Detail inputs'!$G$3:$G$193&amp;'Detail inputs'!$H$3:$H$193,0),MATCH(O$4,'Detail inputs'!$B$3:$K$3,0)),0)</f>
        <v>18.03</v>
      </c>
      <c r="P73" s="224"/>
      <c r="Q73" s="224">
        <f>IF(AND(O73="",P73=""),"",O73+P73*$F73/1000)</f>
        <v>18.03</v>
      </c>
      <c r="R73" s="246">
        <f>IFERROR(Q73/Q75,"")</f>
        <v>0.10259189094603091</v>
      </c>
      <c r="S73" s="104"/>
      <c r="T73" s="104"/>
    </row>
    <row r="74" spans="1:22" outlineLevel="1" x14ac:dyDescent="0.3">
      <c r="B74" s="3" t="str">
        <f t="shared" ref="B74:D74" si="46">B73</f>
        <v>Essential</v>
      </c>
      <c r="C74" s="3" t="str">
        <f t="shared" si="46"/>
        <v>Residential</v>
      </c>
      <c r="D74" s="3" t="str">
        <f t="shared" si="46"/>
        <v>with CL</v>
      </c>
      <c r="E74" s="3" t="s">
        <v>21</v>
      </c>
      <c r="F74" s="228">
        <f t="array" ref="F74">IFERROR(INDEX(Usage!$B$5:$P$18,MATCH($B74,Usage!$B$5:$B$18,0),MATCH($C74&amp;$D74&amp;$E74&amp;"Total",Usage!$B$5:$S$5&amp;Usage!$B$6:$S$6&amp;Usage!$B$7:$S$7&amp;Usage!$B$13:$S$13,0)),0)</f>
        <v>4600</v>
      </c>
      <c r="G74" s="3" t="s">
        <v>192</v>
      </c>
      <c r="H74" s="224" t="str" cm="1">
        <f t="array" ref="H74">IFERROR(INDEX('Detail inputs'!$B$3:$K$193,MATCH($B74&amp;$G74&amp;H$5,'Detail inputs'!$B$3:$B$193&amp;'Detail inputs'!$G$3:$G$193&amp;'Detail inputs'!$H$3:$H$193,0),MATCH(H$4,'Detail inputs'!$B$3:$K$3,0)),0)</f>
        <v>NA</v>
      </c>
      <c r="I74" s="224"/>
      <c r="J74" s="224"/>
      <c r="K74" s="246"/>
      <c r="L74" s="225"/>
      <c r="M74" s="256"/>
      <c r="N74" s="225"/>
      <c r="O74" s="224" cm="1">
        <f t="array" ref="O74">IFERROR(INDEX('Detail inputs'!$B$3:$K$193,MATCH($B74&amp;$G74&amp;O$5,'Detail inputs'!$B$3:$B$193&amp;'Detail inputs'!$G$3:$G$193&amp;'Detail inputs'!$H$3:$H$193,0),MATCH(O$4,'Detail inputs'!$B$3:$K$3,0)),0)</f>
        <v>25.714884256834605</v>
      </c>
      <c r="P74" s="224"/>
      <c r="Q74" s="224">
        <f>IF(AND(O74="",P74=""),"",O74+P74*$F74/1000)</f>
        <v>25.714884256834605</v>
      </c>
      <c r="R74" s="246">
        <f>IFERROR(Q74/Q75,"")</f>
        <v>0.14631938998152982</v>
      </c>
      <c r="S74" s="104"/>
      <c r="T74" s="104"/>
    </row>
    <row r="75" spans="1:22" s="65" customFormat="1" x14ac:dyDescent="0.3">
      <c r="A75" s="60"/>
      <c r="B75" s="3" t="str">
        <f t="shared" ref="B75:D75" si="47">B74</f>
        <v>Essential</v>
      </c>
      <c r="C75" s="3" t="str">
        <f t="shared" si="47"/>
        <v>Residential</v>
      </c>
      <c r="D75" s="3" t="str">
        <f t="shared" si="47"/>
        <v>with CL</v>
      </c>
      <c r="E75" s="3" t="s">
        <v>21</v>
      </c>
      <c r="F75" s="228">
        <f t="array" ref="F75">IFERROR(INDEX(Usage!$B$5:$P$18,MATCH($B75,Usage!$B$5:$B$18,0),MATCH($C75&amp;$D75&amp;$E75&amp;"Total",Usage!$B$5:$S$5&amp;Usage!$B$6:$S$6&amp;Usage!$B$7:$S$7&amp;Usage!$B$13:$S$13,0)),0)</f>
        <v>4600</v>
      </c>
      <c r="G75" s="60" t="s">
        <v>53</v>
      </c>
      <c r="H75" s="226"/>
      <c r="I75" s="226"/>
      <c r="J75" s="224"/>
      <c r="K75" s="247"/>
      <c r="L75" s="226"/>
      <c r="M75" s="257"/>
      <c r="N75" s="226"/>
      <c r="O75" s="226">
        <f>SUM(O72:O74)</f>
        <v>175.74488425683461</v>
      </c>
      <c r="P75" s="226"/>
      <c r="Q75" s="224">
        <f>IF(AND(O75="",P75=""),"",O75+P75*$F75/1000)</f>
        <v>175.74488425683461</v>
      </c>
      <c r="R75" s="247"/>
      <c r="S75" s="104"/>
      <c r="T75" s="104"/>
      <c r="U75" s="3"/>
      <c r="V75" s="97"/>
    </row>
    <row r="76" spans="1:22" s="65" customFormat="1" x14ac:dyDescent="0.3">
      <c r="A76" s="60"/>
      <c r="B76" s="3" t="str">
        <f t="shared" ref="B76:D76" si="48">B75</f>
        <v>Essential</v>
      </c>
      <c r="C76" s="3" t="str">
        <f t="shared" si="48"/>
        <v>Residential</v>
      </c>
      <c r="D76" s="3" t="str">
        <f t="shared" si="48"/>
        <v>with CL</v>
      </c>
      <c r="E76" s="3" t="s">
        <v>21</v>
      </c>
      <c r="F76" s="228">
        <f t="array" ref="F76">IFERROR(INDEX(Usage!$B$5:$P$18,MATCH($B76,Usage!$B$5:$B$18,0),MATCH($C76&amp;$D76&amp;$E76&amp;"Total",Usage!$B$5:$S$5&amp;Usage!$B$6:$S$6&amp;Usage!$B$7:$S$7&amp;Usage!$B$13:$S$13,0)),0)</f>
        <v>4600</v>
      </c>
      <c r="G76" s="60" t="s">
        <v>199</v>
      </c>
      <c r="H76" s="226"/>
      <c r="I76" s="226"/>
      <c r="J76" s="226"/>
      <c r="K76" s="247"/>
      <c r="L76" s="226"/>
      <c r="M76" s="257"/>
      <c r="N76" s="226"/>
      <c r="O76" s="226">
        <f>O75*CPI</f>
        <v>17.545929881991729</v>
      </c>
      <c r="P76" s="226"/>
      <c r="Q76" s="226">
        <f>Q75*CPI</f>
        <v>17.545929881991729</v>
      </c>
      <c r="R76" s="247"/>
      <c r="S76" s="104"/>
      <c r="T76" s="104"/>
      <c r="U76" s="97"/>
      <c r="V76" s="97"/>
    </row>
    <row r="77" spans="1:22" s="19" customFormat="1" outlineLevel="1" x14ac:dyDescent="0.3">
      <c r="A77" s="3"/>
      <c r="B77" s="3" t="str">
        <f t="shared" ref="B77:D77" si="49">B76</f>
        <v>Essential</v>
      </c>
      <c r="C77" s="3" t="str">
        <f t="shared" si="49"/>
        <v>Residential</v>
      </c>
      <c r="D77" s="3" t="str">
        <f t="shared" si="49"/>
        <v>with CL</v>
      </c>
      <c r="E77" s="3"/>
      <c r="F77" s="228"/>
      <c r="G77" s="60" t="s">
        <v>35</v>
      </c>
      <c r="H77" s="226"/>
      <c r="I77" s="226"/>
      <c r="J77" s="226"/>
      <c r="K77" s="247"/>
      <c r="L77" s="226"/>
      <c r="M77" s="257"/>
      <c r="N77" s="226"/>
      <c r="O77" s="226"/>
      <c r="P77" s="226"/>
      <c r="Q77" s="226">
        <f>SUM(Q75,Q76)*GST</f>
        <v>19.329081413882633</v>
      </c>
      <c r="R77" s="248"/>
      <c r="S77" s="104"/>
      <c r="T77" s="104"/>
      <c r="U77" s="60"/>
      <c r="V77" s="60"/>
    </row>
    <row r="78" spans="1:22" s="19" customFormat="1" x14ac:dyDescent="0.3">
      <c r="A78" s="3"/>
      <c r="B78" s="3" t="str">
        <f t="shared" ref="B78:D78" si="50">B77</f>
        <v>Essential</v>
      </c>
      <c r="C78" s="3" t="str">
        <f t="shared" si="50"/>
        <v>Residential</v>
      </c>
      <c r="D78" s="3" t="str">
        <f t="shared" si="50"/>
        <v>with CL</v>
      </c>
      <c r="E78" s="3"/>
      <c r="F78" s="228"/>
      <c r="G78" s="5" t="s">
        <v>77</v>
      </c>
      <c r="H78" s="227"/>
      <c r="I78" s="227"/>
      <c r="J78" s="227"/>
      <c r="K78" s="248"/>
      <c r="L78" s="227"/>
      <c r="M78" s="258"/>
      <c r="N78" s="227"/>
      <c r="O78" s="227"/>
      <c r="P78" s="227"/>
      <c r="Q78" s="227">
        <f>SUM(Q75:Q77)</f>
        <v>212.61989555270895</v>
      </c>
      <c r="R78" s="248"/>
      <c r="S78" s="104"/>
      <c r="T78" s="104"/>
      <c r="U78" s="3"/>
      <c r="V78" s="3"/>
    </row>
    <row r="79" spans="1:22" s="19" customFormat="1" x14ac:dyDescent="0.35">
      <c r="A79" s="3"/>
      <c r="B79" s="3" t="str">
        <f t="shared" ref="B79:D79" si="51">B78</f>
        <v>Essential</v>
      </c>
      <c r="C79" s="3" t="str">
        <f t="shared" si="51"/>
        <v>Residential</v>
      </c>
      <c r="D79" s="3" t="str">
        <f t="shared" si="51"/>
        <v>with CL</v>
      </c>
      <c r="E79" s="3"/>
      <c r="F79" s="228"/>
      <c r="G79" s="3"/>
      <c r="H79" s="224"/>
      <c r="I79" s="224"/>
      <c r="J79" s="224"/>
      <c r="K79" s="246"/>
      <c r="L79" s="224"/>
      <c r="M79" s="256"/>
      <c r="N79" s="224"/>
      <c r="O79" s="224"/>
      <c r="P79" s="224"/>
      <c r="Q79" s="224"/>
      <c r="R79" s="246"/>
      <c r="U79" s="3"/>
      <c r="V79" s="3"/>
    </row>
    <row r="80" spans="1:22" s="19" customFormat="1" x14ac:dyDescent="0.35">
      <c r="A80" s="3"/>
      <c r="B80" s="5" t="s">
        <v>3</v>
      </c>
      <c r="C80" s="5" t="s">
        <v>14</v>
      </c>
      <c r="D80" s="5" t="s">
        <v>136</v>
      </c>
      <c r="E80" s="3"/>
      <c r="F80" s="228"/>
      <c r="G80" s="3"/>
      <c r="H80" s="224"/>
      <c r="I80" s="224"/>
      <c r="J80" s="224"/>
      <c r="K80" s="246"/>
      <c r="L80" s="224"/>
      <c r="M80" s="256"/>
      <c r="N80" s="224"/>
      <c r="O80" s="224"/>
      <c r="P80" s="224"/>
      <c r="Q80" s="224"/>
      <c r="R80" s="246"/>
      <c r="U80" s="3"/>
      <c r="V80" s="3"/>
    </row>
    <row r="81" spans="1:22" outlineLevel="1" x14ac:dyDescent="0.3">
      <c r="B81" s="3" t="str">
        <f t="shared" ref="B81:D81" si="52">B80</f>
        <v>Essential</v>
      </c>
      <c r="C81" s="3" t="str">
        <f t="shared" si="52"/>
        <v>Small business</v>
      </c>
      <c r="D81" s="3" t="str">
        <f t="shared" si="52"/>
        <v>without CL</v>
      </c>
      <c r="E81" s="3" t="s">
        <v>21</v>
      </c>
      <c r="F81" s="228">
        <f t="array" ref="F81">IFERROR(INDEX(Usage!$B$5:$P$18,MATCH($B81,Usage!$B$5:$B$18,0),MATCH($C81&amp;$D81&amp;$E81&amp;"Total",Usage!$B$5:$S$5&amp;Usage!$B$6:$S$6&amp;Usage!$B$7:$S$7&amp;Usage!$B$13:$S$13,0)),0)</f>
        <v>10000</v>
      </c>
      <c r="G81" s="3" t="s">
        <v>190</v>
      </c>
      <c r="H81" s="224" t="str" cm="1">
        <f t="array" ref="H81">IFERROR(INDEX('Detail inputs'!$B$3:$K$193,MATCH($B81&amp;$G81&amp;H$5&amp;$C81,'Detail inputs'!$B$3:$B$193&amp;'Detail inputs'!$G$3:$G$193&amp;'Detail inputs'!$H$3:$H$193&amp;'Detail inputs'!$D$3:$D$193,0),MATCH(H$4,'Detail inputs'!$B$3:$K$3,0)),0)</f>
        <v>NA</v>
      </c>
      <c r="I81" s="224"/>
      <c r="J81" s="224"/>
      <c r="K81" s="246"/>
      <c r="L81" s="225"/>
      <c r="M81" s="256"/>
      <c r="N81" s="225"/>
      <c r="O81" s="224" cm="1">
        <f t="array" ref="O81">IFERROR(INDEX('Detail inputs'!$B$3:$K$193,MATCH($B81&amp;$G81&amp;O$5&amp;$C81,'Detail inputs'!$B$3:$B$193&amp;'Detail inputs'!$G$3:$G$193&amp;'Detail inputs'!$H$3:$H$193&amp;'Detail inputs'!$D$3:$D$193,0),MATCH(O$4,'Detail inputs'!$B$3:$K$3,0)),0)</f>
        <v>204</v>
      </c>
      <c r="P81" s="224"/>
      <c r="Q81" s="224">
        <f>IF(AND(O81="",P81=""),"",O81+P81*$F81/1000)</f>
        <v>204</v>
      </c>
      <c r="R81" s="246">
        <f>IFERROR(Q81/Q84,"")</f>
        <v>0.87334418341768638</v>
      </c>
      <c r="S81" s="104"/>
      <c r="T81" s="104"/>
    </row>
    <row r="82" spans="1:22" outlineLevel="1" x14ac:dyDescent="0.3">
      <c r="B82" s="3" t="str">
        <f t="shared" ref="B82:D82" si="53">B81</f>
        <v>Essential</v>
      </c>
      <c r="C82" s="3" t="str">
        <f t="shared" si="53"/>
        <v>Small business</v>
      </c>
      <c r="D82" s="3" t="str">
        <f t="shared" si="53"/>
        <v>without CL</v>
      </c>
      <c r="E82" s="3" t="s">
        <v>21</v>
      </c>
      <c r="F82" s="228">
        <f t="array" ref="F82">IFERROR(INDEX(Usage!$B$5:$P$18,MATCH($B82,Usage!$B$5:$B$18,0),MATCH($C82&amp;$D82&amp;$E82&amp;"Total",Usage!$B$5:$S$5&amp;Usage!$B$6:$S$6&amp;Usage!$B$7:$S$7&amp;Usage!$B$13:$S$13,0)),0)</f>
        <v>10000</v>
      </c>
      <c r="G82" s="3" t="s">
        <v>191</v>
      </c>
      <c r="H82" s="224" t="str" cm="1">
        <f t="array" ref="H82">IFERROR(INDEX('Detail inputs'!$B$3:$K$193,MATCH($B82&amp;$G82&amp;H$5,'Detail inputs'!$B$3:$B$193&amp;'Detail inputs'!$G$3:$G$193&amp;'Detail inputs'!$H$3:$H$193,0),MATCH(H$4,'Detail inputs'!$B$3:$K$3,0)),0)</f>
        <v>NA</v>
      </c>
      <c r="I82" s="224"/>
      <c r="J82" s="224"/>
      <c r="K82" s="246"/>
      <c r="L82" s="225"/>
      <c r="M82" s="256"/>
      <c r="N82" s="225"/>
      <c r="O82" s="224" cm="1">
        <f t="array" ref="O82">IFERROR(INDEX('Detail inputs'!$B$3:$K$193,MATCH($B82&amp;$G82&amp;O$5&amp;$C82,'Detail inputs'!$B$3:$B$193&amp;'Detail inputs'!$G$3:$G$193&amp;'Detail inputs'!$H$3:$H$193&amp;'Detail inputs'!$D$3:$D$193,0),MATCH(O$4,'Detail inputs'!$B$3:$K$3,0)),0)</f>
        <v>3.87</v>
      </c>
      <c r="P82" s="224"/>
      <c r="Q82" s="224">
        <f>IF(AND(O82="",P82=""),"",O82+P82*$F82/1000)</f>
        <v>3.87</v>
      </c>
      <c r="R82" s="246">
        <f>IFERROR(Q82/Q84,"")</f>
        <v>1.656785289130611E-2</v>
      </c>
      <c r="S82" s="104"/>
      <c r="T82" s="104"/>
    </row>
    <row r="83" spans="1:22" outlineLevel="1" x14ac:dyDescent="0.3">
      <c r="B83" s="3" t="str">
        <f t="shared" ref="B83:D83" si="54">B82</f>
        <v>Essential</v>
      </c>
      <c r="C83" s="3" t="str">
        <f t="shared" si="54"/>
        <v>Small business</v>
      </c>
      <c r="D83" s="3" t="str">
        <f t="shared" si="54"/>
        <v>without CL</v>
      </c>
      <c r="E83" s="3" t="s">
        <v>21</v>
      </c>
      <c r="F83" s="228">
        <f t="array" ref="F83">IFERROR(INDEX(Usage!$B$5:$P$18,MATCH($B83,Usage!$B$5:$B$18,0),MATCH($C83&amp;$D83&amp;$E83&amp;"Total",Usage!$B$5:$S$5&amp;Usage!$B$6:$S$6&amp;Usage!$B$7:$S$7&amp;Usage!$B$13:$S$13,0)),0)</f>
        <v>10000</v>
      </c>
      <c r="G83" s="3" t="s">
        <v>192</v>
      </c>
      <c r="H83" s="224" t="str" cm="1">
        <f t="array" ref="H83">IFERROR(INDEX('Detail inputs'!$B$3:$K$193,MATCH($B83&amp;$G83&amp;H$5,'Detail inputs'!$B$3:$B$193&amp;'Detail inputs'!$G$3:$G$193&amp;'Detail inputs'!$H$3:$H$193,0),MATCH(H$4,'Detail inputs'!$B$3:$K$3,0)),0)</f>
        <v>NA</v>
      </c>
      <c r="I83" s="224"/>
      <c r="J83" s="224"/>
      <c r="K83" s="246"/>
      <c r="L83" s="225"/>
      <c r="M83" s="256"/>
      <c r="N83" s="225"/>
      <c r="O83" s="224" cm="1">
        <f t="array" ref="O83">IFERROR(INDEX('Detail inputs'!$B$3:$K$193,MATCH($B83&amp;$G83&amp;O$5,'Detail inputs'!$B$3:$B$193&amp;'Detail inputs'!$G$3:$G$193&amp;'Detail inputs'!$H$3:$H$193,0),MATCH(O$4,'Detail inputs'!$B$3:$K$3,0)),0)</f>
        <v>25.714884256834605</v>
      </c>
      <c r="P83" s="224"/>
      <c r="Q83" s="224">
        <f>IF(AND(O83="",P83=""),"",O83+P83*$F83/1000)</f>
        <v>25.714884256834605</v>
      </c>
      <c r="R83" s="246">
        <f>IFERROR(Q83/Q84,"")</f>
        <v>0.11008796369100753</v>
      </c>
      <c r="S83" s="104"/>
      <c r="T83" s="104"/>
    </row>
    <row r="84" spans="1:22" s="65" customFormat="1" x14ac:dyDescent="0.3">
      <c r="A84" s="60"/>
      <c r="B84" s="3" t="str">
        <f t="shared" ref="B84:D84" si="55">B83</f>
        <v>Essential</v>
      </c>
      <c r="C84" s="3" t="str">
        <f t="shared" si="55"/>
        <v>Small business</v>
      </c>
      <c r="D84" s="3" t="str">
        <f t="shared" si="55"/>
        <v>without CL</v>
      </c>
      <c r="E84" s="3" t="s">
        <v>21</v>
      </c>
      <c r="F84" s="228">
        <f t="array" ref="F84">IFERROR(INDEX(Usage!$B$5:$P$18,MATCH($B84,Usage!$B$5:$B$18,0),MATCH($C84&amp;$D84&amp;$E84&amp;"Total",Usage!$B$5:$S$5&amp;Usage!$B$6:$S$6&amp;Usage!$B$7:$S$7&amp;Usage!$B$13:$S$13,0)),0)</f>
        <v>10000</v>
      </c>
      <c r="G84" s="60" t="s">
        <v>53</v>
      </c>
      <c r="H84" s="226"/>
      <c r="I84" s="226"/>
      <c r="J84" s="224"/>
      <c r="K84" s="247"/>
      <c r="L84" s="226"/>
      <c r="M84" s="257"/>
      <c r="N84" s="226"/>
      <c r="O84" s="226">
        <f>SUM(O81:O83)</f>
        <v>233.58488425683461</v>
      </c>
      <c r="P84" s="226"/>
      <c r="Q84" s="224">
        <f>IF(AND(O84="",P84=""),"",O84+P84*$F84/1000)</f>
        <v>233.58488425683461</v>
      </c>
      <c r="R84" s="247"/>
      <c r="S84" s="104"/>
      <c r="T84" s="104"/>
      <c r="U84" s="3"/>
      <c r="V84" s="97"/>
    </row>
    <row r="85" spans="1:22" s="65" customFormat="1" x14ac:dyDescent="0.3">
      <c r="A85" s="60"/>
      <c r="B85" s="3" t="str">
        <f t="shared" ref="B85:D85" si="56">B84</f>
        <v>Essential</v>
      </c>
      <c r="C85" s="3" t="str">
        <f t="shared" si="56"/>
        <v>Small business</v>
      </c>
      <c r="D85" s="3" t="str">
        <f t="shared" si="56"/>
        <v>without CL</v>
      </c>
      <c r="E85" s="3" t="s">
        <v>21</v>
      </c>
      <c r="F85" s="228">
        <f t="array" ref="F85">IFERROR(INDEX(Usage!$B$5:$P$18,MATCH($B85,Usage!$B$5:$B$18,0),MATCH($C85&amp;$D85&amp;$E85&amp;"Total",Usage!$B$5:$S$5&amp;Usage!$B$6:$S$6&amp;Usage!$B$7:$S$7&amp;Usage!$B$13:$S$13,0)),0)</f>
        <v>10000</v>
      </c>
      <c r="G85" s="60" t="s">
        <v>199</v>
      </c>
      <c r="H85" s="226"/>
      <c r="I85" s="226"/>
      <c r="J85" s="226"/>
      <c r="K85" s="247"/>
      <c r="L85" s="226"/>
      <c r="M85" s="257"/>
      <c r="N85" s="226"/>
      <c r="O85" s="226">
        <f>O84*CPI</f>
        <v>23.320530881991733</v>
      </c>
      <c r="P85" s="226"/>
      <c r="Q85" s="226">
        <f>Q84*CPI</f>
        <v>23.320530881991733</v>
      </c>
      <c r="R85" s="247"/>
      <c r="S85" s="104"/>
      <c r="T85" s="104"/>
      <c r="U85" s="3"/>
      <c r="V85" s="3"/>
    </row>
    <row r="86" spans="1:22" s="19" customFormat="1" outlineLevel="1" x14ac:dyDescent="0.3">
      <c r="A86" s="3"/>
      <c r="B86" s="3" t="str">
        <f t="shared" ref="B86:D86" si="57">B85</f>
        <v>Essential</v>
      </c>
      <c r="C86" s="3" t="str">
        <f t="shared" si="57"/>
        <v>Small business</v>
      </c>
      <c r="D86" s="3" t="str">
        <f t="shared" si="57"/>
        <v>without CL</v>
      </c>
      <c r="E86" s="3"/>
      <c r="F86" s="228"/>
      <c r="G86" s="60" t="s">
        <v>35</v>
      </c>
      <c r="H86" s="226"/>
      <c r="I86" s="226"/>
      <c r="J86" s="226"/>
      <c r="K86" s="247"/>
      <c r="L86" s="226"/>
      <c r="M86" s="257"/>
      <c r="N86" s="226"/>
      <c r="O86" s="226"/>
      <c r="P86" s="226"/>
      <c r="Q86" s="226">
        <f>SUM(Q84,Q85)*GST</f>
        <v>25.690541513882636</v>
      </c>
      <c r="R86" s="248"/>
      <c r="S86" s="104"/>
      <c r="T86" s="104"/>
      <c r="U86" s="3"/>
      <c r="V86" s="3"/>
    </row>
    <row r="87" spans="1:22" s="19" customFormat="1" x14ac:dyDescent="0.3">
      <c r="A87" s="3"/>
      <c r="B87" s="3" t="str">
        <f t="shared" ref="B87:D87" si="58">B86</f>
        <v>Essential</v>
      </c>
      <c r="C87" s="3" t="str">
        <f t="shared" si="58"/>
        <v>Small business</v>
      </c>
      <c r="D87" s="3" t="str">
        <f t="shared" si="58"/>
        <v>without CL</v>
      </c>
      <c r="E87" s="3"/>
      <c r="F87" s="228"/>
      <c r="G87" s="5" t="s">
        <v>77</v>
      </c>
      <c r="H87" s="227"/>
      <c r="I87" s="227"/>
      <c r="J87" s="227"/>
      <c r="K87" s="248"/>
      <c r="L87" s="227"/>
      <c r="M87" s="258"/>
      <c r="N87" s="227"/>
      <c r="O87" s="227"/>
      <c r="P87" s="227"/>
      <c r="Q87" s="227">
        <f>SUM(Q84:Q86)</f>
        <v>282.59595665270899</v>
      </c>
      <c r="R87" s="248"/>
      <c r="S87" s="104"/>
      <c r="T87" s="104"/>
      <c r="U87" s="3"/>
      <c r="V87" s="3"/>
    </row>
    <row r="88" spans="1:22" s="19" customFormat="1" x14ac:dyDescent="0.35">
      <c r="A88" s="3"/>
      <c r="B88" s="3" t="str">
        <f t="shared" ref="B88:D88" si="59">B87</f>
        <v>Essential</v>
      </c>
      <c r="C88" s="3" t="str">
        <f t="shared" si="59"/>
        <v>Small business</v>
      </c>
      <c r="D88" s="3" t="str">
        <f t="shared" si="59"/>
        <v>without CL</v>
      </c>
      <c r="E88" s="3"/>
      <c r="F88" s="228"/>
      <c r="G88" s="3"/>
      <c r="H88" s="224"/>
      <c r="I88" s="224"/>
      <c r="J88" s="224"/>
      <c r="K88" s="246"/>
      <c r="L88" s="224"/>
      <c r="M88" s="256"/>
      <c r="N88" s="224"/>
      <c r="O88" s="224"/>
      <c r="P88" s="224"/>
      <c r="Q88" s="224"/>
      <c r="R88" s="246"/>
      <c r="U88" s="97"/>
      <c r="V88" s="97"/>
    </row>
    <row r="89" spans="1:22" x14ac:dyDescent="0.3">
      <c r="B89" s="5" t="s">
        <v>0</v>
      </c>
      <c r="C89" s="5" t="s">
        <v>6</v>
      </c>
      <c r="D89" s="5" t="s">
        <v>136</v>
      </c>
      <c r="F89" s="228"/>
      <c r="H89" s="224"/>
      <c r="I89" s="224"/>
      <c r="J89" s="224"/>
      <c r="K89" s="246"/>
      <c r="L89" s="225"/>
      <c r="M89" s="256"/>
      <c r="N89" s="225"/>
      <c r="O89" s="224"/>
      <c r="P89" s="224"/>
      <c r="Q89" s="224"/>
      <c r="R89" s="246"/>
      <c r="S89" s="104"/>
      <c r="T89" s="104"/>
    </row>
    <row r="90" spans="1:22" outlineLevel="1" x14ac:dyDescent="0.3">
      <c r="B90" s="3" t="str">
        <f t="shared" ref="B90:D90" si="60">B89</f>
        <v>Energex</v>
      </c>
      <c r="C90" s="3" t="str">
        <f t="shared" si="60"/>
        <v>Residential</v>
      </c>
      <c r="D90" s="3" t="str">
        <f t="shared" si="60"/>
        <v>without CL</v>
      </c>
      <c r="E90" s="3" t="s">
        <v>21</v>
      </c>
      <c r="F90" s="228">
        <f t="array" ref="F90">IFERROR(INDEX(Usage!$B$5:$P$18,MATCH($B90,Usage!$B$5:$B$18,0),MATCH($C90&amp;$D90&amp;$E90&amp;"Total",Usage!$B$5:$S$5&amp;Usage!$B$6:$S$6&amp;Usage!$B$7:$S$7&amp;Usage!$B$13:$S$13,0)),0)</f>
        <v>4600</v>
      </c>
      <c r="G90" s="3" t="s">
        <v>190</v>
      </c>
      <c r="H90" s="224" t="str" cm="1">
        <f t="array" ref="H90">IFERROR(INDEX('Detail inputs'!$B$3:$K$193,MATCH($B90&amp;$G90&amp;H$5&amp;$C90,'Detail inputs'!$B$3:$B$193&amp;'Detail inputs'!$G$3:$G$193&amp;'Detail inputs'!$H$3:$H$193&amp;'Detail inputs'!$D$3:$D$193,0),MATCH(H$4,'Detail inputs'!$B$3:$K$3,0)),0)</f>
        <v>NA</v>
      </c>
      <c r="I90" s="224"/>
      <c r="J90" s="224"/>
      <c r="K90" s="246"/>
      <c r="L90" s="225"/>
      <c r="M90" s="256"/>
      <c r="N90" s="225"/>
      <c r="O90" s="224" cm="1">
        <f t="array" ref="O90">IFERROR(INDEX('Detail inputs'!$B$3:$K$193,MATCH($B90&amp;$G90&amp;O$5&amp;$C90,'Detail inputs'!$B$3:$B$193&amp;'Detail inputs'!$G$3:$G$193&amp;'Detail inputs'!$H$3:$H$193&amp;'Detail inputs'!$D$3:$D$193,0),MATCH(O$4,'Detail inputs'!$B$3:$K$3,0)),0)</f>
        <v>132</v>
      </c>
      <c r="P90" s="224"/>
      <c r="Q90" s="224">
        <f>IF(AND(O90="",P90=""),"",O90+P90*$F90/1000)</f>
        <v>132</v>
      </c>
      <c r="R90" s="246">
        <f>IFERROR(Q90/Q93,"")</f>
        <v>0.75547338641225426</v>
      </c>
      <c r="S90" s="104"/>
      <c r="T90" s="104"/>
    </row>
    <row r="91" spans="1:22" outlineLevel="1" x14ac:dyDescent="0.3">
      <c r="B91" s="3" t="str">
        <f t="shared" ref="B91:D91" si="61">B90</f>
        <v>Energex</v>
      </c>
      <c r="C91" s="3" t="str">
        <f t="shared" si="61"/>
        <v>Residential</v>
      </c>
      <c r="D91" s="3" t="str">
        <f t="shared" si="61"/>
        <v>without CL</v>
      </c>
      <c r="E91" s="3" t="s">
        <v>21</v>
      </c>
      <c r="F91" s="228">
        <f t="array" ref="F91">IFERROR(INDEX(Usage!$B$5:$P$18,MATCH($B91,Usage!$B$5:$B$18,0),MATCH($C91&amp;$D91&amp;$E91&amp;"Total",Usage!$B$5:$S$5&amp;Usage!$B$6:$S$6&amp;Usage!$B$7:$S$7&amp;Usage!$B$13:$S$13,0)),0)</f>
        <v>4600</v>
      </c>
      <c r="G91" s="3" t="s">
        <v>191</v>
      </c>
      <c r="H91" s="224" t="str" cm="1">
        <f t="array" ref="H91">IFERROR(INDEX('Detail inputs'!$B$3:$K$193,MATCH($B91&amp;$G91&amp;H$5,'Detail inputs'!$B$3:$B$193&amp;'Detail inputs'!$G$3:$G$193&amp;'Detail inputs'!$H$3:$H$193,0),MATCH(H$4,'Detail inputs'!$B$3:$K$3,0)),0)</f>
        <v>NA</v>
      </c>
      <c r="I91" s="224"/>
      <c r="J91" s="224"/>
      <c r="K91" s="246"/>
      <c r="L91" s="225"/>
      <c r="M91" s="256"/>
      <c r="N91" s="225"/>
      <c r="O91" s="224" cm="1">
        <f t="array" ref="O91">IFERROR(INDEX('Detail inputs'!$B$3:$K$193,MATCH($B91&amp;$G91&amp;O$5,'Detail inputs'!$B$3:$B$193&amp;'Detail inputs'!$G$3:$G$193&amp;'Detail inputs'!$H$3:$H$193,0),MATCH(O$4,'Detail inputs'!$B$3:$K$3,0)),0)</f>
        <v>17.010000000000002</v>
      </c>
      <c r="P91" s="224"/>
      <c r="Q91" s="224">
        <f>IF(AND(O91="",P91=""),"",O91+P91*$F91/1000)</f>
        <v>17.010000000000002</v>
      </c>
      <c r="R91" s="246">
        <f>IFERROR(Q91/Q93,"")</f>
        <v>9.735304774903368E-2</v>
      </c>
      <c r="S91" s="104"/>
      <c r="T91" s="104"/>
    </row>
    <row r="92" spans="1:22" outlineLevel="1" x14ac:dyDescent="0.3">
      <c r="B92" s="3" t="str">
        <f t="shared" ref="B92:D92" si="62">B91</f>
        <v>Energex</v>
      </c>
      <c r="C92" s="3" t="str">
        <f t="shared" si="62"/>
        <v>Residential</v>
      </c>
      <c r="D92" s="3" t="str">
        <f t="shared" si="62"/>
        <v>without CL</v>
      </c>
      <c r="E92" s="3" t="s">
        <v>21</v>
      </c>
      <c r="F92" s="228">
        <f t="array" ref="F92">IFERROR(INDEX(Usage!$B$5:$P$18,MATCH($B92,Usage!$B$5:$B$18,0),MATCH($C92&amp;$D92&amp;$E92&amp;"Total",Usage!$B$5:$S$5&amp;Usage!$B$6:$S$6&amp;Usage!$B$7:$S$7&amp;Usage!$B$13:$S$13,0)),0)</f>
        <v>4600</v>
      </c>
      <c r="G92" s="3" t="s">
        <v>192</v>
      </c>
      <c r="H92" s="224" t="str" cm="1">
        <f t="array" ref="H92">IFERROR(INDEX('Detail inputs'!$B$3:$K$193,MATCH($B92&amp;$G92&amp;H$5,'Detail inputs'!$B$3:$B$193&amp;'Detail inputs'!$G$3:$G$193&amp;'Detail inputs'!$H$3:$H$193,0),MATCH(H$4,'Detail inputs'!$B$3:$K$3,0)),0)</f>
        <v>NA</v>
      </c>
      <c r="I92" s="224"/>
      <c r="J92" s="224"/>
      <c r="K92" s="246"/>
      <c r="L92" s="225"/>
      <c r="M92" s="256"/>
      <c r="N92" s="225"/>
      <c r="O92" s="224" cm="1">
        <f t="array" ref="O92">IFERROR(INDEX('Detail inputs'!$B$3:$K$193,MATCH($B92&amp;$G92&amp;O$5,'Detail inputs'!$B$3:$B$193&amp;'Detail inputs'!$G$3:$G$193&amp;'Detail inputs'!$H$3:$H$193,0),MATCH(O$4,'Detail inputs'!$B$3:$K$3,0)),0)</f>
        <v>25.714884256834605</v>
      </c>
      <c r="P92" s="224"/>
      <c r="Q92" s="224">
        <f>IF(AND(O92="",P92=""),"",O92+P92*$F92/1000)</f>
        <v>25.714884256834605</v>
      </c>
      <c r="R92" s="246">
        <f>IFERROR(Q92/Q93,"")</f>
        <v>0.14717356583871213</v>
      </c>
      <c r="S92" s="104"/>
      <c r="T92" s="104"/>
    </row>
    <row r="93" spans="1:22" s="65" customFormat="1" x14ac:dyDescent="0.3">
      <c r="A93" s="60"/>
      <c r="B93" s="3" t="str">
        <f t="shared" ref="B93:D93" si="63">B92</f>
        <v>Energex</v>
      </c>
      <c r="C93" s="3" t="str">
        <f t="shared" si="63"/>
        <v>Residential</v>
      </c>
      <c r="D93" s="3" t="str">
        <f t="shared" si="63"/>
        <v>without CL</v>
      </c>
      <c r="E93" s="3" t="s">
        <v>21</v>
      </c>
      <c r="F93" s="228">
        <f t="array" ref="F93">IFERROR(INDEX(Usage!$B$5:$P$18,MATCH($B93,Usage!$B$5:$B$18,0),MATCH($C93&amp;$D93&amp;$E93&amp;"Total",Usage!$B$5:$S$5&amp;Usage!$B$6:$S$6&amp;Usage!$B$7:$S$7&amp;Usage!$B$13:$S$13,0)),0)</f>
        <v>4600</v>
      </c>
      <c r="G93" s="60" t="s">
        <v>53</v>
      </c>
      <c r="H93" s="226"/>
      <c r="I93" s="226"/>
      <c r="J93" s="224"/>
      <c r="K93" s="247"/>
      <c r="L93" s="226"/>
      <c r="M93" s="257"/>
      <c r="N93" s="226"/>
      <c r="O93" s="226">
        <f>SUM(O90:O92)</f>
        <v>174.7248842568346</v>
      </c>
      <c r="P93" s="226"/>
      <c r="Q93" s="224">
        <f>IF(AND(O93="",P93=""),"",O93+P93*$F93/1000)</f>
        <v>174.7248842568346</v>
      </c>
      <c r="R93" s="247"/>
      <c r="S93" s="104"/>
      <c r="T93" s="104"/>
      <c r="U93" s="3"/>
      <c r="V93" s="97"/>
    </row>
    <row r="94" spans="1:22" s="65" customFormat="1" x14ac:dyDescent="0.3">
      <c r="A94" s="60"/>
      <c r="B94" s="3" t="str">
        <f t="shared" ref="B94:D94" si="64">B93</f>
        <v>Energex</v>
      </c>
      <c r="C94" s="3" t="str">
        <f t="shared" si="64"/>
        <v>Residential</v>
      </c>
      <c r="D94" s="3" t="str">
        <f t="shared" si="64"/>
        <v>without CL</v>
      </c>
      <c r="E94" s="3" t="s">
        <v>21</v>
      </c>
      <c r="F94" s="228">
        <f t="array" ref="F94">IFERROR(INDEX(Usage!$B$5:$P$18,MATCH($B94,Usage!$B$5:$B$18,0),MATCH($C94&amp;$D94&amp;$E94&amp;"Total",Usage!$B$5:$S$5&amp;Usage!$B$6:$S$6&amp;Usage!$B$7:$S$7&amp;Usage!$B$13:$S$13,0)),0)</f>
        <v>4600</v>
      </c>
      <c r="G94" s="60" t="s">
        <v>199</v>
      </c>
      <c r="H94" s="226"/>
      <c r="I94" s="226"/>
      <c r="J94" s="226"/>
      <c r="K94" s="247"/>
      <c r="L94" s="226"/>
      <c r="M94" s="257"/>
      <c r="N94" s="226"/>
      <c r="O94" s="226">
        <f>O93*CPI</f>
        <v>17.444095631991729</v>
      </c>
      <c r="P94" s="226"/>
      <c r="Q94" s="226">
        <f>Q93*CPI</f>
        <v>17.444095631991729</v>
      </c>
      <c r="R94" s="247"/>
      <c r="S94" s="104"/>
      <c r="T94" s="104"/>
      <c r="U94" s="3"/>
      <c r="V94" s="3"/>
    </row>
    <row r="95" spans="1:22" s="19" customFormat="1" outlineLevel="1" x14ac:dyDescent="0.3">
      <c r="A95" s="3"/>
      <c r="B95" s="3" t="str">
        <f t="shared" ref="B95:D95" si="65">B94</f>
        <v>Energex</v>
      </c>
      <c r="C95" s="3" t="str">
        <f t="shared" si="65"/>
        <v>Residential</v>
      </c>
      <c r="D95" s="3" t="str">
        <f t="shared" si="65"/>
        <v>without CL</v>
      </c>
      <c r="E95" s="3"/>
      <c r="F95" s="228"/>
      <c r="G95" s="60" t="s">
        <v>35</v>
      </c>
      <c r="H95" s="226"/>
      <c r="I95" s="226"/>
      <c r="J95" s="226"/>
      <c r="K95" s="247"/>
      <c r="L95" s="226"/>
      <c r="M95" s="257"/>
      <c r="N95" s="226"/>
      <c r="O95" s="226"/>
      <c r="P95" s="226"/>
      <c r="Q95" s="226">
        <f>SUM(Q93,Q94)*GST</f>
        <v>19.216897988882636</v>
      </c>
      <c r="R95" s="248"/>
      <c r="S95" s="104"/>
      <c r="T95" s="104"/>
      <c r="U95" s="3"/>
      <c r="V95" s="3"/>
    </row>
    <row r="96" spans="1:22" s="19" customFormat="1" x14ac:dyDescent="0.3">
      <c r="A96" s="3"/>
      <c r="B96" s="3" t="str">
        <f t="shared" ref="B96:D96" si="66">B95</f>
        <v>Energex</v>
      </c>
      <c r="C96" s="3" t="str">
        <f t="shared" si="66"/>
        <v>Residential</v>
      </c>
      <c r="D96" s="3" t="str">
        <f t="shared" si="66"/>
        <v>without CL</v>
      </c>
      <c r="E96" s="3"/>
      <c r="F96" s="228"/>
      <c r="G96" s="5" t="s">
        <v>77</v>
      </c>
      <c r="H96" s="227"/>
      <c r="I96" s="227"/>
      <c r="J96" s="227"/>
      <c r="K96" s="248"/>
      <c r="L96" s="227"/>
      <c r="M96" s="258"/>
      <c r="N96" s="227"/>
      <c r="O96" s="227"/>
      <c r="P96" s="227"/>
      <c r="Q96" s="227">
        <f>SUM(Q93:Q95)</f>
        <v>211.38587787770896</v>
      </c>
      <c r="R96" s="248"/>
      <c r="S96" s="104"/>
      <c r="T96" s="104"/>
      <c r="U96" s="3"/>
      <c r="V96" s="3"/>
    </row>
    <row r="97" spans="1:22" s="19" customFormat="1" x14ac:dyDescent="0.3">
      <c r="A97" s="3"/>
      <c r="B97" s="3" t="str">
        <f t="shared" ref="B97:D97" si="67">B96</f>
        <v>Energex</v>
      </c>
      <c r="C97" s="3" t="str">
        <f t="shared" si="67"/>
        <v>Residential</v>
      </c>
      <c r="D97" s="3" t="str">
        <f t="shared" si="67"/>
        <v>without CL</v>
      </c>
      <c r="E97" s="3"/>
      <c r="F97" s="228"/>
      <c r="G97" s="3"/>
      <c r="H97" s="224"/>
      <c r="I97" s="224"/>
      <c r="J97" s="224"/>
      <c r="K97" s="246"/>
      <c r="L97" s="224"/>
      <c r="M97" s="256"/>
      <c r="N97" s="224"/>
      <c r="O97" s="224"/>
      <c r="P97" s="224"/>
      <c r="Q97" s="224"/>
      <c r="R97" s="246"/>
      <c r="S97" s="104"/>
      <c r="T97" s="104"/>
      <c r="U97" s="3"/>
      <c r="V97" s="3"/>
    </row>
    <row r="98" spans="1:22" s="19" customFormat="1" x14ac:dyDescent="0.3">
      <c r="A98" s="3"/>
      <c r="B98" s="214" t="s">
        <v>0</v>
      </c>
      <c r="C98" s="214" t="s">
        <v>6</v>
      </c>
      <c r="D98" s="5" t="s">
        <v>137</v>
      </c>
      <c r="E98" s="3"/>
      <c r="F98" s="228"/>
      <c r="G98" s="3"/>
      <c r="H98" s="224"/>
      <c r="I98" s="224"/>
      <c r="J98" s="224"/>
      <c r="K98" s="246"/>
      <c r="L98" s="224"/>
      <c r="M98" s="256"/>
      <c r="N98" s="224"/>
      <c r="O98" s="224"/>
      <c r="P98" s="224"/>
      <c r="Q98" s="224"/>
      <c r="R98" s="246"/>
      <c r="S98" s="104"/>
      <c r="T98" s="104"/>
      <c r="U98" s="3"/>
      <c r="V98" s="3"/>
    </row>
    <row r="99" spans="1:22" outlineLevel="1" x14ac:dyDescent="0.3">
      <c r="B99" s="3" t="str">
        <f t="shared" ref="B99:D99" si="68">B98</f>
        <v>Energex</v>
      </c>
      <c r="C99" s="3" t="str">
        <f t="shared" si="68"/>
        <v>Residential</v>
      </c>
      <c r="D99" s="3" t="str">
        <f t="shared" si="68"/>
        <v>with CL</v>
      </c>
      <c r="E99" s="3" t="s">
        <v>21</v>
      </c>
      <c r="F99" s="228">
        <f t="array" ref="F99">IFERROR(INDEX(Usage!$B$5:$P$18,MATCH($B99,Usage!$B$5:$B$18,0),MATCH($C99&amp;$D99&amp;$E99&amp;"Total",Usage!$B$5:$S$5&amp;Usage!$B$6:$S$6&amp;Usage!$B$7:$S$7&amp;Usage!$B$13:$S$13,0)),0)</f>
        <v>4400</v>
      </c>
      <c r="G99" s="3" t="s">
        <v>190</v>
      </c>
      <c r="H99" s="224" t="str" cm="1">
        <f t="array" ref="H99">IFERROR(INDEX('Detail inputs'!$B$3:$K$193,MATCH($B99&amp;$G99&amp;H$5&amp;$C99,'Detail inputs'!$B$3:$B$193&amp;'Detail inputs'!$G$3:$G$193&amp;'Detail inputs'!$H$3:$H$193&amp;'Detail inputs'!$D$3:$D$193,0),MATCH(H$4,'Detail inputs'!$B$3:$K$3,0)),0)</f>
        <v>NA</v>
      </c>
      <c r="I99" s="224"/>
      <c r="J99" s="224"/>
      <c r="K99" s="246"/>
      <c r="L99" s="225"/>
      <c r="M99" s="256"/>
      <c r="N99" s="225"/>
      <c r="O99" s="224" cm="1">
        <f t="array" ref="O99">IFERROR(INDEX('Detail inputs'!$B$3:$K$193,MATCH($B99&amp;$G99&amp;O$5&amp;$C99,'Detail inputs'!$B$3:$B$193&amp;'Detail inputs'!$G$3:$G$193&amp;'Detail inputs'!$H$3:$H$193&amp;'Detail inputs'!$D$3:$D$193,0),MATCH(O$4,'Detail inputs'!$B$3:$K$3,0)),0)</f>
        <v>132</v>
      </c>
      <c r="P99" s="224"/>
      <c r="Q99" s="224">
        <f>IF(AND(O99="",P99=""),"",O99+P99*$F99/1000)</f>
        <v>132</v>
      </c>
      <c r="R99" s="246">
        <f>IFERROR(Q99/Q102,"")</f>
        <v>0.75547338641225426</v>
      </c>
      <c r="S99" s="104"/>
      <c r="T99" s="104"/>
      <c r="U99" s="97"/>
      <c r="V99" s="97"/>
    </row>
    <row r="100" spans="1:22" outlineLevel="1" x14ac:dyDescent="0.3">
      <c r="B100" s="3" t="str">
        <f t="shared" ref="B100:D100" si="69">B99</f>
        <v>Energex</v>
      </c>
      <c r="C100" s="3" t="str">
        <f t="shared" si="69"/>
        <v>Residential</v>
      </c>
      <c r="D100" s="3" t="str">
        <f t="shared" si="69"/>
        <v>with CL</v>
      </c>
      <c r="E100" s="3" t="s">
        <v>21</v>
      </c>
      <c r="F100" s="228">
        <f t="array" ref="F100">IFERROR(INDEX(Usage!$B$5:$P$18,MATCH($B100,Usage!$B$5:$B$18,0),MATCH($C100&amp;$D100&amp;$E100&amp;"Total",Usage!$B$5:$S$5&amp;Usage!$B$6:$S$6&amp;Usage!$B$7:$S$7&amp;Usage!$B$13:$S$13,0)),0)</f>
        <v>4400</v>
      </c>
      <c r="G100" s="3" t="s">
        <v>191</v>
      </c>
      <c r="H100" s="224" t="str" cm="1">
        <f t="array" ref="H100">IFERROR(INDEX('Detail inputs'!$B$3:$K$193,MATCH($B100&amp;$G100&amp;H$5,'Detail inputs'!$B$3:$B$193&amp;'Detail inputs'!$G$3:$G$193&amp;'Detail inputs'!$H$3:$H$193,0),MATCH(H$4,'Detail inputs'!$B$3:$K$3,0)),0)</f>
        <v>NA</v>
      </c>
      <c r="I100" s="224"/>
      <c r="J100" s="224"/>
      <c r="K100" s="246"/>
      <c r="L100" s="225"/>
      <c r="M100" s="256"/>
      <c r="N100" s="225"/>
      <c r="O100" s="224" cm="1">
        <f t="array" ref="O100">IFERROR(INDEX('Detail inputs'!$B$3:$K$193,MATCH($B100&amp;$G100&amp;O$5,'Detail inputs'!$B$3:$B$193&amp;'Detail inputs'!$G$3:$G$193&amp;'Detail inputs'!$H$3:$H$193,0),MATCH(O$4,'Detail inputs'!$B$3:$K$3,0)),0)</f>
        <v>17.010000000000002</v>
      </c>
      <c r="P100" s="224"/>
      <c r="Q100" s="224">
        <f>IF(AND(O100="",P100=""),"",O100+P100*$F100/1000)</f>
        <v>17.010000000000002</v>
      </c>
      <c r="R100" s="246">
        <f>IFERROR(Q100/Q102,"")</f>
        <v>9.735304774903368E-2</v>
      </c>
      <c r="S100" s="104"/>
      <c r="T100" s="104"/>
    </row>
    <row r="101" spans="1:22" outlineLevel="1" x14ac:dyDescent="0.3">
      <c r="B101" s="3" t="str">
        <f t="shared" ref="B101:D101" si="70">B100</f>
        <v>Energex</v>
      </c>
      <c r="C101" s="3" t="str">
        <f t="shared" si="70"/>
        <v>Residential</v>
      </c>
      <c r="D101" s="3" t="str">
        <f t="shared" si="70"/>
        <v>with CL</v>
      </c>
      <c r="E101" s="3" t="s">
        <v>21</v>
      </c>
      <c r="F101" s="228">
        <f t="array" ref="F101">IFERROR(INDEX(Usage!$B$5:$P$18,MATCH($B101,Usage!$B$5:$B$18,0),MATCH($C101&amp;$D101&amp;$E101&amp;"Total",Usage!$B$5:$S$5&amp;Usage!$B$6:$S$6&amp;Usage!$B$7:$S$7&amp;Usage!$B$13:$S$13,0)),0)</f>
        <v>4400</v>
      </c>
      <c r="G101" s="3" t="s">
        <v>192</v>
      </c>
      <c r="H101" s="224" t="str" cm="1">
        <f t="array" ref="H101">IFERROR(INDEX('Detail inputs'!$B$3:$K$193,MATCH($B101&amp;$G101&amp;H$5,'Detail inputs'!$B$3:$B$193&amp;'Detail inputs'!$G$3:$G$193&amp;'Detail inputs'!$H$3:$H$193,0),MATCH(H$4,'Detail inputs'!$B$3:$K$3,0)),0)</f>
        <v>NA</v>
      </c>
      <c r="I101" s="224"/>
      <c r="J101" s="224"/>
      <c r="K101" s="246"/>
      <c r="L101" s="225"/>
      <c r="M101" s="256"/>
      <c r="N101" s="225"/>
      <c r="O101" s="224" cm="1">
        <f t="array" ref="O101">IFERROR(INDEX('Detail inputs'!$B$3:$K$193,MATCH($B101&amp;$G101&amp;O$5,'Detail inputs'!$B$3:$B$193&amp;'Detail inputs'!$G$3:$G$193&amp;'Detail inputs'!$H$3:$H$193,0),MATCH(O$4,'Detail inputs'!$B$3:$K$3,0)),0)</f>
        <v>25.714884256834605</v>
      </c>
      <c r="P101" s="224"/>
      <c r="Q101" s="224">
        <f>IF(AND(O101="",P101=""),"",O101+P101*$F101/1000)</f>
        <v>25.714884256834605</v>
      </c>
      <c r="R101" s="246">
        <f>IFERROR(Q101/Q102,"")</f>
        <v>0.14717356583871213</v>
      </c>
      <c r="S101" s="104"/>
      <c r="T101" s="104"/>
    </row>
    <row r="102" spans="1:22" s="65" customFormat="1" x14ac:dyDescent="0.3">
      <c r="A102" s="60"/>
      <c r="B102" s="3" t="str">
        <f t="shared" ref="B102:D102" si="71">B101</f>
        <v>Energex</v>
      </c>
      <c r="C102" s="3" t="str">
        <f t="shared" si="71"/>
        <v>Residential</v>
      </c>
      <c r="D102" s="3" t="str">
        <f t="shared" si="71"/>
        <v>with CL</v>
      </c>
      <c r="E102" s="3" t="s">
        <v>21</v>
      </c>
      <c r="F102" s="228">
        <f t="array" ref="F102">IFERROR(INDEX(Usage!$B$5:$P$18,MATCH($B102,Usage!$B$5:$B$18,0),MATCH($C102&amp;$D102&amp;$E102&amp;"Total",Usage!$B$5:$S$5&amp;Usage!$B$6:$S$6&amp;Usage!$B$7:$S$7&amp;Usage!$B$13:$S$13,0)),0)</f>
        <v>4400</v>
      </c>
      <c r="G102" s="60" t="s">
        <v>53</v>
      </c>
      <c r="H102" s="226"/>
      <c r="I102" s="226"/>
      <c r="J102" s="224"/>
      <c r="K102" s="247"/>
      <c r="L102" s="226"/>
      <c r="M102" s="257"/>
      <c r="N102" s="226"/>
      <c r="O102" s="226">
        <f>SUM(O99:O101)</f>
        <v>174.7248842568346</v>
      </c>
      <c r="P102" s="226"/>
      <c r="Q102" s="224">
        <f>IF(AND(O102="",P102=""),"",O102+P102*$F102/1000)</f>
        <v>174.7248842568346</v>
      </c>
      <c r="R102" s="247"/>
      <c r="S102" s="104"/>
      <c r="T102" s="104"/>
      <c r="U102" s="3"/>
      <c r="V102" s="97"/>
    </row>
    <row r="103" spans="1:22" s="65" customFormat="1" x14ac:dyDescent="0.3">
      <c r="A103" s="60"/>
      <c r="B103" s="3" t="str">
        <f t="shared" ref="B103:D103" si="72">B102</f>
        <v>Energex</v>
      </c>
      <c r="C103" s="3" t="str">
        <f t="shared" si="72"/>
        <v>Residential</v>
      </c>
      <c r="D103" s="3" t="str">
        <f t="shared" si="72"/>
        <v>with CL</v>
      </c>
      <c r="E103" s="3" t="s">
        <v>21</v>
      </c>
      <c r="F103" s="228">
        <f t="array" ref="F103">IFERROR(INDEX(Usage!$B$5:$P$18,MATCH($B103,Usage!$B$5:$B$18,0),MATCH($C103&amp;$D103&amp;$E103&amp;"Total",Usage!$B$5:$S$5&amp;Usage!$B$6:$S$6&amp;Usage!$B$7:$S$7&amp;Usage!$B$13:$S$13,0)),0)</f>
        <v>4400</v>
      </c>
      <c r="G103" s="60" t="s">
        <v>199</v>
      </c>
      <c r="H103" s="226"/>
      <c r="I103" s="226"/>
      <c r="J103" s="226"/>
      <c r="K103" s="247"/>
      <c r="L103" s="226"/>
      <c r="M103" s="257"/>
      <c r="N103" s="226"/>
      <c r="O103" s="226">
        <f>O102*CPI</f>
        <v>17.444095631991729</v>
      </c>
      <c r="P103" s="226"/>
      <c r="Q103" s="226">
        <f>Q102*CPI</f>
        <v>17.444095631991729</v>
      </c>
      <c r="R103" s="247"/>
      <c r="S103" s="104"/>
      <c r="T103" s="104"/>
      <c r="U103" s="3"/>
      <c r="V103" s="3"/>
    </row>
    <row r="104" spans="1:22" s="19" customFormat="1" outlineLevel="1" x14ac:dyDescent="0.3">
      <c r="A104" s="3"/>
      <c r="B104" s="3" t="str">
        <f t="shared" ref="B104:D104" si="73">B103</f>
        <v>Energex</v>
      </c>
      <c r="C104" s="3" t="str">
        <f t="shared" si="73"/>
        <v>Residential</v>
      </c>
      <c r="D104" s="3" t="str">
        <f t="shared" si="73"/>
        <v>with CL</v>
      </c>
      <c r="E104" s="3"/>
      <c r="F104" s="228"/>
      <c r="G104" s="60" t="s">
        <v>35</v>
      </c>
      <c r="H104" s="226"/>
      <c r="I104" s="226"/>
      <c r="J104" s="226"/>
      <c r="K104" s="247"/>
      <c r="L104" s="226"/>
      <c r="M104" s="257"/>
      <c r="N104" s="226"/>
      <c r="O104" s="226"/>
      <c r="P104" s="226"/>
      <c r="Q104" s="226">
        <f>SUM(Q102,Q103)*GST</f>
        <v>19.216897988882636</v>
      </c>
      <c r="R104" s="248"/>
      <c r="S104" s="104"/>
      <c r="T104" s="104"/>
      <c r="U104" s="3"/>
      <c r="V104" s="3"/>
    </row>
    <row r="105" spans="1:22" s="19" customFormat="1" x14ac:dyDescent="0.3">
      <c r="A105" s="3"/>
      <c r="B105" s="3" t="str">
        <f t="shared" ref="B105:D105" si="74">B104</f>
        <v>Energex</v>
      </c>
      <c r="C105" s="3" t="str">
        <f t="shared" si="74"/>
        <v>Residential</v>
      </c>
      <c r="D105" s="3" t="str">
        <f t="shared" si="74"/>
        <v>with CL</v>
      </c>
      <c r="E105" s="3"/>
      <c r="F105" s="228"/>
      <c r="G105" s="5" t="s">
        <v>77</v>
      </c>
      <c r="H105" s="227"/>
      <c r="I105" s="227"/>
      <c r="J105" s="227"/>
      <c r="K105" s="248"/>
      <c r="L105" s="227"/>
      <c r="M105" s="258"/>
      <c r="N105" s="227"/>
      <c r="O105" s="227"/>
      <c r="P105" s="227"/>
      <c r="Q105" s="227">
        <f>SUM(Q102:Q104)</f>
        <v>211.38587787770896</v>
      </c>
      <c r="R105" s="248"/>
      <c r="S105" s="104"/>
      <c r="T105" s="104"/>
      <c r="U105" s="3"/>
      <c r="V105" s="3"/>
    </row>
    <row r="106" spans="1:22" s="19" customFormat="1" x14ac:dyDescent="0.35">
      <c r="A106" s="3"/>
      <c r="B106" s="3" t="str">
        <f t="shared" ref="B106:D106" si="75">B105</f>
        <v>Energex</v>
      </c>
      <c r="C106" s="3" t="str">
        <f t="shared" si="75"/>
        <v>Residential</v>
      </c>
      <c r="D106" s="3" t="str">
        <f t="shared" si="75"/>
        <v>with CL</v>
      </c>
      <c r="E106" s="3"/>
      <c r="F106" s="228"/>
      <c r="G106" s="3"/>
      <c r="H106" s="224"/>
      <c r="I106" s="224"/>
      <c r="J106" s="224"/>
      <c r="K106" s="246"/>
      <c r="L106" s="224"/>
      <c r="M106" s="256"/>
      <c r="N106" s="224"/>
      <c r="O106" s="224"/>
      <c r="P106" s="224"/>
      <c r="Q106" s="224"/>
      <c r="R106" s="246"/>
      <c r="U106" s="3"/>
      <c r="V106" s="3"/>
    </row>
    <row r="107" spans="1:22" s="19" customFormat="1" x14ac:dyDescent="0.35">
      <c r="A107" s="3"/>
      <c r="B107" s="5" t="s">
        <v>0</v>
      </c>
      <c r="C107" s="5" t="s">
        <v>14</v>
      </c>
      <c r="D107" s="5" t="s">
        <v>136</v>
      </c>
      <c r="E107" s="3"/>
      <c r="F107" s="228"/>
      <c r="G107" s="3"/>
      <c r="H107" s="224"/>
      <c r="I107" s="224"/>
      <c r="J107" s="224"/>
      <c r="K107" s="246"/>
      <c r="L107" s="224"/>
      <c r="M107" s="256"/>
      <c r="N107" s="224"/>
      <c r="O107" s="224"/>
      <c r="P107" s="224"/>
      <c r="Q107" s="224"/>
      <c r="R107" s="246"/>
      <c r="U107" s="3"/>
      <c r="V107" s="3"/>
    </row>
    <row r="108" spans="1:22" outlineLevel="1" x14ac:dyDescent="0.3">
      <c r="B108" s="3" t="str">
        <f t="shared" ref="B108:D108" si="76">B107</f>
        <v>Energex</v>
      </c>
      <c r="C108" s="3" t="str">
        <f t="shared" si="76"/>
        <v>Small business</v>
      </c>
      <c r="D108" s="3" t="str">
        <f t="shared" si="76"/>
        <v>without CL</v>
      </c>
      <c r="E108" s="3" t="s">
        <v>21</v>
      </c>
      <c r="F108" s="228">
        <f t="array" ref="F108">IFERROR(INDEX(Usage!$B$5:$P$18,MATCH($B108,Usage!$B$5:$B$18,0),MATCH($C108&amp;$D108&amp;$E108&amp;"Total",Usage!$B$5:$S$5&amp;Usage!$B$6:$S$6&amp;Usage!$B$7:$S$7&amp;Usage!$B$13:$S$13,0)),0)</f>
        <v>10000</v>
      </c>
      <c r="G108" s="3" t="s">
        <v>190</v>
      </c>
      <c r="H108" s="224" t="str" cm="1">
        <f t="array" ref="H108">IFERROR(INDEX('Detail inputs'!$B$3:$K$193,MATCH($B108&amp;$G108&amp;H$5&amp;$C108,'Detail inputs'!$B$3:$B$193&amp;'Detail inputs'!$G$3:$G$193&amp;'Detail inputs'!$H$3:$H$193&amp;'Detail inputs'!$D$3:$D$193,0),MATCH(H$4,'Detail inputs'!$B$3:$K$3,0)),0)</f>
        <v>NA</v>
      </c>
      <c r="I108" s="224"/>
      <c r="J108" s="224"/>
      <c r="K108" s="246"/>
      <c r="L108" s="225"/>
      <c r="M108" s="256"/>
      <c r="N108" s="225"/>
      <c r="O108" s="224" cm="1">
        <f t="array" ref="O108">IFERROR(INDEX('Detail inputs'!$B$3:$K$193,MATCH($B108&amp;$G108&amp;O$5&amp;$C108,'Detail inputs'!$B$3:$B$193&amp;'Detail inputs'!$G$3:$G$193&amp;'Detail inputs'!$H$3:$H$193&amp;'Detail inputs'!$D$3:$D$193,0),MATCH(O$4,'Detail inputs'!$B$3:$K$3,0)),0)</f>
        <v>153</v>
      </c>
      <c r="P108" s="224"/>
      <c r="Q108" s="224">
        <f>IF(AND(O108="",P108=""),"",O108+P108*$F108/1000)</f>
        <v>153</v>
      </c>
      <c r="R108" s="246">
        <f>IFERROR(Q108/Q111,"")</f>
        <v>0.78459573247657055</v>
      </c>
      <c r="S108" s="104"/>
      <c r="T108" s="104"/>
    </row>
    <row r="109" spans="1:22" outlineLevel="1" x14ac:dyDescent="0.3">
      <c r="B109" s="3" t="str">
        <f t="shared" ref="B109:D109" si="77">B108</f>
        <v>Energex</v>
      </c>
      <c r="C109" s="3" t="str">
        <f t="shared" si="77"/>
        <v>Small business</v>
      </c>
      <c r="D109" s="3" t="str">
        <f t="shared" si="77"/>
        <v>without CL</v>
      </c>
      <c r="E109" s="3" t="s">
        <v>21</v>
      </c>
      <c r="F109" s="228">
        <f t="array" ref="F109">IFERROR(INDEX(Usage!$B$5:$P$18,MATCH($B109,Usage!$B$5:$B$18,0),MATCH($C109&amp;$D109&amp;$E109&amp;"Total",Usage!$B$5:$S$5&amp;Usage!$B$6:$S$6&amp;Usage!$B$7:$S$7&amp;Usage!$B$13:$S$13,0)),0)</f>
        <v>10000</v>
      </c>
      <c r="G109" s="3" t="s">
        <v>191</v>
      </c>
      <c r="H109" s="224" t="str" cm="1">
        <f t="array" ref="H109">IFERROR(INDEX('Detail inputs'!$B$3:$K$193,MATCH($B109&amp;$G109&amp;H$5,'Detail inputs'!$B$3:$B$193&amp;'Detail inputs'!$G$3:$G$193&amp;'Detail inputs'!$H$3:$H$193,0),MATCH(H$4,'Detail inputs'!$B$3:$K$3,0)),0)</f>
        <v>NA</v>
      </c>
      <c r="I109" s="224"/>
      <c r="J109" s="224"/>
      <c r="K109" s="246"/>
      <c r="L109" s="225"/>
      <c r="M109" s="256"/>
      <c r="N109" s="225"/>
      <c r="O109" s="224" cm="1">
        <f t="array" ref="O109">IFERROR(INDEX('Detail inputs'!$B$3:$K$193,MATCH($B109&amp;$G109&amp;O$5&amp;$C109,'Detail inputs'!$B$3:$B$193&amp;'Detail inputs'!$G$3:$G$193&amp;'Detail inputs'!$H$3:$H$193&amp;'Detail inputs'!$D$3:$D$193,0),MATCH(O$4,'Detail inputs'!$B$3:$K$3,0)),0)</f>
        <v>16.29</v>
      </c>
      <c r="P109" s="224"/>
      <c r="Q109" s="224">
        <f>IF(AND(O109="",P109=""),"",O109+P109*$F109/1000)</f>
        <v>16.29</v>
      </c>
      <c r="R109" s="246">
        <f>IFERROR(Q109/Q111,"")</f>
        <v>8.3536369163681914E-2</v>
      </c>
      <c r="S109" s="104"/>
      <c r="T109" s="104"/>
    </row>
    <row r="110" spans="1:22" outlineLevel="1" x14ac:dyDescent="0.3">
      <c r="B110" s="3" t="str">
        <f t="shared" ref="B110:D110" si="78">B109</f>
        <v>Energex</v>
      </c>
      <c r="C110" s="3" t="str">
        <f t="shared" si="78"/>
        <v>Small business</v>
      </c>
      <c r="D110" s="3" t="str">
        <f t="shared" si="78"/>
        <v>without CL</v>
      </c>
      <c r="E110" s="3" t="s">
        <v>21</v>
      </c>
      <c r="F110" s="228">
        <f t="array" ref="F110">IFERROR(INDEX(Usage!$B$5:$P$18,MATCH($B110,Usage!$B$5:$B$18,0),MATCH($C110&amp;$D110&amp;$E110&amp;"Total",Usage!$B$5:$S$5&amp;Usage!$B$6:$S$6&amp;Usage!$B$7:$S$7&amp;Usage!$B$13:$S$13,0)),0)</f>
        <v>10000</v>
      </c>
      <c r="G110" s="3" t="s">
        <v>192</v>
      </c>
      <c r="H110" s="224" t="str" cm="1">
        <f t="array" ref="H110">IFERROR(INDEX('Detail inputs'!$B$3:$K$193,MATCH($B110&amp;$G110&amp;H$5,'Detail inputs'!$B$3:$B$193&amp;'Detail inputs'!$G$3:$G$193&amp;'Detail inputs'!$H$3:$H$193,0),MATCH(H$4,'Detail inputs'!$B$3:$K$3,0)),0)</f>
        <v>NA</v>
      </c>
      <c r="I110" s="224"/>
      <c r="J110" s="224"/>
      <c r="K110" s="246"/>
      <c r="L110" s="225"/>
      <c r="M110" s="256"/>
      <c r="N110" s="225"/>
      <c r="O110" s="224" cm="1">
        <f t="array" ref="O110">IFERROR(INDEX('Detail inputs'!$B$3:$K$193,MATCH($B110&amp;$G110&amp;O$5,'Detail inputs'!$B$3:$B$193&amp;'Detail inputs'!$G$3:$G$193&amp;'Detail inputs'!$H$3:$H$193,0),MATCH(O$4,'Detail inputs'!$B$3:$K$3,0)),0)</f>
        <v>25.714884256834605</v>
      </c>
      <c r="P110" s="224"/>
      <c r="Q110" s="224">
        <f>IF(AND(O110="",P110=""),"",O110+P110*$F110/1000)</f>
        <v>25.714884256834605</v>
      </c>
      <c r="R110" s="246">
        <f>IFERROR(Q110/Q111,"")</f>
        <v>0.13186789835974758</v>
      </c>
      <c r="S110" s="104"/>
      <c r="T110" s="104"/>
    </row>
    <row r="111" spans="1:22" s="65" customFormat="1" x14ac:dyDescent="0.3">
      <c r="A111" s="60"/>
      <c r="B111" s="3" t="str">
        <f t="shared" ref="B111:D111" si="79">B110</f>
        <v>Energex</v>
      </c>
      <c r="C111" s="3" t="str">
        <f t="shared" si="79"/>
        <v>Small business</v>
      </c>
      <c r="D111" s="3" t="str">
        <f t="shared" si="79"/>
        <v>without CL</v>
      </c>
      <c r="E111" s="3" t="s">
        <v>21</v>
      </c>
      <c r="F111" s="228">
        <f t="array" ref="F111">IFERROR(INDEX(Usage!$B$5:$P$18,MATCH($B111,Usage!$B$5:$B$18,0),MATCH($C111&amp;$D111&amp;$E111&amp;"Total",Usage!$B$5:$S$5&amp;Usage!$B$6:$S$6&amp;Usage!$B$7:$S$7&amp;Usage!$B$13:$S$13,0)),0)</f>
        <v>10000</v>
      </c>
      <c r="G111" s="60" t="s">
        <v>53</v>
      </c>
      <c r="H111" s="226"/>
      <c r="I111" s="226"/>
      <c r="J111" s="224"/>
      <c r="K111" s="247"/>
      <c r="L111" s="226"/>
      <c r="M111" s="257"/>
      <c r="N111" s="226"/>
      <c r="O111" s="226">
        <f>SUM(O108:O110)</f>
        <v>195.0048842568346</v>
      </c>
      <c r="P111" s="226"/>
      <c r="Q111" s="224">
        <f>IF(AND(O111="",P111=""),"",O111+P111*$F111/1000)</f>
        <v>195.0048842568346</v>
      </c>
      <c r="R111" s="247"/>
      <c r="S111" s="104"/>
      <c r="T111" s="104"/>
      <c r="U111" s="97"/>
      <c r="V111" s="97"/>
    </row>
    <row r="112" spans="1:22" s="65" customFormat="1" x14ac:dyDescent="0.3">
      <c r="A112" s="60"/>
      <c r="B112" s="3" t="str">
        <f t="shared" ref="B112:D112" si="80">B111</f>
        <v>Energex</v>
      </c>
      <c r="C112" s="3" t="str">
        <f t="shared" si="80"/>
        <v>Small business</v>
      </c>
      <c r="D112" s="3" t="str">
        <f t="shared" si="80"/>
        <v>without CL</v>
      </c>
      <c r="E112" s="3" t="s">
        <v>21</v>
      </c>
      <c r="F112" s="228">
        <f t="array" ref="F112">IFERROR(INDEX(Usage!$B$5:$P$18,MATCH($B112,Usage!$B$5:$B$18,0),MATCH($C112&amp;$D112&amp;$E112&amp;"Total",Usage!$B$5:$S$5&amp;Usage!$B$6:$S$6&amp;Usage!$B$7:$S$7&amp;Usage!$B$13:$S$13,0)),0)</f>
        <v>10000</v>
      </c>
      <c r="G112" s="60" t="s">
        <v>199</v>
      </c>
      <c r="H112" s="226"/>
      <c r="I112" s="226"/>
      <c r="J112" s="226"/>
      <c r="K112" s="247"/>
      <c r="L112" s="226"/>
      <c r="M112" s="257"/>
      <c r="N112" s="226"/>
      <c r="O112" s="226">
        <f>O111*CPI</f>
        <v>19.468800131991728</v>
      </c>
      <c r="P112" s="226"/>
      <c r="Q112" s="226">
        <f>Q111*CPI</f>
        <v>19.468800131991728</v>
      </c>
      <c r="R112" s="247"/>
      <c r="S112" s="104"/>
      <c r="T112" s="104"/>
      <c r="U112" s="3"/>
      <c r="V112" s="3"/>
    </row>
    <row r="113" spans="1:22" s="19" customFormat="1" outlineLevel="1" x14ac:dyDescent="0.3">
      <c r="A113" s="3"/>
      <c r="B113" s="3" t="str">
        <f t="shared" ref="B113:D113" si="81">B112</f>
        <v>Energex</v>
      </c>
      <c r="C113" s="3" t="str">
        <f t="shared" si="81"/>
        <v>Small business</v>
      </c>
      <c r="D113" s="3" t="str">
        <f t="shared" si="81"/>
        <v>without CL</v>
      </c>
      <c r="E113" s="3"/>
      <c r="F113" s="228"/>
      <c r="G113" s="60" t="s">
        <v>35</v>
      </c>
      <c r="H113" s="226"/>
      <c r="I113" s="226"/>
      <c r="J113" s="226"/>
      <c r="K113" s="247"/>
      <c r="L113" s="226"/>
      <c r="M113" s="257"/>
      <c r="N113" s="226"/>
      <c r="O113" s="226"/>
      <c r="P113" s="226"/>
      <c r="Q113" s="226">
        <f>SUM(Q111,Q112)*GST</f>
        <v>21.447368438882634</v>
      </c>
      <c r="R113" s="248"/>
      <c r="S113" s="104"/>
      <c r="T113" s="104"/>
      <c r="U113" s="3"/>
      <c r="V113" s="3"/>
    </row>
    <row r="114" spans="1:22" s="19" customFormat="1" x14ac:dyDescent="0.3">
      <c r="A114" s="3"/>
      <c r="B114" s="3" t="str">
        <f t="shared" ref="B114:D114" si="82">B113</f>
        <v>Energex</v>
      </c>
      <c r="C114" s="3" t="str">
        <f t="shared" si="82"/>
        <v>Small business</v>
      </c>
      <c r="D114" s="3" t="str">
        <f t="shared" si="82"/>
        <v>without CL</v>
      </c>
      <c r="E114" s="3"/>
      <c r="F114" s="228"/>
      <c r="G114" s="5" t="s">
        <v>77</v>
      </c>
      <c r="H114" s="227"/>
      <c r="I114" s="227"/>
      <c r="J114" s="227"/>
      <c r="K114" s="248"/>
      <c r="L114" s="227"/>
      <c r="M114" s="258"/>
      <c r="N114" s="227"/>
      <c r="O114" s="227"/>
      <c r="P114" s="227"/>
      <c r="Q114" s="227">
        <f>SUM(Q111:Q113)</f>
        <v>235.92105282770893</v>
      </c>
      <c r="R114" s="248"/>
      <c r="S114" s="104"/>
      <c r="T114" s="104"/>
      <c r="U114" s="3"/>
      <c r="V114" s="3"/>
    </row>
    <row r="115" spans="1:22" s="19" customFormat="1" x14ac:dyDescent="0.35">
      <c r="A115" s="3"/>
      <c r="B115" s="3" t="str">
        <f t="shared" ref="B115:D115" si="83">B114</f>
        <v>Energex</v>
      </c>
      <c r="C115" s="3" t="str">
        <f t="shared" si="83"/>
        <v>Small business</v>
      </c>
      <c r="D115" s="3" t="str">
        <f t="shared" si="83"/>
        <v>without CL</v>
      </c>
      <c r="E115" s="3"/>
      <c r="F115" s="228"/>
      <c r="G115" s="3"/>
      <c r="H115" s="224"/>
      <c r="I115" s="224"/>
      <c r="J115" s="224"/>
      <c r="K115" s="246"/>
      <c r="L115" s="224"/>
      <c r="M115" s="256"/>
      <c r="N115" s="224"/>
      <c r="O115" s="224"/>
      <c r="P115" s="224"/>
      <c r="Q115" s="224"/>
      <c r="R115" s="246"/>
      <c r="U115" s="3"/>
      <c r="V115" s="3"/>
    </row>
    <row r="116" spans="1:22" x14ac:dyDescent="0.3">
      <c r="B116" s="5" t="s">
        <v>5</v>
      </c>
      <c r="C116" s="5" t="s">
        <v>6</v>
      </c>
      <c r="D116" s="5" t="s">
        <v>136</v>
      </c>
      <c r="F116" s="228"/>
      <c r="H116" s="224"/>
      <c r="I116" s="224"/>
      <c r="J116" s="224"/>
      <c r="K116" s="246"/>
      <c r="L116" s="225"/>
      <c r="M116" s="256"/>
      <c r="N116" s="225"/>
      <c r="O116" s="224"/>
      <c r="P116" s="224"/>
      <c r="Q116" s="224"/>
      <c r="R116" s="246"/>
      <c r="S116" s="104"/>
      <c r="T116" s="104"/>
    </row>
    <row r="117" spans="1:22" outlineLevel="1" x14ac:dyDescent="0.3">
      <c r="B117" s="3" t="str">
        <f>B116</f>
        <v>SAPN</v>
      </c>
      <c r="C117" s="3" t="str">
        <f t="shared" ref="C117:D117" si="84">C116</f>
        <v>Residential</v>
      </c>
      <c r="D117" s="3" t="str">
        <f t="shared" si="84"/>
        <v>without CL</v>
      </c>
      <c r="E117" s="3" t="s">
        <v>21</v>
      </c>
      <c r="F117" s="228">
        <f t="array" ref="F117">IFERROR(INDEX(Usage!$B$5:$P$18,MATCH($B117,Usage!$B$5:$B$18,0),MATCH($C117&amp;$D117&amp;$E117&amp;"Total",Usage!$B$5:$S$5&amp;Usage!$B$6:$S$6&amp;Usage!$B$7:$S$7&amp;Usage!$B$13:$S$13,0)),0)</f>
        <v>4000</v>
      </c>
      <c r="G117" s="3" t="s">
        <v>190</v>
      </c>
      <c r="H117" s="224" t="str" cm="1">
        <f t="array" ref="H117">IFERROR(INDEX('Detail inputs'!$B$3:$K$193,MATCH($B117&amp;$G117&amp;H$5&amp;$C117,'Detail inputs'!$B$3:$B$193&amp;'Detail inputs'!$G$3:$G$193&amp;'Detail inputs'!$H$3:$H$193&amp;'Detail inputs'!$D$3:$D$193,0),MATCH(H$4,'Detail inputs'!$B$3:$K$3,0)),0)</f>
        <v>NA</v>
      </c>
      <c r="I117" s="224"/>
      <c r="J117" s="224"/>
      <c r="K117" s="246"/>
      <c r="L117" s="225"/>
      <c r="M117" s="256"/>
      <c r="N117" s="225"/>
      <c r="O117" s="224" cm="1">
        <f t="array" ref="O117">IFERROR(INDEX('Detail inputs'!$B$3:$K$193,MATCH($B117&amp;$G117&amp;O$5&amp;$C117,'Detail inputs'!$B$3:$B$193&amp;'Detail inputs'!$G$3:$G$193&amp;'Detail inputs'!$H$3:$H$193&amp;'Detail inputs'!$D$3:$D$193,0),MATCH(O$4,'Detail inputs'!$B$3:$K$3,0)),0)</f>
        <v>133</v>
      </c>
      <c r="P117" s="224"/>
      <c r="Q117" s="224">
        <f>IF(AND(O117="",P117=""),"",O117+P117*$F117/1000)</f>
        <v>133</v>
      </c>
      <c r="R117" s="246">
        <f>IFERROR(Q117/Q120,"")</f>
        <v>0.72679627378726919</v>
      </c>
      <c r="S117" s="104"/>
      <c r="T117" s="104"/>
    </row>
    <row r="118" spans="1:22" outlineLevel="1" x14ac:dyDescent="0.3">
      <c r="B118" s="3" t="str">
        <f t="shared" ref="B118:D124" si="85">B117</f>
        <v>SAPN</v>
      </c>
      <c r="C118" s="3" t="str">
        <f t="shared" si="85"/>
        <v>Residential</v>
      </c>
      <c r="D118" s="3" t="str">
        <f t="shared" si="85"/>
        <v>without CL</v>
      </c>
      <c r="E118" s="3" t="s">
        <v>21</v>
      </c>
      <c r="F118" s="228">
        <f t="array" ref="F118">IFERROR(INDEX(Usage!$B$5:$P$18,MATCH($B118,Usage!$B$5:$B$18,0),MATCH($C118&amp;$D118&amp;$E118&amp;"Total",Usage!$B$5:$S$5&amp;Usage!$B$6:$S$6&amp;Usage!$B$7:$S$7&amp;Usage!$B$13:$S$13,0)),0)</f>
        <v>4000</v>
      </c>
      <c r="G118" s="3" t="s">
        <v>191</v>
      </c>
      <c r="H118" s="224" t="str" cm="1">
        <f t="array" ref="H118">IFERROR(INDEX('Detail inputs'!$B$3:$K$193,MATCH($B118&amp;$G118&amp;H$5,'Detail inputs'!$B$3:$B$193&amp;'Detail inputs'!$G$3:$G$193&amp;'Detail inputs'!$H$3:$H$193,0),MATCH(H$4,'Detail inputs'!$B$3:$K$3,0)),0)</f>
        <v>NA</v>
      </c>
      <c r="I118" s="224"/>
      <c r="J118" s="224"/>
      <c r="K118" s="246"/>
      <c r="L118" s="225"/>
      <c r="M118" s="256"/>
      <c r="N118" s="225"/>
      <c r="O118" s="224" cm="1">
        <f t="array" ref="O118">IFERROR(INDEX('Detail inputs'!$B$3:$K$193,MATCH($B118&amp;$G118&amp;O$5,'Detail inputs'!$B$3:$B$193&amp;'Detail inputs'!$G$3:$G$193&amp;'Detail inputs'!$H$3:$H$193,0),MATCH(O$4,'Detail inputs'!$B$3:$K$3,0)),0)</f>
        <v>24.28</v>
      </c>
      <c r="P118" s="224"/>
      <c r="Q118" s="224">
        <f>IF(AND(O118="",P118=""),"",O118+P118*$F118/1000)</f>
        <v>24.28</v>
      </c>
      <c r="R118" s="246">
        <f>IFERROR(Q118/Q120,"")</f>
        <v>0.13268130471845788</v>
      </c>
      <c r="S118" s="104"/>
      <c r="T118" s="104"/>
      <c r="U118" s="97"/>
      <c r="V118" s="97"/>
    </row>
    <row r="119" spans="1:22" outlineLevel="1" x14ac:dyDescent="0.3">
      <c r="B119" s="3" t="str">
        <f t="shared" si="85"/>
        <v>SAPN</v>
      </c>
      <c r="C119" s="3" t="str">
        <f t="shared" si="85"/>
        <v>Residential</v>
      </c>
      <c r="D119" s="3" t="str">
        <f t="shared" si="85"/>
        <v>without CL</v>
      </c>
      <c r="E119" s="3" t="s">
        <v>21</v>
      </c>
      <c r="F119" s="228">
        <f t="array" ref="F119">IFERROR(INDEX(Usage!$B$5:$P$18,MATCH($B119,Usage!$B$5:$B$18,0),MATCH($C119&amp;$D119&amp;$E119&amp;"Total",Usage!$B$5:$S$5&amp;Usage!$B$6:$S$6&amp;Usage!$B$7:$S$7&amp;Usage!$B$13:$S$13,0)),0)</f>
        <v>4000</v>
      </c>
      <c r="G119" s="3" t="s">
        <v>192</v>
      </c>
      <c r="H119" s="224" t="str" cm="1">
        <f t="array" ref="H119">IFERROR(INDEX('Detail inputs'!$B$3:$K$193,MATCH($B119&amp;$G119&amp;H$5,'Detail inputs'!$B$3:$B$193&amp;'Detail inputs'!$G$3:$G$193&amp;'Detail inputs'!$H$3:$H$193,0),MATCH(H$4,'Detail inputs'!$B$3:$K$3,0)),0)</f>
        <v>NA</v>
      </c>
      <c r="I119" s="224"/>
      <c r="J119" s="224"/>
      <c r="K119" s="246"/>
      <c r="L119" s="225"/>
      <c r="M119" s="256"/>
      <c r="N119" s="225"/>
      <c r="O119" s="224" cm="1">
        <f t="array" ref="O119">IFERROR(INDEX('Detail inputs'!$B$3:$K$193,MATCH($B119&amp;$G119&amp;O$5,'Detail inputs'!$B$3:$B$193&amp;'Detail inputs'!$G$3:$G$193&amp;'Detail inputs'!$H$3:$H$193,0),MATCH(O$4,'Detail inputs'!$B$3:$K$3,0)),0)</f>
        <v>25.714884256834605</v>
      </c>
      <c r="P119" s="224"/>
      <c r="Q119" s="224">
        <f>IF(AND(O119="",P119=""),"",O119+P119*$F119/1000)</f>
        <v>25.714884256834605</v>
      </c>
      <c r="R119" s="246">
        <f>IFERROR(Q119/Q120,"")</f>
        <v>0.14052242149427294</v>
      </c>
      <c r="S119" s="104"/>
      <c r="T119" s="104"/>
      <c r="U119" s="60"/>
      <c r="V119" s="60"/>
    </row>
    <row r="120" spans="1:22" s="65" customFormat="1" x14ac:dyDescent="0.3">
      <c r="A120" s="60"/>
      <c r="B120" s="3" t="str">
        <f t="shared" si="85"/>
        <v>SAPN</v>
      </c>
      <c r="C120" s="3" t="str">
        <f t="shared" si="85"/>
        <v>Residential</v>
      </c>
      <c r="D120" s="3" t="str">
        <f t="shared" si="85"/>
        <v>without CL</v>
      </c>
      <c r="E120" s="3" t="s">
        <v>21</v>
      </c>
      <c r="F120" s="228">
        <f t="array" ref="F120">IFERROR(INDEX(Usage!$B$5:$P$18,MATCH($B120,Usage!$B$5:$B$18,0),MATCH($C120&amp;$D120&amp;$E120&amp;"Total",Usage!$B$5:$S$5&amp;Usage!$B$6:$S$6&amp;Usage!$B$7:$S$7&amp;Usage!$B$13:$S$13,0)),0)</f>
        <v>4000</v>
      </c>
      <c r="G120" s="60" t="s">
        <v>53</v>
      </c>
      <c r="H120" s="226"/>
      <c r="I120" s="226"/>
      <c r="J120" s="224"/>
      <c r="K120" s="247"/>
      <c r="L120" s="226"/>
      <c r="M120" s="257"/>
      <c r="N120" s="226"/>
      <c r="O120" s="226">
        <f>SUM(O117:O119)</f>
        <v>182.99488425683461</v>
      </c>
      <c r="P120" s="226"/>
      <c r="Q120" s="224">
        <f>IF(AND(O120="",P120=""),"",O120+P120*$F120/1000)</f>
        <v>182.99488425683461</v>
      </c>
      <c r="R120" s="247"/>
      <c r="S120" s="104"/>
      <c r="T120" s="104"/>
      <c r="U120" s="3"/>
      <c r="V120" s="97"/>
    </row>
    <row r="121" spans="1:22" s="65" customFormat="1" x14ac:dyDescent="0.3">
      <c r="A121" s="60"/>
      <c r="B121" s="3" t="str">
        <f t="shared" si="85"/>
        <v>SAPN</v>
      </c>
      <c r="C121" s="3" t="str">
        <f t="shared" si="85"/>
        <v>Residential</v>
      </c>
      <c r="D121" s="3" t="str">
        <f t="shared" si="85"/>
        <v>without CL</v>
      </c>
      <c r="E121" s="3" t="s">
        <v>21</v>
      </c>
      <c r="F121" s="228">
        <f t="array" ref="F121">IFERROR(INDEX(Usage!$B$5:$P$18,MATCH($B121,Usage!$B$5:$B$18,0),MATCH($C121&amp;$D121&amp;$E121&amp;"Total",Usage!$B$5:$S$5&amp;Usage!$B$6:$S$6&amp;Usage!$B$7:$S$7&amp;Usage!$B$13:$S$13,0)),0)</f>
        <v>4000</v>
      </c>
      <c r="G121" s="60" t="s">
        <v>199</v>
      </c>
      <c r="H121" s="226"/>
      <c r="I121" s="226"/>
      <c r="J121" s="226"/>
      <c r="K121" s="247"/>
      <c r="L121" s="226"/>
      <c r="M121" s="257"/>
      <c r="N121" s="226"/>
      <c r="O121" s="226">
        <f>O120*CPI</f>
        <v>18.269751756991731</v>
      </c>
      <c r="P121" s="226"/>
      <c r="Q121" s="226">
        <f>Q120*CPI</f>
        <v>18.269751756991731</v>
      </c>
      <c r="R121" s="247"/>
      <c r="S121" s="104"/>
      <c r="T121" s="104"/>
      <c r="U121" s="3"/>
      <c r="V121" s="3"/>
    </row>
    <row r="122" spans="1:22" s="19" customFormat="1" outlineLevel="1" x14ac:dyDescent="0.3">
      <c r="A122" s="3"/>
      <c r="B122" s="3" t="str">
        <f t="shared" si="85"/>
        <v>SAPN</v>
      </c>
      <c r="C122" s="3" t="str">
        <f t="shared" si="85"/>
        <v>Residential</v>
      </c>
      <c r="D122" s="3" t="str">
        <f t="shared" si="85"/>
        <v>without CL</v>
      </c>
      <c r="E122" s="3"/>
      <c r="F122" s="228"/>
      <c r="G122" s="60" t="s">
        <v>35</v>
      </c>
      <c r="H122" s="226"/>
      <c r="I122" s="226"/>
      <c r="J122" s="226"/>
      <c r="K122" s="247"/>
      <c r="L122" s="226"/>
      <c r="M122" s="257"/>
      <c r="N122" s="226"/>
      <c r="O122" s="226"/>
      <c r="P122" s="226"/>
      <c r="Q122" s="226">
        <f>SUM(Q120,Q121)*GST</f>
        <v>20.126463601382635</v>
      </c>
      <c r="R122" s="248"/>
      <c r="S122" s="104"/>
      <c r="T122" s="104"/>
      <c r="U122" s="3"/>
      <c r="V122" s="3"/>
    </row>
    <row r="123" spans="1:22" s="19" customFormat="1" x14ac:dyDescent="0.3">
      <c r="A123" s="3"/>
      <c r="B123" s="3" t="str">
        <f t="shared" si="85"/>
        <v>SAPN</v>
      </c>
      <c r="C123" s="3" t="str">
        <f t="shared" si="85"/>
        <v>Residential</v>
      </c>
      <c r="D123" s="3" t="str">
        <f t="shared" si="85"/>
        <v>without CL</v>
      </c>
      <c r="E123" s="3"/>
      <c r="F123" s="228"/>
      <c r="G123" s="5" t="s">
        <v>77</v>
      </c>
      <c r="H123" s="227"/>
      <c r="I123" s="227"/>
      <c r="J123" s="227"/>
      <c r="K123" s="248"/>
      <c r="L123" s="227"/>
      <c r="M123" s="258"/>
      <c r="N123" s="227"/>
      <c r="O123" s="227"/>
      <c r="P123" s="227"/>
      <c r="Q123" s="227">
        <f>SUM(Q120:Q122)</f>
        <v>221.39109961520896</v>
      </c>
      <c r="R123" s="248"/>
      <c r="S123" s="104"/>
      <c r="T123" s="104"/>
      <c r="U123" s="3"/>
      <c r="V123" s="3"/>
    </row>
    <row r="124" spans="1:22" s="19" customFormat="1" x14ac:dyDescent="0.3">
      <c r="A124" s="3"/>
      <c r="B124" s="3" t="str">
        <f t="shared" si="85"/>
        <v>SAPN</v>
      </c>
      <c r="C124" s="3" t="str">
        <f t="shared" si="85"/>
        <v>Residential</v>
      </c>
      <c r="D124" s="3" t="str">
        <f t="shared" si="85"/>
        <v>without CL</v>
      </c>
      <c r="E124" s="3"/>
      <c r="F124" s="228"/>
      <c r="G124" s="3"/>
      <c r="H124" s="224"/>
      <c r="I124" s="224"/>
      <c r="J124" s="224"/>
      <c r="K124" s="246"/>
      <c r="L124" s="224"/>
      <c r="M124" s="256"/>
      <c r="N124" s="224"/>
      <c r="O124" s="224"/>
      <c r="P124" s="224"/>
      <c r="Q124" s="224"/>
      <c r="R124" s="246"/>
      <c r="S124" s="104"/>
      <c r="T124" s="104"/>
      <c r="U124" s="3"/>
      <c r="V124" s="3"/>
    </row>
    <row r="125" spans="1:22" s="19" customFormat="1" x14ac:dyDescent="0.3">
      <c r="A125" s="3"/>
      <c r="B125" s="5" t="s">
        <v>5</v>
      </c>
      <c r="C125" s="5" t="s">
        <v>6</v>
      </c>
      <c r="D125" s="5" t="s">
        <v>137</v>
      </c>
      <c r="E125" s="3"/>
      <c r="F125" s="228"/>
      <c r="G125" s="3"/>
      <c r="H125" s="224"/>
      <c r="I125" s="224"/>
      <c r="J125" s="224"/>
      <c r="K125" s="246"/>
      <c r="L125" s="224"/>
      <c r="M125" s="256"/>
      <c r="N125" s="224"/>
      <c r="O125" s="224"/>
      <c r="P125" s="224"/>
      <c r="Q125" s="224"/>
      <c r="R125" s="246"/>
      <c r="S125" s="104"/>
      <c r="T125" s="104"/>
      <c r="U125" s="3"/>
      <c r="V125" s="3"/>
    </row>
    <row r="126" spans="1:22" outlineLevel="1" x14ac:dyDescent="0.3">
      <c r="B126" s="3" t="str">
        <f t="shared" ref="B126:D126" si="86">B125</f>
        <v>SAPN</v>
      </c>
      <c r="C126" s="3" t="str">
        <f t="shared" si="86"/>
        <v>Residential</v>
      </c>
      <c r="D126" s="3" t="str">
        <f t="shared" si="86"/>
        <v>with CL</v>
      </c>
      <c r="E126" s="3" t="s">
        <v>21</v>
      </c>
      <c r="F126" s="228">
        <f t="array" ref="F126">IFERROR(INDEX(Usage!$B$5:$P$18,MATCH($B126,Usage!$B$5:$B$18,0),MATCH($C126&amp;$D126&amp;$E126&amp;"Total",Usage!$B$5:$S$5&amp;Usage!$B$6:$S$6&amp;Usage!$B$7:$S$7&amp;Usage!$B$13:$S$13,0)),0)</f>
        <v>4200</v>
      </c>
      <c r="G126" s="3" t="s">
        <v>190</v>
      </c>
      <c r="H126" s="224" t="str" cm="1">
        <f t="array" ref="H126">IFERROR(INDEX('Detail inputs'!$B$3:$K$193,MATCH($B126&amp;$G126&amp;H$5&amp;$C126,'Detail inputs'!$B$3:$B$193&amp;'Detail inputs'!$G$3:$G$193&amp;'Detail inputs'!$H$3:$H$193&amp;'Detail inputs'!$D$3:$D$193,0),MATCH(H$4,'Detail inputs'!$B$3:$K$3,0)),0)</f>
        <v>NA</v>
      </c>
      <c r="I126" s="224"/>
      <c r="J126" s="224"/>
      <c r="K126" s="246"/>
      <c r="L126" s="225"/>
      <c r="M126" s="256"/>
      <c r="N126" s="225"/>
      <c r="O126" s="224" cm="1">
        <f t="array" ref="O126">IFERROR(INDEX('Detail inputs'!$B$3:$K$193,MATCH($B126&amp;$G126&amp;O$5&amp;$C126,'Detail inputs'!$B$3:$B$193&amp;'Detail inputs'!$G$3:$G$193&amp;'Detail inputs'!$H$3:$H$193&amp;'Detail inputs'!$D$3:$D$193,0),MATCH(O$4,'Detail inputs'!$B$3:$K$3,0)),0)</f>
        <v>133</v>
      </c>
      <c r="P126" s="224"/>
      <c r="Q126" s="224">
        <f>IF(AND(O126="",P126=""),"",O126+P126*$F126/1000)</f>
        <v>133</v>
      </c>
      <c r="R126" s="246">
        <f>IFERROR(Q126/Q129,"")</f>
        <v>0.72679627378726919</v>
      </c>
      <c r="S126" s="104"/>
      <c r="T126" s="104"/>
    </row>
    <row r="127" spans="1:22" outlineLevel="1" x14ac:dyDescent="0.3">
      <c r="B127" s="3" t="str">
        <f t="shared" ref="B127:D127" si="87">B126</f>
        <v>SAPN</v>
      </c>
      <c r="C127" s="3" t="str">
        <f t="shared" si="87"/>
        <v>Residential</v>
      </c>
      <c r="D127" s="3" t="str">
        <f t="shared" si="87"/>
        <v>with CL</v>
      </c>
      <c r="E127" s="3" t="s">
        <v>21</v>
      </c>
      <c r="F127" s="228">
        <f t="array" ref="F127">IFERROR(INDEX(Usage!$B$5:$P$18,MATCH($B127,Usage!$B$5:$B$18,0),MATCH($C127&amp;$D127&amp;$E127&amp;"Total",Usage!$B$5:$S$5&amp;Usage!$B$6:$S$6&amp;Usage!$B$7:$S$7&amp;Usage!$B$13:$S$13,0)),0)</f>
        <v>4200</v>
      </c>
      <c r="G127" s="3" t="s">
        <v>191</v>
      </c>
      <c r="H127" s="224" t="str" cm="1">
        <f t="array" ref="H127">IFERROR(INDEX('Detail inputs'!$B$3:$K$193,MATCH($B127&amp;$G127&amp;H$5,'Detail inputs'!$B$3:$B$193&amp;'Detail inputs'!$G$3:$G$193&amp;'Detail inputs'!$H$3:$H$193,0),MATCH(H$4,'Detail inputs'!$B$3:$K$3,0)),0)</f>
        <v>NA</v>
      </c>
      <c r="I127" s="224"/>
      <c r="J127" s="224"/>
      <c r="K127" s="246"/>
      <c r="L127" s="225"/>
      <c r="M127" s="256"/>
      <c r="N127" s="225"/>
      <c r="O127" s="224" cm="1">
        <f t="array" ref="O127">IFERROR(INDEX('Detail inputs'!$B$3:$K$193,MATCH($B127&amp;$G127&amp;O$5,'Detail inputs'!$B$3:$B$193&amp;'Detail inputs'!$G$3:$G$193&amp;'Detail inputs'!$H$3:$H$193,0),MATCH(O$4,'Detail inputs'!$B$3:$K$3,0)),0)</f>
        <v>24.28</v>
      </c>
      <c r="P127" s="224"/>
      <c r="Q127" s="224">
        <f>IF(AND(O127="",P127=""),"",O127+P127*$F127/1000)</f>
        <v>24.28</v>
      </c>
      <c r="R127" s="246">
        <f>IFERROR(Q127/Q129,"")</f>
        <v>0.13268130471845788</v>
      </c>
      <c r="S127" s="104"/>
      <c r="T127" s="104"/>
    </row>
    <row r="128" spans="1:22" outlineLevel="1" x14ac:dyDescent="0.3">
      <c r="B128" s="3" t="str">
        <f t="shared" ref="B128:D128" si="88">B127</f>
        <v>SAPN</v>
      </c>
      <c r="C128" s="3" t="str">
        <f t="shared" si="88"/>
        <v>Residential</v>
      </c>
      <c r="D128" s="3" t="str">
        <f t="shared" si="88"/>
        <v>with CL</v>
      </c>
      <c r="E128" s="3" t="s">
        <v>21</v>
      </c>
      <c r="F128" s="228">
        <f t="array" ref="F128">IFERROR(INDEX(Usage!$B$5:$P$18,MATCH($B128,Usage!$B$5:$B$18,0),MATCH($C128&amp;$D128&amp;$E128&amp;"Total",Usage!$B$5:$S$5&amp;Usage!$B$6:$S$6&amp;Usage!$B$7:$S$7&amp;Usage!$B$13:$S$13,0)),0)</f>
        <v>4200</v>
      </c>
      <c r="G128" s="3" t="s">
        <v>192</v>
      </c>
      <c r="H128" s="224" t="str" cm="1">
        <f t="array" ref="H128">IFERROR(INDEX('Detail inputs'!$B$3:$K$193,MATCH($B128&amp;$G128&amp;H$5,'Detail inputs'!$B$3:$B$193&amp;'Detail inputs'!$G$3:$G$193&amp;'Detail inputs'!$H$3:$H$193,0),MATCH(H$4,'Detail inputs'!$B$3:$K$3,0)),0)</f>
        <v>NA</v>
      </c>
      <c r="I128" s="224"/>
      <c r="J128" s="224"/>
      <c r="K128" s="246"/>
      <c r="L128" s="225"/>
      <c r="M128" s="256"/>
      <c r="N128" s="225"/>
      <c r="O128" s="224" cm="1">
        <f t="array" ref="O128">IFERROR(INDEX('Detail inputs'!$B$3:$K$193,MATCH($B128&amp;$G128&amp;O$5,'Detail inputs'!$B$3:$B$193&amp;'Detail inputs'!$G$3:$G$193&amp;'Detail inputs'!$H$3:$H$193,0),MATCH(O$4,'Detail inputs'!$B$3:$K$3,0)),0)</f>
        <v>25.714884256834605</v>
      </c>
      <c r="P128" s="224"/>
      <c r="Q128" s="224">
        <f>IF(AND(O128="",P128=""),"",O128+P128*$F128/1000)</f>
        <v>25.714884256834605</v>
      </c>
      <c r="R128" s="246">
        <f>IFERROR(Q128/Q129,"")</f>
        <v>0.14052242149427294</v>
      </c>
      <c r="S128" s="104"/>
      <c r="T128" s="104"/>
    </row>
    <row r="129" spans="1:22" s="65" customFormat="1" x14ac:dyDescent="0.3">
      <c r="A129" s="60"/>
      <c r="B129" s="3" t="str">
        <f t="shared" ref="B129:D129" si="89">B128</f>
        <v>SAPN</v>
      </c>
      <c r="C129" s="3" t="str">
        <f t="shared" si="89"/>
        <v>Residential</v>
      </c>
      <c r="D129" s="3" t="str">
        <f t="shared" si="89"/>
        <v>with CL</v>
      </c>
      <c r="E129" s="3" t="s">
        <v>21</v>
      </c>
      <c r="F129" s="228">
        <f t="array" ref="F129">IFERROR(INDEX(Usage!$B$5:$P$18,MATCH($B129,Usage!$B$5:$B$18,0),MATCH($C129&amp;$D129&amp;$E129&amp;"Total",Usage!$B$5:$S$5&amp;Usage!$B$6:$S$6&amp;Usage!$B$7:$S$7&amp;Usage!$B$13:$S$13,0)),0)</f>
        <v>4200</v>
      </c>
      <c r="G129" s="60" t="s">
        <v>53</v>
      </c>
      <c r="H129" s="226"/>
      <c r="I129" s="226"/>
      <c r="J129" s="224"/>
      <c r="K129" s="247"/>
      <c r="L129" s="226"/>
      <c r="M129" s="257"/>
      <c r="N129" s="226"/>
      <c r="O129" s="226">
        <f>SUM(O126:O128)</f>
        <v>182.99488425683461</v>
      </c>
      <c r="P129" s="226"/>
      <c r="Q129" s="224">
        <f>IF(AND(O129="",P129=""),"",O129+P129*$F129/1000)</f>
        <v>182.99488425683461</v>
      </c>
      <c r="R129" s="247"/>
      <c r="S129" s="104"/>
      <c r="T129" s="104"/>
      <c r="U129" s="3"/>
      <c r="V129" s="97"/>
    </row>
    <row r="130" spans="1:22" s="65" customFormat="1" x14ac:dyDescent="0.3">
      <c r="A130" s="60"/>
      <c r="B130" s="3" t="str">
        <f t="shared" ref="B130:D130" si="90">B129</f>
        <v>SAPN</v>
      </c>
      <c r="C130" s="3" t="str">
        <f t="shared" si="90"/>
        <v>Residential</v>
      </c>
      <c r="D130" s="3" t="str">
        <f t="shared" si="90"/>
        <v>with CL</v>
      </c>
      <c r="E130" s="3" t="s">
        <v>21</v>
      </c>
      <c r="F130" s="228">
        <f t="array" ref="F130">IFERROR(INDEX(Usage!$B$5:$P$18,MATCH($B130,Usage!$B$5:$B$18,0),MATCH($C130&amp;$D130&amp;$E130&amp;"Total",Usage!$B$5:$S$5&amp;Usage!$B$6:$S$6&amp;Usage!$B$7:$S$7&amp;Usage!$B$13:$S$13,0)),0)</f>
        <v>4200</v>
      </c>
      <c r="G130" s="60" t="s">
        <v>199</v>
      </c>
      <c r="H130" s="226"/>
      <c r="I130" s="226"/>
      <c r="J130" s="226"/>
      <c r="K130" s="247"/>
      <c r="L130" s="226"/>
      <c r="M130" s="257"/>
      <c r="N130" s="226"/>
      <c r="O130" s="226">
        <f>O129*CPI</f>
        <v>18.269751756991731</v>
      </c>
      <c r="P130" s="226"/>
      <c r="Q130" s="226">
        <f>Q129*CPI</f>
        <v>18.269751756991731</v>
      </c>
      <c r="R130" s="247"/>
      <c r="S130" s="104"/>
      <c r="T130" s="104"/>
      <c r="U130" s="97"/>
      <c r="V130" s="97"/>
    </row>
    <row r="131" spans="1:22" s="19" customFormat="1" outlineLevel="1" x14ac:dyDescent="0.3">
      <c r="A131" s="3"/>
      <c r="B131" s="3" t="str">
        <f t="shared" ref="B131:D131" si="91">B130</f>
        <v>SAPN</v>
      </c>
      <c r="C131" s="3" t="str">
        <f t="shared" si="91"/>
        <v>Residential</v>
      </c>
      <c r="D131" s="3" t="str">
        <f t="shared" si="91"/>
        <v>with CL</v>
      </c>
      <c r="E131" s="3"/>
      <c r="F131" s="228"/>
      <c r="G131" s="60" t="s">
        <v>35</v>
      </c>
      <c r="H131" s="226"/>
      <c r="I131" s="226"/>
      <c r="J131" s="226"/>
      <c r="K131" s="247"/>
      <c r="L131" s="226"/>
      <c r="M131" s="257"/>
      <c r="N131" s="226"/>
      <c r="O131" s="226"/>
      <c r="P131" s="226"/>
      <c r="Q131" s="226">
        <f>SUM(Q129,Q130)*GST</f>
        <v>20.126463601382635</v>
      </c>
      <c r="R131" s="248"/>
      <c r="S131" s="104"/>
      <c r="T131" s="104"/>
      <c r="U131" s="3"/>
      <c r="V131" s="3"/>
    </row>
    <row r="132" spans="1:22" s="19" customFormat="1" x14ac:dyDescent="0.3">
      <c r="A132" s="3"/>
      <c r="B132" s="3" t="str">
        <f t="shared" ref="B132:D132" si="92">B131</f>
        <v>SAPN</v>
      </c>
      <c r="C132" s="3" t="str">
        <f t="shared" si="92"/>
        <v>Residential</v>
      </c>
      <c r="D132" s="3" t="str">
        <f t="shared" si="92"/>
        <v>with CL</v>
      </c>
      <c r="E132" s="3"/>
      <c r="F132" s="228"/>
      <c r="G132" s="5" t="s">
        <v>77</v>
      </c>
      <c r="H132" s="227"/>
      <c r="I132" s="227"/>
      <c r="J132" s="227"/>
      <c r="K132" s="248"/>
      <c r="L132" s="227"/>
      <c r="M132" s="258"/>
      <c r="N132" s="227"/>
      <c r="O132" s="227"/>
      <c r="P132" s="227"/>
      <c r="Q132" s="227">
        <f>SUM(Q129:Q131)</f>
        <v>221.39109961520896</v>
      </c>
      <c r="R132" s="248"/>
      <c r="S132" s="104"/>
      <c r="T132" s="104"/>
      <c r="U132" s="3"/>
      <c r="V132" s="3"/>
    </row>
    <row r="133" spans="1:22" s="19" customFormat="1" x14ac:dyDescent="0.35">
      <c r="A133" s="3"/>
      <c r="B133" s="3" t="str">
        <f t="shared" ref="B133:D133" si="93">B132</f>
        <v>SAPN</v>
      </c>
      <c r="C133" s="3" t="str">
        <f t="shared" si="93"/>
        <v>Residential</v>
      </c>
      <c r="D133" s="3" t="str">
        <f t="shared" si="93"/>
        <v>with CL</v>
      </c>
      <c r="E133" s="3"/>
      <c r="F133" s="228"/>
      <c r="G133" s="3"/>
      <c r="H133" s="224"/>
      <c r="I133" s="224"/>
      <c r="J133" s="224"/>
      <c r="K133" s="246"/>
      <c r="L133" s="224"/>
      <c r="M133" s="256"/>
      <c r="N133" s="224"/>
      <c r="O133" s="224"/>
      <c r="P133" s="224"/>
      <c r="Q133" s="224"/>
      <c r="R133" s="246"/>
      <c r="U133" s="3"/>
      <c r="V133" s="3"/>
    </row>
    <row r="134" spans="1:22" s="19" customFormat="1" x14ac:dyDescent="0.35">
      <c r="A134" s="3"/>
      <c r="B134" s="5" t="s">
        <v>5</v>
      </c>
      <c r="C134" s="5" t="s">
        <v>14</v>
      </c>
      <c r="D134" s="5" t="s">
        <v>136</v>
      </c>
      <c r="E134" s="3"/>
      <c r="F134" s="228"/>
      <c r="G134" s="3"/>
      <c r="H134" s="224"/>
      <c r="I134" s="224"/>
      <c r="J134" s="224"/>
      <c r="K134" s="246"/>
      <c r="L134" s="224"/>
      <c r="M134" s="256"/>
      <c r="N134" s="224"/>
      <c r="O134" s="224"/>
      <c r="P134" s="224"/>
      <c r="Q134" s="224"/>
      <c r="R134" s="246"/>
      <c r="U134" s="3"/>
      <c r="V134" s="3"/>
    </row>
    <row r="135" spans="1:22" outlineLevel="1" x14ac:dyDescent="0.3">
      <c r="B135" s="3" t="str">
        <f t="shared" ref="B135:D135" si="94">B134</f>
        <v>SAPN</v>
      </c>
      <c r="C135" s="3" t="str">
        <f t="shared" si="94"/>
        <v>Small business</v>
      </c>
      <c r="D135" s="3" t="str">
        <f t="shared" si="94"/>
        <v>without CL</v>
      </c>
      <c r="E135" s="3" t="s">
        <v>21</v>
      </c>
      <c r="F135" s="228">
        <f t="array" ref="F135">IFERROR(INDEX(Usage!$B$5:$P$18,MATCH($B135,Usage!$B$5:$B$18,0),MATCH($C135&amp;$D135&amp;$E135&amp;"Total",Usage!$B$5:$S$5&amp;Usage!$B$6:$S$6&amp;Usage!$B$7:$S$7&amp;Usage!$B$13:$S$13,0)),0)</f>
        <v>10000</v>
      </c>
      <c r="G135" s="3" t="s">
        <v>190</v>
      </c>
      <c r="H135" s="224" t="str" cm="1">
        <f t="array" ref="H135">IFERROR(INDEX('Detail inputs'!$B$3:$K$193,MATCH($B135&amp;$G135&amp;H$5&amp;$C135,'Detail inputs'!$B$3:$B$193&amp;'Detail inputs'!$G$3:$G$193&amp;'Detail inputs'!$H$3:$H$193&amp;'Detail inputs'!$D$3:$D$193,0),MATCH(H$4,'Detail inputs'!$B$3:$K$3,0)),0)</f>
        <v>NA</v>
      </c>
      <c r="I135" s="224"/>
      <c r="J135" s="224"/>
      <c r="K135" s="246"/>
      <c r="L135" s="225"/>
      <c r="M135" s="256"/>
      <c r="N135" s="225"/>
      <c r="O135" s="224" cm="1">
        <f t="array" ref="O135">IFERROR(INDEX('Detail inputs'!$B$3:$K$193,MATCH($B135&amp;$G135&amp;O$5&amp;$C135,'Detail inputs'!$B$3:$B$193&amp;'Detail inputs'!$G$3:$G$193&amp;'Detail inputs'!$H$3:$H$193&amp;'Detail inputs'!$D$3:$D$193,0),MATCH(O$4,'Detail inputs'!$B$3:$K$3,0)),0)</f>
        <v>153</v>
      </c>
      <c r="P135" s="224"/>
      <c r="Q135" s="224">
        <f>IF(AND(O135="",P135=""),"",O135+P135*$F135/1000)</f>
        <v>153</v>
      </c>
      <c r="R135" s="246">
        <f>IFERROR(Q135/Q138,"")</f>
        <v>0.82839327475491931</v>
      </c>
      <c r="S135" s="104"/>
      <c r="T135" s="104"/>
    </row>
    <row r="136" spans="1:22" outlineLevel="1" x14ac:dyDescent="0.3">
      <c r="B136" s="3" t="str">
        <f t="shared" ref="B136:D136" si="95">B135</f>
        <v>SAPN</v>
      </c>
      <c r="C136" s="3" t="str">
        <f t="shared" si="95"/>
        <v>Small business</v>
      </c>
      <c r="D136" s="3" t="str">
        <f t="shared" si="95"/>
        <v>without CL</v>
      </c>
      <c r="E136" s="3" t="s">
        <v>21</v>
      </c>
      <c r="F136" s="228">
        <f t="array" ref="F136">IFERROR(INDEX(Usage!$B$5:$P$18,MATCH($B136,Usage!$B$5:$B$18,0),MATCH($C136&amp;$D136&amp;$E136&amp;"Total",Usage!$B$5:$S$5&amp;Usage!$B$6:$S$6&amp;Usage!$B$7:$S$7&amp;Usage!$B$13:$S$13,0)),0)</f>
        <v>10000</v>
      </c>
      <c r="G136" s="3" t="s">
        <v>191</v>
      </c>
      <c r="H136" s="224" t="str" cm="1">
        <f t="array" ref="H136">IFERROR(INDEX('Detail inputs'!$B$3:$K$193,MATCH($B136&amp;$G136&amp;H$5,'Detail inputs'!$B$3:$B$193&amp;'Detail inputs'!$G$3:$G$193&amp;'Detail inputs'!$H$3:$H$193,0),MATCH(H$4,'Detail inputs'!$B$3:$K$3,0)),0)</f>
        <v>NA</v>
      </c>
      <c r="I136" s="224"/>
      <c r="J136" s="224"/>
      <c r="K136" s="246"/>
      <c r="L136" s="225"/>
      <c r="M136" s="256"/>
      <c r="N136" s="225"/>
      <c r="O136" s="224" cm="1">
        <f t="array" ref="O136">IFERROR(INDEX('Detail inputs'!$B$3:$K$193,MATCH($B136&amp;$G136&amp;O$5&amp;$C136,'Detail inputs'!$B$3:$B$193&amp;'Detail inputs'!$G$3:$G$193&amp;'Detail inputs'!$H$3:$H$193&amp;'Detail inputs'!$D$3:$D$193,0),MATCH(O$4,'Detail inputs'!$B$3:$K$3,0)),0)</f>
        <v>5.98</v>
      </c>
      <c r="P136" s="224"/>
      <c r="Q136" s="224">
        <f>IF(AND(O136="",P136=""),"",O136+P136*$F136/1000)</f>
        <v>5.98</v>
      </c>
      <c r="R136" s="246">
        <f>IFERROR(Q136/Q138,"")</f>
        <v>3.2377724072120376E-2</v>
      </c>
      <c r="S136" s="104"/>
      <c r="T136" s="104"/>
    </row>
    <row r="137" spans="1:22" outlineLevel="1" x14ac:dyDescent="0.3">
      <c r="B137" s="3" t="str">
        <f t="shared" ref="B137:D137" si="96">B136</f>
        <v>SAPN</v>
      </c>
      <c r="C137" s="3" t="str">
        <f t="shared" si="96"/>
        <v>Small business</v>
      </c>
      <c r="D137" s="3" t="str">
        <f t="shared" si="96"/>
        <v>without CL</v>
      </c>
      <c r="E137" s="3" t="s">
        <v>21</v>
      </c>
      <c r="F137" s="228">
        <f t="array" ref="F137">IFERROR(INDEX(Usage!$B$5:$P$18,MATCH($B137,Usage!$B$5:$B$18,0),MATCH($C137&amp;$D137&amp;$E137&amp;"Total",Usage!$B$5:$S$5&amp;Usage!$B$6:$S$6&amp;Usage!$B$7:$S$7&amp;Usage!$B$13:$S$13,0)),0)</f>
        <v>10000</v>
      </c>
      <c r="G137" s="3" t="s">
        <v>192</v>
      </c>
      <c r="H137" s="224" t="str" cm="1">
        <f t="array" ref="H137">IFERROR(INDEX('Detail inputs'!$B$3:$K$193,MATCH($B137&amp;$G137&amp;H$5,'Detail inputs'!$B$3:$B$193&amp;'Detail inputs'!$G$3:$G$193&amp;'Detail inputs'!$H$3:$H$193,0),MATCH(H$4,'Detail inputs'!$B$3:$K$3,0)),0)</f>
        <v>NA</v>
      </c>
      <c r="I137" s="224"/>
      <c r="J137" s="224"/>
      <c r="K137" s="246"/>
      <c r="L137" s="225"/>
      <c r="M137" s="256"/>
      <c r="N137" s="225"/>
      <c r="O137" s="224" cm="1">
        <f t="array" ref="O137">IFERROR(INDEX('Detail inputs'!$B$3:$K$193,MATCH($B137&amp;$G137&amp;O$5,'Detail inputs'!$B$3:$B$193&amp;'Detail inputs'!$G$3:$G$193&amp;'Detail inputs'!$H$3:$H$193,0),MATCH(O$4,'Detail inputs'!$B$3:$K$3,0)),0)</f>
        <v>25.714884256834605</v>
      </c>
      <c r="P137" s="224"/>
      <c r="Q137" s="224">
        <f>IF(AND(O137="",P137=""),"",O137+P137*$F137/1000)</f>
        <v>25.714884256834605</v>
      </c>
      <c r="R137" s="246">
        <f>IFERROR(Q137/Q138,"")</f>
        <v>0.13922900117296039</v>
      </c>
      <c r="S137" s="104"/>
      <c r="T137" s="104"/>
    </row>
    <row r="138" spans="1:22" s="65" customFormat="1" x14ac:dyDescent="0.3">
      <c r="A138" s="60"/>
      <c r="B138" s="3" t="str">
        <f t="shared" ref="B138:D138" si="97">B137</f>
        <v>SAPN</v>
      </c>
      <c r="C138" s="3" t="str">
        <f t="shared" si="97"/>
        <v>Small business</v>
      </c>
      <c r="D138" s="3" t="str">
        <f t="shared" si="97"/>
        <v>without CL</v>
      </c>
      <c r="E138" s="3" t="s">
        <v>21</v>
      </c>
      <c r="F138" s="228">
        <f t="array" ref="F138">IFERROR(INDEX(Usage!$B$5:$P$18,MATCH($B138,Usage!$B$5:$B$18,0),MATCH($C138&amp;$D138&amp;$E138&amp;"Total",Usage!$B$5:$S$5&amp;Usage!$B$6:$S$6&amp;Usage!$B$7:$S$7&amp;Usage!$B$13:$S$13,0)),0)</f>
        <v>10000</v>
      </c>
      <c r="G138" s="60" t="s">
        <v>53</v>
      </c>
      <c r="H138" s="226"/>
      <c r="I138" s="226"/>
      <c r="J138" s="224"/>
      <c r="K138" s="247"/>
      <c r="L138" s="226"/>
      <c r="M138" s="257"/>
      <c r="N138" s="226"/>
      <c r="O138" s="226">
        <f>SUM(O135:O137)</f>
        <v>184.6948842568346</v>
      </c>
      <c r="P138" s="226"/>
      <c r="Q138" s="224">
        <f>IF(AND(O138="",P138=""),"",O138+P138*$F138/1000)</f>
        <v>184.6948842568346</v>
      </c>
      <c r="R138" s="247"/>
      <c r="S138" s="104"/>
      <c r="T138" s="104"/>
      <c r="U138" s="3"/>
      <c r="V138" s="97"/>
    </row>
    <row r="139" spans="1:22" s="65" customFormat="1" x14ac:dyDescent="0.3">
      <c r="A139" s="60"/>
      <c r="B139" s="3" t="str">
        <f t="shared" ref="B139:D139" si="98">B138</f>
        <v>SAPN</v>
      </c>
      <c r="C139" s="3" t="str">
        <f t="shared" si="98"/>
        <v>Small business</v>
      </c>
      <c r="D139" s="3" t="str">
        <f t="shared" si="98"/>
        <v>without CL</v>
      </c>
      <c r="E139" s="3" t="s">
        <v>21</v>
      </c>
      <c r="F139" s="228">
        <f t="array" ref="F139">IFERROR(INDEX(Usage!$B$5:$P$18,MATCH($B139,Usage!$B$5:$B$18,0),MATCH($C139&amp;$D139&amp;$E139&amp;"Total",Usage!$B$5:$S$5&amp;Usage!$B$6:$S$6&amp;Usage!$B$7:$S$7&amp;Usage!$B$13:$S$13,0)),0)</f>
        <v>10000</v>
      </c>
      <c r="G139" s="60" t="s">
        <v>199</v>
      </c>
      <c r="H139" s="226"/>
      <c r="I139" s="226"/>
      <c r="J139" s="226"/>
      <c r="K139" s="247"/>
      <c r="L139" s="226"/>
      <c r="M139" s="257"/>
      <c r="N139" s="226"/>
      <c r="O139" s="226">
        <f>O138*CPI</f>
        <v>18.43947550699173</v>
      </c>
      <c r="P139" s="226"/>
      <c r="Q139" s="226">
        <f>Q138*CPI</f>
        <v>18.43947550699173</v>
      </c>
      <c r="R139" s="247"/>
      <c r="S139" s="104"/>
      <c r="T139" s="104"/>
      <c r="U139" s="3"/>
      <c r="V139" s="3"/>
    </row>
    <row r="140" spans="1:22" s="19" customFormat="1" outlineLevel="1" x14ac:dyDescent="0.3">
      <c r="A140" s="3"/>
      <c r="B140" s="3" t="str">
        <f t="shared" ref="B140:D140" si="99">B139</f>
        <v>SAPN</v>
      </c>
      <c r="C140" s="3" t="str">
        <f t="shared" si="99"/>
        <v>Small business</v>
      </c>
      <c r="D140" s="3" t="str">
        <f t="shared" si="99"/>
        <v>without CL</v>
      </c>
      <c r="E140" s="3"/>
      <c r="F140" s="228"/>
      <c r="G140" s="60" t="s">
        <v>35</v>
      </c>
      <c r="H140" s="226"/>
      <c r="I140" s="226"/>
      <c r="J140" s="226"/>
      <c r="K140" s="247"/>
      <c r="L140" s="226"/>
      <c r="M140" s="257"/>
      <c r="N140" s="226"/>
      <c r="O140" s="226"/>
      <c r="P140" s="226"/>
      <c r="Q140" s="226">
        <f>SUM(Q138,Q139)*GST</f>
        <v>20.313435976382635</v>
      </c>
      <c r="R140" s="248"/>
      <c r="S140" s="104"/>
      <c r="T140" s="104"/>
      <c r="U140" s="3"/>
      <c r="V140" s="3"/>
    </row>
    <row r="141" spans="1:22" s="19" customFormat="1" x14ac:dyDescent="0.3">
      <c r="A141" s="3"/>
      <c r="B141" s="3" t="str">
        <f t="shared" ref="B141:D141" si="100">B140</f>
        <v>SAPN</v>
      </c>
      <c r="C141" s="3" t="str">
        <f t="shared" si="100"/>
        <v>Small business</v>
      </c>
      <c r="D141" s="3" t="str">
        <f t="shared" si="100"/>
        <v>without CL</v>
      </c>
      <c r="E141" s="3"/>
      <c r="F141" s="228"/>
      <c r="G141" s="5" t="s">
        <v>77</v>
      </c>
      <c r="H141" s="227"/>
      <c r="I141" s="227"/>
      <c r="J141" s="227"/>
      <c r="K141" s="248"/>
      <c r="L141" s="227"/>
      <c r="M141" s="258"/>
      <c r="N141" s="227"/>
      <c r="O141" s="227"/>
      <c r="P141" s="227"/>
      <c r="Q141" s="227">
        <f>SUM(Q138:Q140)</f>
        <v>223.44779574020896</v>
      </c>
      <c r="R141" s="248"/>
      <c r="S141" s="104"/>
      <c r="T141" s="104"/>
      <c r="U141" s="97"/>
      <c r="V141" s="97"/>
    </row>
    <row r="142" spans="1:22" s="19" customForma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U142" s="3"/>
      <c r="V142" s="3"/>
    </row>
    <row r="143" spans="1:22" x14ac:dyDescent="0.35">
      <c r="F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22" x14ac:dyDescent="0.35">
      <c r="F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6:22" x14ac:dyDescent="0.35">
      <c r="F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6:22" x14ac:dyDescent="0.35">
      <c r="F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6:22" x14ac:dyDescent="0.35">
      <c r="F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6:22" x14ac:dyDescent="0.35">
      <c r="F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6:22" x14ac:dyDescent="0.35">
      <c r="F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6:22" x14ac:dyDescent="0.35">
      <c r="F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6:22" x14ac:dyDescent="0.35">
      <c r="F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6:22" x14ac:dyDescent="0.35">
      <c r="F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6:22" x14ac:dyDescent="0.35">
      <c r="F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U153" s="97"/>
      <c r="V153" s="97"/>
    </row>
    <row r="154" spans="6:22" x14ac:dyDescent="0.35">
      <c r="F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6:22" x14ac:dyDescent="0.35">
      <c r="F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6:22" x14ac:dyDescent="0.35">
      <c r="F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6:22" x14ac:dyDescent="0.35">
      <c r="F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6:22" x14ac:dyDescent="0.35">
      <c r="F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6:22" x14ac:dyDescent="0.35">
      <c r="F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6:22" x14ac:dyDescent="0.35">
      <c r="F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U160" s="97"/>
      <c r="V160" s="97"/>
    </row>
    <row r="161" spans="6:22" x14ac:dyDescent="0.35">
      <c r="F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U161" s="60"/>
      <c r="V161" s="60"/>
    </row>
    <row r="162" spans="6:22" x14ac:dyDescent="0.35">
      <c r="F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6:22" x14ac:dyDescent="0.35">
      <c r="F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6:22" x14ac:dyDescent="0.35">
      <c r="F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6:22" x14ac:dyDescent="0.35">
      <c r="F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6:22" x14ac:dyDescent="0.35">
      <c r="F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6:22" x14ac:dyDescent="0.35">
      <c r="F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6:22" x14ac:dyDescent="0.35">
      <c r="F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6:22" x14ac:dyDescent="0.35">
      <c r="F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6:22" x14ac:dyDescent="0.35">
      <c r="F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6:22" x14ac:dyDescent="0.35">
      <c r="F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6:22" x14ac:dyDescent="0.35">
      <c r="F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U172" s="97"/>
      <c r="V172" s="97"/>
    </row>
    <row r="173" spans="6:22" x14ac:dyDescent="0.35">
      <c r="F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6:22" x14ac:dyDescent="0.35">
      <c r="F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6:22" x14ac:dyDescent="0.35">
      <c r="F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6:22" x14ac:dyDescent="0.35">
      <c r="F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6:22" x14ac:dyDescent="0.35">
      <c r="F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6:22" x14ac:dyDescent="0.35">
      <c r="F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6:22" x14ac:dyDescent="0.35">
      <c r="F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6:22" x14ac:dyDescent="0.35">
      <c r="F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6:22" x14ac:dyDescent="0.35">
      <c r="F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6:22" x14ac:dyDescent="0.35">
      <c r="F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6:22" x14ac:dyDescent="0.35">
      <c r="F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6:22" x14ac:dyDescent="0.35">
      <c r="F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U184" s="97"/>
      <c r="V184" s="97"/>
    </row>
    <row r="185" spans="6:22" x14ac:dyDescent="0.35">
      <c r="F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6:22" x14ac:dyDescent="0.35">
      <c r="F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6:22" x14ac:dyDescent="0.35">
      <c r="F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6:22" x14ac:dyDescent="0.35">
      <c r="F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6:22" x14ac:dyDescent="0.35">
      <c r="F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6:22" x14ac:dyDescent="0.35">
      <c r="F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6:22" x14ac:dyDescent="0.35">
      <c r="F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6:22" x14ac:dyDescent="0.35">
      <c r="F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6:22" x14ac:dyDescent="0.35">
      <c r="F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6:22" x14ac:dyDescent="0.35">
      <c r="F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6:22" x14ac:dyDescent="0.35">
      <c r="F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6:22" x14ac:dyDescent="0.35">
      <c r="F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6:22" x14ac:dyDescent="0.35">
      <c r="F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U197" s="97"/>
      <c r="V197" s="97"/>
    </row>
    <row r="198" spans="6:22" x14ac:dyDescent="0.35">
      <c r="F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V198" s="60"/>
    </row>
    <row r="199" spans="6:22" x14ac:dyDescent="0.35">
      <c r="F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6:22" x14ac:dyDescent="0.35">
      <c r="F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6:22" x14ac:dyDescent="0.35">
      <c r="F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6:22" x14ac:dyDescent="0.35">
      <c r="F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6:22" x14ac:dyDescent="0.35">
      <c r="F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6:22" x14ac:dyDescent="0.35">
      <c r="F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6:22" x14ac:dyDescent="0.35">
      <c r="F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6:22" x14ac:dyDescent="0.35">
      <c r="F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U206" s="60"/>
    </row>
    <row r="207" spans="6:22" x14ac:dyDescent="0.35">
      <c r="F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6:22" x14ac:dyDescent="0.35">
      <c r="F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6:22" x14ac:dyDescent="0.35">
      <c r="F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6:22" x14ac:dyDescent="0.35">
      <c r="F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U210" s="97"/>
      <c r="V210" s="97"/>
    </row>
    <row r="211" spans="6:22" x14ac:dyDescent="0.35">
      <c r="F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6:22" x14ac:dyDescent="0.35">
      <c r="F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6:22" x14ac:dyDescent="0.35">
      <c r="F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6:22" x14ac:dyDescent="0.35">
      <c r="F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6:22" x14ac:dyDescent="0.35">
      <c r="F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6:22" x14ac:dyDescent="0.35">
      <c r="F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6:22" x14ac:dyDescent="0.35">
      <c r="F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6:22" x14ac:dyDescent="0.35">
      <c r="F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6:22" x14ac:dyDescent="0.35">
      <c r="F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6:22" x14ac:dyDescent="0.35">
      <c r="F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6:22" x14ac:dyDescent="0.35">
      <c r="F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U221" s="96"/>
    </row>
    <row r="222" spans="6:22" x14ac:dyDescent="0.35">
      <c r="F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6:22" x14ac:dyDescent="0.35">
      <c r="F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6:22" x14ac:dyDescent="0.35">
      <c r="F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6:18" x14ac:dyDescent="0.35">
      <c r="F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6:18" x14ac:dyDescent="0.35">
      <c r="F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6:18" x14ac:dyDescent="0.35">
      <c r="F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6:18" x14ac:dyDescent="0.35">
      <c r="F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6:18" x14ac:dyDescent="0.35">
      <c r="F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6:18" x14ac:dyDescent="0.35">
      <c r="F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6:18" x14ac:dyDescent="0.35">
      <c r="F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6:18" x14ac:dyDescent="0.35">
      <c r="F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6:18" x14ac:dyDescent="0.35">
      <c r="F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6:18" x14ac:dyDescent="0.35">
      <c r="F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6:18" x14ac:dyDescent="0.35">
      <c r="F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6:18" x14ac:dyDescent="0.35">
      <c r="F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6:18" x14ac:dyDescent="0.35">
      <c r="F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6:18" x14ac:dyDescent="0.35">
      <c r="F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6:18" x14ac:dyDescent="0.35">
      <c r="F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6:18" x14ac:dyDescent="0.35">
      <c r="F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6:18" x14ac:dyDescent="0.35">
      <c r="F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6:18" x14ac:dyDescent="0.35">
      <c r="F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6:18" x14ac:dyDescent="0.35">
      <c r="F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6:18" x14ac:dyDescent="0.35">
      <c r="F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6:18" x14ac:dyDescent="0.35">
      <c r="F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6:18" x14ac:dyDescent="0.35">
      <c r="F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6:18" x14ac:dyDescent="0.35">
      <c r="F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6:18" x14ac:dyDescent="0.35">
      <c r="F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6:18" x14ac:dyDescent="0.35">
      <c r="F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6:18" x14ac:dyDescent="0.35">
      <c r="F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6:18" x14ac:dyDescent="0.35">
      <c r="F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6:18" x14ac:dyDescent="0.35">
      <c r="F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6:18" x14ac:dyDescent="0.35">
      <c r="F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6:18" x14ac:dyDescent="0.35">
      <c r="F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6:18" x14ac:dyDescent="0.35">
      <c r="F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6:18" x14ac:dyDescent="0.35">
      <c r="F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6:18" x14ac:dyDescent="0.35">
      <c r="F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6:18" x14ac:dyDescent="0.35">
      <c r="F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6:18" x14ac:dyDescent="0.35">
      <c r="F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6:18" x14ac:dyDescent="0.35">
      <c r="F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6:18" x14ac:dyDescent="0.35">
      <c r="F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6:18" x14ac:dyDescent="0.35">
      <c r="F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6:18" x14ac:dyDescent="0.35">
      <c r="F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6:18" x14ac:dyDescent="0.35">
      <c r="F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6:18" x14ac:dyDescent="0.35">
      <c r="F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6:18" x14ac:dyDescent="0.35">
      <c r="F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6:18" x14ac:dyDescent="0.35">
      <c r="F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6:18" x14ac:dyDescent="0.35">
      <c r="F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</sheetData>
  <mergeCells count="3">
    <mergeCell ref="A1:B1"/>
    <mergeCell ref="H3:K3"/>
    <mergeCell ref="O3:R3"/>
  </mergeCells>
  <conditionalFormatting sqref="B9:G9 B7:R8 Q9:R12 J9:N12 E34:R34 E10:E12 E25:R26 G10:G12 F10:F13 E14:F14 R14 B10:D16 E15:R17">
    <cfRule type="expression" dxfId="547" priority="592">
      <formula>MOD(ROW(),2)=0</formula>
    </cfRule>
  </conditionalFormatting>
  <conditionalFormatting sqref="S25:T26 S34:T34 S7:T17">
    <cfRule type="cellIs" dxfId="546" priority="593" operator="equal">
      <formula>FALSE</formula>
    </cfRule>
    <cfRule type="cellIs" dxfId="545" priority="594" operator="equal">
      <formula>TRUE</formula>
    </cfRule>
  </conditionalFormatting>
  <conditionalFormatting sqref="B54:D61 B81:D88 B108:D115 B135:D141 B7:D14 B16:D16 B18:D25 B27:D34 B36:D43 B45:D52 B63:D70 B72:D79 B90:D97 B99:D106 B117:D124 B126:D133">
    <cfRule type="expression" dxfId="544" priority="595">
      <formula>AND(B7=B6,MOD(ROW(),2)=1)</formula>
    </cfRule>
    <cfRule type="expression" dxfId="543" priority="596">
      <formula>AND(B7=B6,MOD(ROW(),2)=0)</formula>
    </cfRule>
  </conditionalFormatting>
  <conditionalFormatting sqref="H12:I12">
    <cfRule type="expression" dxfId="542" priority="591">
      <formula>MOD(ROW(),2)=0</formula>
    </cfRule>
  </conditionalFormatting>
  <conditionalFormatting sqref="O12:P12">
    <cfRule type="expression" dxfId="541" priority="469">
      <formula>MOD(ROW(),2)=0</formula>
    </cfRule>
  </conditionalFormatting>
  <conditionalFormatting sqref="Q18:R20 B18:G18 J18:N20 E19:E21 E24:N24 R23:R24 B19:D25 G19 F19:F22 R21">
    <cfRule type="expression" dxfId="540" priority="455">
      <formula>MOD(ROW(),2)=0</formula>
    </cfRule>
  </conditionalFormatting>
  <conditionalFormatting sqref="S18:T24">
    <cfRule type="cellIs" dxfId="539" priority="456" operator="equal">
      <formula>FALSE</formula>
    </cfRule>
    <cfRule type="cellIs" dxfId="538" priority="457" operator="equal">
      <formula>TRUE</formula>
    </cfRule>
  </conditionalFormatting>
  <conditionalFormatting sqref="O9:P9">
    <cfRule type="expression" dxfId="537" priority="461">
      <formula>MOD(ROW(),2)=0</formula>
    </cfRule>
  </conditionalFormatting>
  <conditionalFormatting sqref="H9:I11">
    <cfRule type="expression" dxfId="536" priority="460">
      <formula>MOD(ROW(),2)=0</formula>
    </cfRule>
  </conditionalFormatting>
  <conditionalFormatting sqref="O18:P18">
    <cfRule type="expression" dxfId="535" priority="452">
      <formula>MOD(ROW(),2)=0</formula>
    </cfRule>
  </conditionalFormatting>
  <conditionalFormatting sqref="H18:I19">
    <cfRule type="expression" dxfId="534" priority="451">
      <formula>MOD(ROW(),2)=0</formula>
    </cfRule>
  </conditionalFormatting>
  <conditionalFormatting sqref="E33:R33 Q27:R29 B27:G27 J27:N29 E28:E30 B28:D34 G28 F28:F31 R30 E32:F32 R32">
    <cfRule type="expression" dxfId="533" priority="446">
      <formula>MOD(ROW(),2)=0</formula>
    </cfRule>
  </conditionalFormatting>
  <conditionalFormatting sqref="S27:T33">
    <cfRule type="cellIs" dxfId="532" priority="447" operator="equal">
      <formula>FALSE</formula>
    </cfRule>
    <cfRule type="cellIs" dxfId="531" priority="448" operator="equal">
      <formula>TRUE</formula>
    </cfRule>
  </conditionalFormatting>
  <conditionalFormatting sqref="O27:P27">
    <cfRule type="expression" dxfId="530" priority="443">
      <formula>MOD(ROW(),2)=0</formula>
    </cfRule>
  </conditionalFormatting>
  <conditionalFormatting sqref="H27:I28">
    <cfRule type="expression" dxfId="529" priority="442">
      <formula>MOD(ROW(),2)=0</formula>
    </cfRule>
  </conditionalFormatting>
  <conditionalFormatting sqref="E35:R35 Q36:R38 B36:G36 J36:N38 E61:R61 E37:E39 E42:R44 B37:D43 E52:R53 G37 F37:F40 E41:F41 R41 R39">
    <cfRule type="expression" dxfId="528" priority="435">
      <formula>MOD(ROW(),2)=0</formula>
    </cfRule>
  </conditionalFormatting>
  <conditionalFormatting sqref="S35:T44 S52:T53 S61:T61">
    <cfRule type="cellIs" dxfId="527" priority="436" operator="equal">
      <formula>FALSE</formula>
    </cfRule>
    <cfRule type="cellIs" dxfId="526" priority="437" operator="equal">
      <formula>TRUE</formula>
    </cfRule>
  </conditionalFormatting>
  <conditionalFormatting sqref="E51:R51 Q45:R47 B45:G45 J45:N47 E46:E48 B46:D52 G46 E50 R50 F46:F50 R48">
    <cfRule type="expression" dxfId="525" priority="426">
      <formula>MOD(ROW(),2)=0</formula>
    </cfRule>
  </conditionalFormatting>
  <conditionalFormatting sqref="S45:T51">
    <cfRule type="cellIs" dxfId="524" priority="427" operator="equal">
      <formula>FALSE</formula>
    </cfRule>
    <cfRule type="cellIs" dxfId="523" priority="428" operator="equal">
      <formula>TRUE</formula>
    </cfRule>
  </conditionalFormatting>
  <conditionalFormatting sqref="O36:P36">
    <cfRule type="expression" dxfId="522" priority="432">
      <formula>MOD(ROW(),2)=0</formula>
    </cfRule>
  </conditionalFormatting>
  <conditionalFormatting sqref="H36:I37">
    <cfRule type="expression" dxfId="521" priority="431">
      <formula>MOD(ROW(),2)=0</formula>
    </cfRule>
  </conditionalFormatting>
  <conditionalFormatting sqref="O45:P45">
    <cfRule type="expression" dxfId="520" priority="423">
      <formula>MOD(ROW(),2)=0</formula>
    </cfRule>
  </conditionalFormatting>
  <conditionalFormatting sqref="H45:I46">
    <cfRule type="expression" dxfId="519" priority="422">
      <formula>MOD(ROW(),2)=0</formula>
    </cfRule>
  </conditionalFormatting>
  <conditionalFormatting sqref="E60:R60 Q54:R56 B54:G54 J54:N56 E55:E57 B55:D61 G55 F55:F58 R57 E59:F59 R59">
    <cfRule type="expression" dxfId="518" priority="417">
      <formula>MOD(ROW(),2)=0</formula>
    </cfRule>
  </conditionalFormatting>
  <conditionalFormatting sqref="S54:T60">
    <cfRule type="cellIs" dxfId="517" priority="418" operator="equal">
      <formula>FALSE</formula>
    </cfRule>
    <cfRule type="cellIs" dxfId="516" priority="419" operator="equal">
      <formula>TRUE</formula>
    </cfRule>
  </conditionalFormatting>
  <conditionalFormatting sqref="O54:P54">
    <cfRule type="expression" dxfId="515" priority="414">
      <formula>MOD(ROW(),2)=0</formula>
    </cfRule>
  </conditionalFormatting>
  <conditionalFormatting sqref="H54:I55">
    <cfRule type="expression" dxfId="514" priority="413">
      <formula>MOD(ROW(),2)=0</formula>
    </cfRule>
  </conditionalFormatting>
  <conditionalFormatting sqref="E62:R62 Q63:R65 B63:G63 J63:N65 E88:R88 E64:E66 E69:R71 B64:D70 E79:R80 G64 F64:F67 E68:F68 R68 R66">
    <cfRule type="expression" dxfId="513" priority="406">
      <formula>MOD(ROW(),2)=0</formula>
    </cfRule>
  </conditionalFormatting>
  <conditionalFormatting sqref="S62:T71 S79:T80 S88:T88">
    <cfRule type="cellIs" dxfId="512" priority="407" operator="equal">
      <formula>FALSE</formula>
    </cfRule>
    <cfRule type="cellIs" dxfId="511" priority="408" operator="equal">
      <formula>TRUE</formula>
    </cfRule>
  </conditionalFormatting>
  <conditionalFormatting sqref="E78:R78 Q72:R74 B72:G72 J72:N74 E73:E75 B73:D79 G73 F73:F76 R75 E77:F77 R77">
    <cfRule type="expression" dxfId="510" priority="397">
      <formula>MOD(ROW(),2)=0</formula>
    </cfRule>
  </conditionalFormatting>
  <conditionalFormatting sqref="S72:T78">
    <cfRule type="cellIs" dxfId="509" priority="398" operator="equal">
      <formula>FALSE</formula>
    </cfRule>
    <cfRule type="cellIs" dxfId="508" priority="399" operator="equal">
      <formula>TRUE</formula>
    </cfRule>
  </conditionalFormatting>
  <conditionalFormatting sqref="O63:P63">
    <cfRule type="expression" dxfId="507" priority="403">
      <formula>MOD(ROW(),2)=0</formula>
    </cfRule>
  </conditionalFormatting>
  <conditionalFormatting sqref="H63:I63">
    <cfRule type="expression" dxfId="506" priority="402">
      <formula>MOD(ROW(),2)=0</formula>
    </cfRule>
  </conditionalFormatting>
  <conditionalFormatting sqref="O72:P72">
    <cfRule type="expression" dxfId="505" priority="394">
      <formula>MOD(ROW(),2)=0</formula>
    </cfRule>
  </conditionalFormatting>
  <conditionalFormatting sqref="H72:I72">
    <cfRule type="expression" dxfId="504" priority="393">
      <formula>MOD(ROW(),2)=0</formula>
    </cfRule>
  </conditionalFormatting>
  <conditionalFormatting sqref="E87:R87 Q81:R83 B81:G81 J81:N83 E82:E84 B82:D88 G82 F82:F85 R84 E86:F86 R86">
    <cfRule type="expression" dxfId="503" priority="388">
      <formula>MOD(ROW(),2)=0</formula>
    </cfRule>
  </conditionalFormatting>
  <conditionalFormatting sqref="S81:T87">
    <cfRule type="cellIs" dxfId="502" priority="389" operator="equal">
      <formula>FALSE</formula>
    </cfRule>
    <cfRule type="cellIs" dxfId="501" priority="390" operator="equal">
      <formula>TRUE</formula>
    </cfRule>
  </conditionalFormatting>
  <conditionalFormatting sqref="O81:P81">
    <cfRule type="expression" dxfId="500" priority="385">
      <formula>MOD(ROW(),2)=0</formula>
    </cfRule>
  </conditionalFormatting>
  <conditionalFormatting sqref="H81:I81">
    <cfRule type="expression" dxfId="499" priority="384">
      <formula>MOD(ROW(),2)=0</formula>
    </cfRule>
  </conditionalFormatting>
  <conditionalFormatting sqref="E89:R89 Q90:R92 B90:G90 J90:N92 E115:R115 E91:E93 E96:R98 B91:D97 E106:R107 G91 F91:F94 E95:F95 R95 R93">
    <cfRule type="expression" dxfId="498" priority="377">
      <formula>MOD(ROW(),2)=0</formula>
    </cfRule>
  </conditionalFormatting>
  <conditionalFormatting sqref="S89:T98 S106:T107 S115:T115">
    <cfRule type="cellIs" dxfId="497" priority="378" operator="equal">
      <formula>FALSE</formula>
    </cfRule>
    <cfRule type="cellIs" dxfId="496" priority="379" operator="equal">
      <formula>TRUE</formula>
    </cfRule>
  </conditionalFormatting>
  <conditionalFormatting sqref="E105:R105 Q99:R101 B99:G99 J99:N101 E100:E102 B100:D106 G100 F100:F103 R102 E104:F104 R104">
    <cfRule type="expression" dxfId="495" priority="368">
      <formula>MOD(ROW(),2)=0</formula>
    </cfRule>
  </conditionalFormatting>
  <conditionalFormatting sqref="S99:T105">
    <cfRule type="cellIs" dxfId="494" priority="369" operator="equal">
      <formula>FALSE</formula>
    </cfRule>
    <cfRule type="cellIs" dxfId="493" priority="370" operator="equal">
      <formula>TRUE</formula>
    </cfRule>
  </conditionalFormatting>
  <conditionalFormatting sqref="O90:P90">
    <cfRule type="expression" dxfId="492" priority="374">
      <formula>MOD(ROW(),2)=0</formula>
    </cfRule>
  </conditionalFormatting>
  <conditionalFormatting sqref="H90:I90">
    <cfRule type="expression" dxfId="491" priority="373">
      <formula>MOD(ROW(),2)=0</formula>
    </cfRule>
  </conditionalFormatting>
  <conditionalFormatting sqref="O99:P99">
    <cfRule type="expression" dxfId="490" priority="365">
      <formula>MOD(ROW(),2)=0</formula>
    </cfRule>
  </conditionalFormatting>
  <conditionalFormatting sqref="H99:I99">
    <cfRule type="expression" dxfId="489" priority="364">
      <formula>MOD(ROW(),2)=0</formula>
    </cfRule>
  </conditionalFormatting>
  <conditionalFormatting sqref="E114:R114 Q108:R110 B108:G108 J108:N110 E109:E111 B109:D115 G109 F109:F112 R111 E113:F113 R113">
    <cfRule type="expression" dxfId="488" priority="359">
      <formula>MOD(ROW(),2)=0</formula>
    </cfRule>
  </conditionalFormatting>
  <conditionalFormatting sqref="S108:T114">
    <cfRule type="cellIs" dxfId="487" priority="360" operator="equal">
      <formula>FALSE</formula>
    </cfRule>
    <cfRule type="cellIs" dxfId="486" priority="361" operator="equal">
      <formula>TRUE</formula>
    </cfRule>
  </conditionalFormatting>
  <conditionalFormatting sqref="O108:P108">
    <cfRule type="expression" dxfId="485" priority="356">
      <formula>MOD(ROW(),2)=0</formula>
    </cfRule>
  </conditionalFormatting>
  <conditionalFormatting sqref="H108:I108">
    <cfRule type="expression" dxfId="484" priority="355">
      <formula>MOD(ROW(),2)=0</formula>
    </cfRule>
  </conditionalFormatting>
  <conditionalFormatting sqref="E116:R116 Q117:R119 B117:G117 J117:N119 E118:E120 E123:R125 B118:D124 E133:R134 G118 F118:F121 E122:F122 R122 R120">
    <cfRule type="expression" dxfId="483" priority="348">
      <formula>MOD(ROW(),2)=0</formula>
    </cfRule>
  </conditionalFormatting>
  <conditionalFormatting sqref="S116:T125 S133:T134 S142:T142">
    <cfRule type="cellIs" dxfId="482" priority="349" operator="equal">
      <formula>FALSE</formula>
    </cfRule>
    <cfRule type="cellIs" dxfId="481" priority="350" operator="equal">
      <formula>TRUE</formula>
    </cfRule>
  </conditionalFormatting>
  <conditionalFormatting sqref="E131:R132 Q126:R129 B126:G126 J126:N129 E127:E129 B127:D133 G129 G127 F127:F130">
    <cfRule type="expression" dxfId="480" priority="339">
      <formula>MOD(ROW(),2)=0</formula>
    </cfRule>
  </conditionalFormatting>
  <conditionalFormatting sqref="S126:T132">
    <cfRule type="cellIs" dxfId="479" priority="340" operator="equal">
      <formula>FALSE</formula>
    </cfRule>
    <cfRule type="cellIs" dxfId="478" priority="341" operator="equal">
      <formula>TRUE</formula>
    </cfRule>
  </conditionalFormatting>
  <conditionalFormatting sqref="H129:I129">
    <cfRule type="expression" dxfId="477" priority="338">
      <formula>MOD(ROW(),2)=0</formula>
    </cfRule>
  </conditionalFormatting>
  <conditionalFormatting sqref="O129:P129">
    <cfRule type="expression" dxfId="476" priority="337">
      <formula>MOD(ROW(),2)=0</formula>
    </cfRule>
  </conditionalFormatting>
  <conditionalFormatting sqref="O117:P117">
    <cfRule type="expression" dxfId="475" priority="345">
      <formula>MOD(ROW(),2)=0</formula>
    </cfRule>
  </conditionalFormatting>
  <conditionalFormatting sqref="H117:I117">
    <cfRule type="expression" dxfId="474" priority="344">
      <formula>MOD(ROW(),2)=0</formula>
    </cfRule>
  </conditionalFormatting>
  <conditionalFormatting sqref="O126:P126">
    <cfRule type="expression" dxfId="473" priority="336">
      <formula>MOD(ROW(),2)=0</formula>
    </cfRule>
  </conditionalFormatting>
  <conditionalFormatting sqref="H126:I126">
    <cfRule type="expression" dxfId="472" priority="335">
      <formula>MOD(ROW(),2)=0</formula>
    </cfRule>
  </conditionalFormatting>
  <conditionalFormatting sqref="E141:R141 Q135:R137 B135:G135 J135:N137 E136:E138 B136:D141 G136 F136:F139 R138 E140:F140 R140">
    <cfRule type="expression" dxfId="471" priority="330">
      <formula>MOD(ROW(),2)=0</formula>
    </cfRule>
  </conditionalFormatting>
  <conditionalFormatting sqref="S135:T141">
    <cfRule type="cellIs" dxfId="470" priority="331" operator="equal">
      <formula>FALSE</formula>
    </cfRule>
    <cfRule type="cellIs" dxfId="469" priority="332" operator="equal">
      <formula>TRUE</formula>
    </cfRule>
  </conditionalFormatting>
  <conditionalFormatting sqref="O135:P135">
    <cfRule type="expression" dxfId="468" priority="327">
      <formula>MOD(ROW(),2)=0</formula>
    </cfRule>
  </conditionalFormatting>
  <conditionalFormatting sqref="H135:I135">
    <cfRule type="expression" dxfId="467" priority="326">
      <formula>MOD(ROW(),2)=0</formula>
    </cfRule>
  </conditionalFormatting>
  <conditionalFormatting sqref="O10:P11">
    <cfRule type="expression" dxfId="466" priority="325">
      <formula>MOD(ROW(),2)=0</formula>
    </cfRule>
  </conditionalFormatting>
  <conditionalFormatting sqref="O137:P137 P136">
    <cfRule type="expression" dxfId="465" priority="282">
      <formula>MOD(ROW(),2)=0</formula>
    </cfRule>
  </conditionalFormatting>
  <conditionalFormatting sqref="G20">
    <cfRule type="expression" dxfId="464" priority="323">
      <formula>MOD(ROW(),2)=0</formula>
    </cfRule>
  </conditionalFormatting>
  <conditionalFormatting sqref="G29">
    <cfRule type="expression" dxfId="463" priority="322">
      <formula>MOD(ROW(),2)=0</formula>
    </cfRule>
  </conditionalFormatting>
  <conditionalFormatting sqref="G38">
    <cfRule type="expression" dxfId="462" priority="321">
      <formula>MOD(ROW(),2)=0</formula>
    </cfRule>
  </conditionalFormatting>
  <conditionalFormatting sqref="G47">
    <cfRule type="expression" dxfId="461" priority="320">
      <formula>MOD(ROW(),2)=0</formula>
    </cfRule>
  </conditionalFormatting>
  <conditionalFormatting sqref="G56">
    <cfRule type="expression" dxfId="460" priority="319">
      <formula>MOD(ROW(),2)=0</formula>
    </cfRule>
  </conditionalFormatting>
  <conditionalFormatting sqref="G65">
    <cfRule type="expression" dxfId="459" priority="318">
      <formula>MOD(ROW(),2)=0</formula>
    </cfRule>
  </conditionalFormatting>
  <conditionalFormatting sqref="G74">
    <cfRule type="expression" dxfId="458" priority="317">
      <formula>MOD(ROW(),2)=0</formula>
    </cfRule>
  </conditionalFormatting>
  <conditionalFormatting sqref="G83">
    <cfRule type="expression" dxfId="457" priority="316">
      <formula>MOD(ROW(),2)=0</formula>
    </cfRule>
  </conditionalFormatting>
  <conditionalFormatting sqref="G92">
    <cfRule type="expression" dxfId="456" priority="315">
      <formula>MOD(ROW(),2)=0</formula>
    </cfRule>
  </conditionalFormatting>
  <conditionalFormatting sqref="G101">
    <cfRule type="expression" dxfId="455" priority="314">
      <formula>MOD(ROW(),2)=0</formula>
    </cfRule>
  </conditionalFormatting>
  <conditionalFormatting sqref="G110">
    <cfRule type="expression" dxfId="454" priority="313">
      <formula>MOD(ROW(),2)=0</formula>
    </cfRule>
  </conditionalFormatting>
  <conditionalFormatting sqref="G119">
    <cfRule type="expression" dxfId="453" priority="312">
      <formula>MOD(ROW(),2)=0</formula>
    </cfRule>
  </conditionalFormatting>
  <conditionalFormatting sqref="G128">
    <cfRule type="expression" dxfId="452" priority="311">
      <formula>MOD(ROW(),2)=0</formula>
    </cfRule>
  </conditionalFormatting>
  <conditionalFormatting sqref="G137">
    <cfRule type="expression" dxfId="451" priority="310">
      <formula>MOD(ROW(),2)=0</formula>
    </cfRule>
  </conditionalFormatting>
  <conditionalFormatting sqref="H20:I20">
    <cfRule type="expression" dxfId="450" priority="309">
      <formula>MOD(ROW(),2)=0</formula>
    </cfRule>
  </conditionalFormatting>
  <conditionalFormatting sqref="O19:P20">
    <cfRule type="expression" dxfId="449" priority="308">
      <formula>MOD(ROW(),2)=0</formula>
    </cfRule>
  </conditionalFormatting>
  <conditionalFormatting sqref="H29:I29">
    <cfRule type="expression" dxfId="448" priority="307">
      <formula>MOD(ROW(),2)=0</formula>
    </cfRule>
  </conditionalFormatting>
  <conditionalFormatting sqref="O29:P29 P28">
    <cfRule type="expression" dxfId="447" priority="306">
      <formula>MOD(ROW(),2)=0</formula>
    </cfRule>
  </conditionalFormatting>
  <conditionalFormatting sqref="H38:I38">
    <cfRule type="expression" dxfId="446" priority="305">
      <formula>MOD(ROW(),2)=0</formula>
    </cfRule>
  </conditionalFormatting>
  <conditionalFormatting sqref="O37:P38">
    <cfRule type="expression" dxfId="445" priority="304">
      <formula>MOD(ROW(),2)=0</formula>
    </cfRule>
  </conditionalFormatting>
  <conditionalFormatting sqref="H47:I47">
    <cfRule type="expression" dxfId="444" priority="303">
      <formula>MOD(ROW(),2)=0</formula>
    </cfRule>
  </conditionalFormatting>
  <conditionalFormatting sqref="O46:P47">
    <cfRule type="expression" dxfId="443" priority="302">
      <formula>MOD(ROW(),2)=0</formula>
    </cfRule>
  </conditionalFormatting>
  <conditionalFormatting sqref="H56:I56">
    <cfRule type="expression" dxfId="442" priority="301">
      <formula>MOD(ROW(),2)=0</formula>
    </cfRule>
  </conditionalFormatting>
  <conditionalFormatting sqref="O56:P56 P55">
    <cfRule type="expression" dxfId="441" priority="300">
      <formula>MOD(ROW(),2)=0</formula>
    </cfRule>
  </conditionalFormatting>
  <conditionalFormatting sqref="H64:I65">
    <cfRule type="expression" dxfId="440" priority="299">
      <formula>MOD(ROW(),2)=0</formula>
    </cfRule>
  </conditionalFormatting>
  <conditionalFormatting sqref="O64:P65">
    <cfRule type="expression" dxfId="439" priority="298">
      <formula>MOD(ROW(),2)=0</formula>
    </cfRule>
  </conditionalFormatting>
  <conditionalFormatting sqref="H73:I74">
    <cfRule type="expression" dxfId="438" priority="297">
      <formula>MOD(ROW(),2)=0</formula>
    </cfRule>
  </conditionalFormatting>
  <conditionalFormatting sqref="O73:P74">
    <cfRule type="expression" dxfId="437" priority="296">
      <formula>MOD(ROW(),2)=0</formula>
    </cfRule>
  </conditionalFormatting>
  <conditionalFormatting sqref="H82:I83">
    <cfRule type="expression" dxfId="436" priority="295">
      <formula>MOD(ROW(),2)=0</formula>
    </cfRule>
  </conditionalFormatting>
  <conditionalFormatting sqref="O83:P83 P82">
    <cfRule type="expression" dxfId="435" priority="294">
      <formula>MOD(ROW(),2)=0</formula>
    </cfRule>
  </conditionalFormatting>
  <conditionalFormatting sqref="H91:I92">
    <cfRule type="expression" dxfId="434" priority="293">
      <formula>MOD(ROW(),2)=0</formula>
    </cfRule>
  </conditionalFormatting>
  <conditionalFormatting sqref="O91:P92">
    <cfRule type="expression" dxfId="433" priority="292">
      <formula>MOD(ROW(),2)=0</formula>
    </cfRule>
  </conditionalFormatting>
  <conditionalFormatting sqref="H100:I101">
    <cfRule type="expression" dxfId="432" priority="291">
      <formula>MOD(ROW(),2)=0</formula>
    </cfRule>
  </conditionalFormatting>
  <conditionalFormatting sqref="O100:P101">
    <cfRule type="expression" dxfId="431" priority="290">
      <formula>MOD(ROW(),2)=0</formula>
    </cfRule>
  </conditionalFormatting>
  <conditionalFormatting sqref="H109:I110">
    <cfRule type="expression" dxfId="430" priority="289">
      <formula>MOD(ROW(),2)=0</formula>
    </cfRule>
  </conditionalFormatting>
  <conditionalFormatting sqref="O110:P110 P109">
    <cfRule type="expression" dxfId="429" priority="288">
      <formula>MOD(ROW(),2)=0</formula>
    </cfRule>
  </conditionalFormatting>
  <conditionalFormatting sqref="H118:I119">
    <cfRule type="expression" dxfId="428" priority="287">
      <formula>MOD(ROW(),2)=0</formula>
    </cfRule>
  </conditionalFormatting>
  <conditionalFormatting sqref="O118:P119">
    <cfRule type="expression" dxfId="427" priority="286">
      <formula>MOD(ROW(),2)=0</formula>
    </cfRule>
  </conditionalFormatting>
  <conditionalFormatting sqref="H127:I128">
    <cfRule type="expression" dxfId="426" priority="285">
      <formula>MOD(ROW(),2)=0</formula>
    </cfRule>
  </conditionalFormatting>
  <conditionalFormatting sqref="O127:P128">
    <cfRule type="expression" dxfId="425" priority="284">
      <formula>MOD(ROW(),2)=0</formula>
    </cfRule>
  </conditionalFormatting>
  <conditionalFormatting sqref="H136:I137">
    <cfRule type="expression" dxfId="424" priority="283">
      <formula>MOD(ROW(),2)=0</formula>
    </cfRule>
  </conditionalFormatting>
  <conditionalFormatting sqref="E22 R22">
    <cfRule type="expression" dxfId="423" priority="279">
      <formula>MOD(ROW(),2)=0</formula>
    </cfRule>
  </conditionalFormatting>
  <conditionalFormatting sqref="O24:Q24">
    <cfRule type="expression" dxfId="422" priority="275">
      <formula>MOD(ROW(),2)=0</formula>
    </cfRule>
  </conditionalFormatting>
  <conditionalFormatting sqref="E23:F23">
    <cfRule type="expression" dxfId="421" priority="276">
      <formula>MOD(ROW(),2)=0</formula>
    </cfRule>
  </conditionalFormatting>
  <conditionalFormatting sqref="E13 R13 K13:N13 G13">
    <cfRule type="expression" dxfId="420" priority="271">
      <formula>MOD(ROW(),2)=0</formula>
    </cfRule>
  </conditionalFormatting>
  <conditionalFormatting sqref="H13:J13">
    <cfRule type="expression" dxfId="419" priority="270">
      <formula>MOD(ROW(),2)=0</formula>
    </cfRule>
  </conditionalFormatting>
  <conditionalFormatting sqref="O13:Q13">
    <cfRule type="expression" dxfId="418" priority="269">
      <formula>MOD(ROW(),2)=0</formula>
    </cfRule>
  </conditionalFormatting>
  <conditionalFormatting sqref="E31 R31">
    <cfRule type="expression" dxfId="417" priority="268">
      <formula>MOD(ROW(),2)=0</formula>
    </cfRule>
  </conditionalFormatting>
  <conditionalFormatting sqref="E40 R40">
    <cfRule type="expression" dxfId="416" priority="265">
      <formula>MOD(ROW(),2)=0</formula>
    </cfRule>
  </conditionalFormatting>
  <conditionalFormatting sqref="E49 R49">
    <cfRule type="expression" dxfId="415" priority="262">
      <formula>MOD(ROW(),2)=0</formula>
    </cfRule>
  </conditionalFormatting>
  <conditionalFormatting sqref="E58 R58">
    <cfRule type="expression" dxfId="414" priority="259">
      <formula>MOD(ROW(),2)=0</formula>
    </cfRule>
  </conditionalFormatting>
  <conditionalFormatting sqref="E67 R67">
    <cfRule type="expression" dxfId="413" priority="256">
      <formula>MOD(ROW(),2)=0</formula>
    </cfRule>
  </conditionalFormatting>
  <conditionalFormatting sqref="E76 R76">
    <cfRule type="expression" dxfId="412" priority="253">
      <formula>MOD(ROW(),2)=0</formula>
    </cfRule>
  </conditionalFormatting>
  <conditionalFormatting sqref="E94 R94">
    <cfRule type="expression" dxfId="411" priority="250">
      <formula>MOD(ROW(),2)=0</formula>
    </cfRule>
  </conditionalFormatting>
  <conditionalFormatting sqref="E139 R139">
    <cfRule type="expression" dxfId="410" priority="247">
      <formula>MOD(ROW(),2)=0</formula>
    </cfRule>
  </conditionalFormatting>
  <conditionalFormatting sqref="O130:Q130">
    <cfRule type="expression" dxfId="409" priority="242">
      <formula>MOD(ROW(),2)=0</formula>
    </cfRule>
  </conditionalFormatting>
  <conditionalFormatting sqref="E130 R130 K130:N130 G130">
    <cfRule type="expression" dxfId="408" priority="244">
      <formula>MOD(ROW(),2)=0</formula>
    </cfRule>
  </conditionalFormatting>
  <conditionalFormatting sqref="H130:J130">
    <cfRule type="expression" dxfId="407" priority="243">
      <formula>MOD(ROW(),2)=0</formula>
    </cfRule>
  </conditionalFormatting>
  <conditionalFormatting sqref="E121 R121">
    <cfRule type="expression" dxfId="406" priority="241">
      <formula>MOD(ROW(),2)=0</formula>
    </cfRule>
  </conditionalFormatting>
  <conditionalFormatting sqref="E112 R112">
    <cfRule type="expression" dxfId="405" priority="238">
      <formula>MOD(ROW(),2)=0</formula>
    </cfRule>
  </conditionalFormatting>
  <conditionalFormatting sqref="E103 R103">
    <cfRule type="expression" dxfId="404" priority="235">
      <formula>MOD(ROW(),2)=0</formula>
    </cfRule>
  </conditionalFormatting>
  <conditionalFormatting sqref="E85 R85">
    <cfRule type="expression" dxfId="403" priority="232">
      <formula>MOD(ROW(),2)=0</formula>
    </cfRule>
  </conditionalFormatting>
  <conditionalFormatting sqref="G14:N14">
    <cfRule type="expression" dxfId="402" priority="229">
      <formula>MOD(ROW(),2)=0</formula>
    </cfRule>
  </conditionalFormatting>
  <conditionalFormatting sqref="O14:Q14">
    <cfRule type="expression" dxfId="401" priority="228">
      <formula>MOD(ROW(),2)=0</formula>
    </cfRule>
  </conditionalFormatting>
  <conditionalFormatting sqref="Q21 J21:N21 G21">
    <cfRule type="expression" dxfId="400" priority="219">
      <formula>MOD(ROW(),2)=0</formula>
    </cfRule>
  </conditionalFormatting>
  <conditionalFormatting sqref="H21:I21">
    <cfRule type="expression" dxfId="399" priority="218">
      <formula>MOD(ROW(),2)=0</formula>
    </cfRule>
  </conditionalFormatting>
  <conditionalFormatting sqref="O21:P21">
    <cfRule type="expression" dxfId="398" priority="217">
      <formula>MOD(ROW(),2)=0</formula>
    </cfRule>
  </conditionalFormatting>
  <conditionalFormatting sqref="K22:N22 G22">
    <cfRule type="expression" dxfId="397" priority="216">
      <formula>MOD(ROW(),2)=0</formula>
    </cfRule>
  </conditionalFormatting>
  <conditionalFormatting sqref="H22:J22">
    <cfRule type="expression" dxfId="396" priority="215">
      <formula>MOD(ROW(),2)=0</formula>
    </cfRule>
  </conditionalFormatting>
  <conditionalFormatting sqref="O22:Q22">
    <cfRule type="expression" dxfId="395" priority="214">
      <formula>MOD(ROW(),2)=0</formula>
    </cfRule>
  </conditionalFormatting>
  <conditionalFormatting sqref="G23:N23">
    <cfRule type="expression" dxfId="394" priority="213">
      <formula>MOD(ROW(),2)=0</formula>
    </cfRule>
  </conditionalFormatting>
  <conditionalFormatting sqref="O23:Q23">
    <cfRule type="expression" dxfId="393" priority="212">
      <formula>MOD(ROW(),2)=0</formula>
    </cfRule>
  </conditionalFormatting>
  <conditionalFormatting sqref="Q30 J30:N30 G30">
    <cfRule type="expression" dxfId="392" priority="211">
      <formula>MOD(ROW(),2)=0</formula>
    </cfRule>
  </conditionalFormatting>
  <conditionalFormatting sqref="H30:I30">
    <cfRule type="expression" dxfId="391" priority="210">
      <formula>MOD(ROW(),2)=0</formula>
    </cfRule>
  </conditionalFormatting>
  <conditionalFormatting sqref="O30:P30">
    <cfRule type="expression" dxfId="390" priority="209">
      <formula>MOD(ROW(),2)=0</formula>
    </cfRule>
  </conditionalFormatting>
  <conditionalFormatting sqref="K31:N31 G31">
    <cfRule type="expression" dxfId="389" priority="208">
      <formula>MOD(ROW(),2)=0</formula>
    </cfRule>
  </conditionalFormatting>
  <conditionalFormatting sqref="H31:J31">
    <cfRule type="expression" dxfId="388" priority="207">
      <formula>MOD(ROW(),2)=0</formula>
    </cfRule>
  </conditionalFormatting>
  <conditionalFormatting sqref="O31:Q31">
    <cfRule type="expression" dxfId="387" priority="206">
      <formula>MOD(ROW(),2)=0</formula>
    </cfRule>
  </conditionalFormatting>
  <conditionalFormatting sqref="G32:N32">
    <cfRule type="expression" dxfId="386" priority="205">
      <formula>MOD(ROW(),2)=0</formula>
    </cfRule>
  </conditionalFormatting>
  <conditionalFormatting sqref="O32:Q32">
    <cfRule type="expression" dxfId="385" priority="204">
      <formula>MOD(ROW(),2)=0</formula>
    </cfRule>
  </conditionalFormatting>
  <conditionalFormatting sqref="Q39 J39:N39 G39">
    <cfRule type="expression" dxfId="384" priority="203">
      <formula>MOD(ROW(),2)=0</formula>
    </cfRule>
  </conditionalFormatting>
  <conditionalFormatting sqref="H39:I39">
    <cfRule type="expression" dxfId="383" priority="202">
      <formula>MOD(ROW(),2)=0</formula>
    </cfRule>
  </conditionalFormatting>
  <conditionalFormatting sqref="O39:P39">
    <cfRule type="expression" dxfId="382" priority="201">
      <formula>MOD(ROW(),2)=0</formula>
    </cfRule>
  </conditionalFormatting>
  <conditionalFormatting sqref="K40:N40 G40">
    <cfRule type="expression" dxfId="381" priority="200">
      <formula>MOD(ROW(),2)=0</formula>
    </cfRule>
  </conditionalFormatting>
  <conditionalFormatting sqref="H40:J40">
    <cfRule type="expression" dxfId="380" priority="199">
      <formula>MOD(ROW(),2)=0</formula>
    </cfRule>
  </conditionalFormatting>
  <conditionalFormatting sqref="O40:Q40">
    <cfRule type="expression" dxfId="379" priority="198">
      <formula>MOD(ROW(),2)=0</formula>
    </cfRule>
  </conditionalFormatting>
  <conditionalFormatting sqref="G41:N41">
    <cfRule type="expression" dxfId="378" priority="197">
      <formula>MOD(ROW(),2)=0</formula>
    </cfRule>
  </conditionalFormatting>
  <conditionalFormatting sqref="O41:Q41">
    <cfRule type="expression" dxfId="377" priority="196">
      <formula>MOD(ROW(),2)=0</formula>
    </cfRule>
  </conditionalFormatting>
  <conditionalFormatting sqref="Q48 J48:N48 G48">
    <cfRule type="expression" dxfId="376" priority="195">
      <formula>MOD(ROW(),2)=0</formula>
    </cfRule>
  </conditionalFormatting>
  <conditionalFormatting sqref="H48:I48">
    <cfRule type="expression" dxfId="375" priority="194">
      <formula>MOD(ROW(),2)=0</formula>
    </cfRule>
  </conditionalFormatting>
  <conditionalFormatting sqref="O48:P48">
    <cfRule type="expression" dxfId="374" priority="193">
      <formula>MOD(ROW(),2)=0</formula>
    </cfRule>
  </conditionalFormatting>
  <conditionalFormatting sqref="K49:N49 G49">
    <cfRule type="expression" dxfId="373" priority="192">
      <formula>MOD(ROW(),2)=0</formula>
    </cfRule>
  </conditionalFormatting>
  <conditionalFormatting sqref="H49:J49">
    <cfRule type="expression" dxfId="372" priority="191">
      <formula>MOD(ROW(),2)=0</formula>
    </cfRule>
  </conditionalFormatting>
  <conditionalFormatting sqref="O49:Q49">
    <cfRule type="expression" dxfId="371" priority="190">
      <formula>MOD(ROW(),2)=0</formula>
    </cfRule>
  </conditionalFormatting>
  <conditionalFormatting sqref="G50:N50">
    <cfRule type="expression" dxfId="370" priority="189">
      <formula>MOD(ROW(),2)=0</formula>
    </cfRule>
  </conditionalFormatting>
  <conditionalFormatting sqref="O50:Q50">
    <cfRule type="expression" dxfId="369" priority="188">
      <formula>MOD(ROW(),2)=0</formula>
    </cfRule>
  </conditionalFormatting>
  <conditionalFormatting sqref="Q57 J57:N57 G57">
    <cfRule type="expression" dxfId="368" priority="187">
      <formula>MOD(ROW(),2)=0</formula>
    </cfRule>
  </conditionalFormatting>
  <conditionalFormatting sqref="H57:I57">
    <cfRule type="expression" dxfId="367" priority="186">
      <formula>MOD(ROW(),2)=0</formula>
    </cfRule>
  </conditionalFormatting>
  <conditionalFormatting sqref="O57:P57">
    <cfRule type="expression" dxfId="366" priority="185">
      <formula>MOD(ROW(),2)=0</formula>
    </cfRule>
  </conditionalFormatting>
  <conditionalFormatting sqref="K58:N58 G58">
    <cfRule type="expression" dxfId="365" priority="184">
      <formula>MOD(ROW(),2)=0</formula>
    </cfRule>
  </conditionalFormatting>
  <conditionalFormatting sqref="H58:J58">
    <cfRule type="expression" dxfId="364" priority="183">
      <formula>MOD(ROW(),2)=0</formula>
    </cfRule>
  </conditionalFormatting>
  <conditionalFormatting sqref="O58:Q58">
    <cfRule type="expression" dxfId="363" priority="182">
      <formula>MOD(ROW(),2)=0</formula>
    </cfRule>
  </conditionalFormatting>
  <conditionalFormatting sqref="G59:N59">
    <cfRule type="expression" dxfId="362" priority="181">
      <formula>MOD(ROW(),2)=0</formula>
    </cfRule>
  </conditionalFormatting>
  <conditionalFormatting sqref="O59:Q59">
    <cfRule type="expression" dxfId="361" priority="180">
      <formula>MOD(ROW(),2)=0</formula>
    </cfRule>
  </conditionalFormatting>
  <conditionalFormatting sqref="Q66 J66:N66 G66">
    <cfRule type="expression" dxfId="360" priority="179">
      <formula>MOD(ROW(),2)=0</formula>
    </cfRule>
  </conditionalFormatting>
  <conditionalFormatting sqref="H66:I66">
    <cfRule type="expression" dxfId="359" priority="178">
      <formula>MOD(ROW(),2)=0</formula>
    </cfRule>
  </conditionalFormatting>
  <conditionalFormatting sqref="O66:P66">
    <cfRule type="expression" dxfId="358" priority="177">
      <formula>MOD(ROW(),2)=0</formula>
    </cfRule>
  </conditionalFormatting>
  <conditionalFormatting sqref="K67:N67 G67">
    <cfRule type="expression" dxfId="357" priority="176">
      <formula>MOD(ROW(),2)=0</formula>
    </cfRule>
  </conditionalFormatting>
  <conditionalFormatting sqref="H67:J67">
    <cfRule type="expression" dxfId="356" priority="175">
      <formula>MOD(ROW(),2)=0</formula>
    </cfRule>
  </conditionalFormatting>
  <conditionalFormatting sqref="O67:Q67">
    <cfRule type="expression" dxfId="355" priority="174">
      <formula>MOD(ROW(),2)=0</formula>
    </cfRule>
  </conditionalFormatting>
  <conditionalFormatting sqref="G68:N68">
    <cfRule type="expression" dxfId="354" priority="173">
      <formula>MOD(ROW(),2)=0</formula>
    </cfRule>
  </conditionalFormatting>
  <conditionalFormatting sqref="O68:Q68">
    <cfRule type="expression" dxfId="353" priority="172">
      <formula>MOD(ROW(),2)=0</formula>
    </cfRule>
  </conditionalFormatting>
  <conditionalFormatting sqref="Q75 J75:N75 G75">
    <cfRule type="expression" dxfId="352" priority="171">
      <formula>MOD(ROW(),2)=0</formula>
    </cfRule>
  </conditionalFormatting>
  <conditionalFormatting sqref="H75:I75">
    <cfRule type="expression" dxfId="351" priority="170">
      <formula>MOD(ROW(),2)=0</formula>
    </cfRule>
  </conditionalFormatting>
  <conditionalFormatting sqref="O75:P75">
    <cfRule type="expression" dxfId="350" priority="169">
      <formula>MOD(ROW(),2)=0</formula>
    </cfRule>
  </conditionalFormatting>
  <conditionalFormatting sqref="K76:N76 G76">
    <cfRule type="expression" dxfId="349" priority="168">
      <formula>MOD(ROW(),2)=0</formula>
    </cfRule>
  </conditionalFormatting>
  <conditionalFormatting sqref="H76:J76">
    <cfRule type="expression" dxfId="348" priority="167">
      <formula>MOD(ROW(),2)=0</formula>
    </cfRule>
  </conditionalFormatting>
  <conditionalFormatting sqref="O76:Q76">
    <cfRule type="expression" dxfId="347" priority="166">
      <formula>MOD(ROW(),2)=0</formula>
    </cfRule>
  </conditionalFormatting>
  <conditionalFormatting sqref="G77:N77">
    <cfRule type="expression" dxfId="346" priority="165">
      <formula>MOD(ROW(),2)=0</formula>
    </cfRule>
  </conditionalFormatting>
  <conditionalFormatting sqref="O77:Q77">
    <cfRule type="expression" dxfId="345" priority="164">
      <formula>MOD(ROW(),2)=0</formula>
    </cfRule>
  </conditionalFormatting>
  <conditionalFormatting sqref="Q84 J84:N84 G84">
    <cfRule type="expression" dxfId="344" priority="163">
      <formula>MOD(ROW(),2)=0</formula>
    </cfRule>
  </conditionalFormatting>
  <conditionalFormatting sqref="H84:I84">
    <cfRule type="expression" dxfId="343" priority="162">
      <formula>MOD(ROW(),2)=0</formula>
    </cfRule>
  </conditionalFormatting>
  <conditionalFormatting sqref="O84:P84">
    <cfRule type="expression" dxfId="342" priority="161">
      <formula>MOD(ROW(),2)=0</formula>
    </cfRule>
  </conditionalFormatting>
  <conditionalFormatting sqref="K85:N85 G85">
    <cfRule type="expression" dxfId="341" priority="160">
      <formula>MOD(ROW(),2)=0</formula>
    </cfRule>
  </conditionalFormatting>
  <conditionalFormatting sqref="H85:J85">
    <cfRule type="expression" dxfId="340" priority="159">
      <formula>MOD(ROW(),2)=0</formula>
    </cfRule>
  </conditionalFormatting>
  <conditionalFormatting sqref="O85:Q85">
    <cfRule type="expression" dxfId="339" priority="158">
      <formula>MOD(ROW(),2)=0</formula>
    </cfRule>
  </conditionalFormatting>
  <conditionalFormatting sqref="G86:N86">
    <cfRule type="expression" dxfId="338" priority="157">
      <formula>MOD(ROW(),2)=0</formula>
    </cfRule>
  </conditionalFormatting>
  <conditionalFormatting sqref="O86:Q86">
    <cfRule type="expression" dxfId="337" priority="156">
      <formula>MOD(ROW(),2)=0</formula>
    </cfRule>
  </conditionalFormatting>
  <conditionalFormatting sqref="Q93 J93:N93 G93">
    <cfRule type="expression" dxfId="336" priority="155">
      <formula>MOD(ROW(),2)=0</formula>
    </cfRule>
  </conditionalFormatting>
  <conditionalFormatting sqref="H93:I93">
    <cfRule type="expression" dxfId="335" priority="154">
      <formula>MOD(ROW(),2)=0</formula>
    </cfRule>
  </conditionalFormatting>
  <conditionalFormatting sqref="O93:P93">
    <cfRule type="expression" dxfId="334" priority="153">
      <formula>MOD(ROW(),2)=0</formula>
    </cfRule>
  </conditionalFormatting>
  <conditionalFormatting sqref="K94:N94 G94">
    <cfRule type="expression" dxfId="333" priority="152">
      <formula>MOD(ROW(),2)=0</formula>
    </cfRule>
  </conditionalFormatting>
  <conditionalFormatting sqref="H94:J94">
    <cfRule type="expression" dxfId="332" priority="151">
      <formula>MOD(ROW(),2)=0</formula>
    </cfRule>
  </conditionalFormatting>
  <conditionalFormatting sqref="O94:Q94">
    <cfRule type="expression" dxfId="331" priority="150">
      <formula>MOD(ROW(),2)=0</formula>
    </cfRule>
  </conditionalFormatting>
  <conditionalFormatting sqref="G95:N95">
    <cfRule type="expression" dxfId="330" priority="149">
      <formula>MOD(ROW(),2)=0</formula>
    </cfRule>
  </conditionalFormatting>
  <conditionalFormatting sqref="O95:Q95">
    <cfRule type="expression" dxfId="329" priority="148">
      <formula>MOD(ROW(),2)=0</formula>
    </cfRule>
  </conditionalFormatting>
  <conditionalFormatting sqref="Q102 J102:N102 G102">
    <cfRule type="expression" dxfId="328" priority="147">
      <formula>MOD(ROW(),2)=0</formula>
    </cfRule>
  </conditionalFormatting>
  <conditionalFormatting sqref="H102:I102">
    <cfRule type="expression" dxfId="327" priority="146">
      <formula>MOD(ROW(),2)=0</formula>
    </cfRule>
  </conditionalFormatting>
  <conditionalFormatting sqref="O102:P102">
    <cfRule type="expression" dxfId="326" priority="145">
      <formula>MOD(ROW(),2)=0</formula>
    </cfRule>
  </conditionalFormatting>
  <conditionalFormatting sqref="K103:N103 G103">
    <cfRule type="expression" dxfId="325" priority="144">
      <formula>MOD(ROW(),2)=0</formula>
    </cfRule>
  </conditionalFormatting>
  <conditionalFormatting sqref="H103:J103">
    <cfRule type="expression" dxfId="324" priority="143">
      <formula>MOD(ROW(),2)=0</formula>
    </cfRule>
  </conditionalFormatting>
  <conditionalFormatting sqref="O103:Q103">
    <cfRule type="expression" dxfId="323" priority="142">
      <formula>MOD(ROW(),2)=0</formula>
    </cfRule>
  </conditionalFormatting>
  <conditionalFormatting sqref="G104:N104">
    <cfRule type="expression" dxfId="322" priority="141">
      <formula>MOD(ROW(),2)=0</formula>
    </cfRule>
  </conditionalFormatting>
  <conditionalFormatting sqref="O104:Q104">
    <cfRule type="expression" dxfId="321" priority="140">
      <formula>MOD(ROW(),2)=0</formula>
    </cfRule>
  </conditionalFormatting>
  <conditionalFormatting sqref="Q111 J111:N111 G111">
    <cfRule type="expression" dxfId="320" priority="139">
      <formula>MOD(ROW(),2)=0</formula>
    </cfRule>
  </conditionalFormatting>
  <conditionalFormatting sqref="H111:I111">
    <cfRule type="expression" dxfId="319" priority="138">
      <formula>MOD(ROW(),2)=0</formula>
    </cfRule>
  </conditionalFormatting>
  <conditionalFormatting sqref="O111:P111">
    <cfRule type="expression" dxfId="318" priority="137">
      <formula>MOD(ROW(),2)=0</formula>
    </cfRule>
  </conditionalFormatting>
  <conditionalFormatting sqref="K112:N112 G112">
    <cfRule type="expression" dxfId="317" priority="136">
      <formula>MOD(ROW(),2)=0</formula>
    </cfRule>
  </conditionalFormatting>
  <conditionalFormatting sqref="H112:J112">
    <cfRule type="expression" dxfId="316" priority="135">
      <formula>MOD(ROW(),2)=0</formula>
    </cfRule>
  </conditionalFormatting>
  <conditionalFormatting sqref="O112:Q112">
    <cfRule type="expression" dxfId="315" priority="134">
      <formula>MOD(ROW(),2)=0</formula>
    </cfRule>
  </conditionalFormatting>
  <conditionalFormatting sqref="G113:N113">
    <cfRule type="expression" dxfId="314" priority="133">
      <formula>MOD(ROW(),2)=0</formula>
    </cfRule>
  </conditionalFormatting>
  <conditionalFormatting sqref="O113:Q113">
    <cfRule type="expression" dxfId="313" priority="132">
      <formula>MOD(ROW(),2)=0</formula>
    </cfRule>
  </conditionalFormatting>
  <conditionalFormatting sqref="Q120 J120:N120 G120">
    <cfRule type="expression" dxfId="312" priority="131">
      <formula>MOD(ROW(),2)=0</formula>
    </cfRule>
  </conditionalFormatting>
  <conditionalFormatting sqref="H120:I120">
    <cfRule type="expression" dxfId="311" priority="130">
      <formula>MOD(ROW(),2)=0</formula>
    </cfRule>
  </conditionalFormatting>
  <conditionalFormatting sqref="O120:P120">
    <cfRule type="expression" dxfId="310" priority="129">
      <formula>MOD(ROW(),2)=0</formula>
    </cfRule>
  </conditionalFormatting>
  <conditionalFormatting sqref="K121:N121 G121">
    <cfRule type="expression" dxfId="309" priority="128">
      <formula>MOD(ROW(),2)=0</formula>
    </cfRule>
  </conditionalFormatting>
  <conditionalFormatting sqref="H121:J121">
    <cfRule type="expression" dxfId="308" priority="127">
      <formula>MOD(ROW(),2)=0</formula>
    </cfRule>
  </conditionalFormatting>
  <conditionalFormatting sqref="O121:Q121">
    <cfRule type="expression" dxfId="307" priority="126">
      <formula>MOD(ROW(),2)=0</formula>
    </cfRule>
  </conditionalFormatting>
  <conditionalFormatting sqref="G122:N122">
    <cfRule type="expression" dxfId="306" priority="125">
      <formula>MOD(ROW(),2)=0</formula>
    </cfRule>
  </conditionalFormatting>
  <conditionalFormatting sqref="O122:Q122">
    <cfRule type="expression" dxfId="305" priority="124">
      <formula>MOD(ROW(),2)=0</formula>
    </cfRule>
  </conditionalFormatting>
  <conditionalFormatting sqref="Q138 J138:N138 G138">
    <cfRule type="expression" dxfId="304" priority="123">
      <formula>MOD(ROW(),2)=0</formula>
    </cfRule>
  </conditionalFormatting>
  <conditionalFormatting sqref="H138:I138">
    <cfRule type="expression" dxfId="303" priority="122">
      <formula>MOD(ROW(),2)=0</formula>
    </cfRule>
  </conditionalFormatting>
  <conditionalFormatting sqref="O138:P138">
    <cfRule type="expression" dxfId="302" priority="121">
      <formula>MOD(ROW(),2)=0</formula>
    </cfRule>
  </conditionalFormatting>
  <conditionalFormatting sqref="K139:N139 G139">
    <cfRule type="expression" dxfId="301" priority="120">
      <formula>MOD(ROW(),2)=0</formula>
    </cfRule>
  </conditionalFormatting>
  <conditionalFormatting sqref="H139:J139">
    <cfRule type="expression" dxfId="300" priority="119">
      <formula>MOD(ROW(),2)=0</formula>
    </cfRule>
  </conditionalFormatting>
  <conditionalFormatting sqref="O139:Q139">
    <cfRule type="expression" dxfId="299" priority="118">
      <formula>MOD(ROW(),2)=0</formula>
    </cfRule>
  </conditionalFormatting>
  <conditionalFormatting sqref="G140:N140">
    <cfRule type="expression" dxfId="298" priority="117">
      <formula>MOD(ROW(),2)=0</formula>
    </cfRule>
  </conditionalFormatting>
  <conditionalFormatting sqref="O140:Q140">
    <cfRule type="expression" dxfId="297" priority="116">
      <formula>MOD(ROW(),2)=0</formula>
    </cfRule>
  </conditionalFormatting>
  <conditionalFormatting sqref="O28">
    <cfRule type="expression" dxfId="296" priority="115">
      <formula>MOD(ROW(),2)=0</formula>
    </cfRule>
  </conditionalFormatting>
  <conditionalFormatting sqref="O55">
    <cfRule type="expression" dxfId="295" priority="114">
      <formula>MOD(ROW(),2)=0</formula>
    </cfRule>
  </conditionalFormatting>
  <conditionalFormatting sqref="O82">
    <cfRule type="expression" dxfId="294" priority="113">
      <formula>MOD(ROW(),2)=0</formula>
    </cfRule>
  </conditionalFormatting>
  <conditionalFormatting sqref="O109">
    <cfRule type="expression" dxfId="293" priority="112">
      <formula>MOD(ROW(),2)=0</formula>
    </cfRule>
  </conditionalFormatting>
  <conditionalFormatting sqref="O136">
    <cfRule type="expression" dxfId="292" priority="111">
      <formula>MOD(ROW(),2)=0</formula>
    </cfRule>
  </conditionalFormatting>
  <conditionalFormatting sqref="B15:D15">
    <cfRule type="expression" dxfId="291" priority="1810">
      <formula>AND(B15=B14,MOD(ROW(),2)=1)</formula>
    </cfRule>
    <cfRule type="expression" dxfId="290" priority="1811">
      <formula>AND(B15=B14,MOD(ROW(),2)=0)</formula>
    </cfRule>
  </conditionalFormatting>
  <conditionalFormatting sqref="J18:N19 B18:G19 B20:R141">
    <cfRule type="expression" dxfId="289" priority="108">
      <formula>MOD(ROW(),2)=0</formula>
    </cfRule>
  </conditionalFormatting>
  <conditionalFormatting sqref="U7:V7">
    <cfRule type="cellIs" dxfId="288" priority="106" operator="equal">
      <formula>FALSE</formula>
    </cfRule>
    <cfRule type="cellIs" dxfId="287" priority="107" operator="equal">
      <formula>TRUE</formula>
    </cfRule>
  </conditionalFormatting>
  <conditionalFormatting sqref="V12">
    <cfRule type="cellIs" dxfId="286" priority="104" operator="equal">
      <formula>FALSE</formula>
    </cfRule>
    <cfRule type="cellIs" dxfId="285" priority="105" operator="equal">
      <formula>TRUE</formula>
    </cfRule>
  </conditionalFormatting>
  <conditionalFormatting sqref="U12">
    <cfRule type="cellIs" dxfId="284" priority="102" operator="equal">
      <formula>FALSE</formula>
    </cfRule>
    <cfRule type="cellIs" dxfId="283" priority="103" operator="equal">
      <formula>TRUE</formula>
    </cfRule>
  </conditionalFormatting>
  <conditionalFormatting sqref="V27">
    <cfRule type="cellIs" dxfId="282" priority="100" operator="equal">
      <formula>FALSE</formula>
    </cfRule>
    <cfRule type="cellIs" dxfId="281" priority="101" operator="equal">
      <formula>TRUE</formula>
    </cfRule>
  </conditionalFormatting>
  <conditionalFormatting sqref="U27">
    <cfRule type="cellIs" dxfId="280" priority="98" operator="equal">
      <formula>FALSE</formula>
    </cfRule>
    <cfRule type="cellIs" dxfId="279" priority="99" operator="equal">
      <formula>TRUE</formula>
    </cfRule>
  </conditionalFormatting>
  <conditionalFormatting sqref="V34">
    <cfRule type="cellIs" dxfId="278" priority="96" operator="equal">
      <formula>FALSE</formula>
    </cfRule>
    <cfRule type="cellIs" dxfId="277" priority="97" operator="equal">
      <formula>TRUE</formula>
    </cfRule>
  </conditionalFormatting>
  <conditionalFormatting sqref="U34">
    <cfRule type="cellIs" dxfId="276" priority="94" operator="equal">
      <formula>FALSE</formula>
    </cfRule>
    <cfRule type="cellIs" dxfId="275" priority="95" operator="equal">
      <formula>TRUE</formula>
    </cfRule>
  </conditionalFormatting>
  <conditionalFormatting sqref="V46">
    <cfRule type="cellIs" dxfId="274" priority="92" operator="equal">
      <formula>FALSE</formula>
    </cfRule>
    <cfRule type="cellIs" dxfId="273" priority="93" operator="equal">
      <formula>TRUE</formula>
    </cfRule>
  </conditionalFormatting>
  <conditionalFormatting sqref="U46">
    <cfRule type="cellIs" dxfId="272" priority="90" operator="equal">
      <formula>FALSE</formula>
    </cfRule>
    <cfRule type="cellIs" dxfId="271" priority="91" operator="equal">
      <formula>TRUE</formula>
    </cfRule>
  </conditionalFormatting>
  <conditionalFormatting sqref="U57">
    <cfRule type="cellIs" dxfId="270" priority="86" operator="equal">
      <formula>FALSE</formula>
    </cfRule>
    <cfRule type="cellIs" dxfId="269" priority="87" operator="equal">
      <formula>TRUE</formula>
    </cfRule>
  </conditionalFormatting>
  <conditionalFormatting sqref="V69">
    <cfRule type="cellIs" dxfId="268" priority="84" operator="equal">
      <formula>FALSE</formula>
    </cfRule>
    <cfRule type="cellIs" dxfId="267" priority="85" operator="equal">
      <formula>TRUE</formula>
    </cfRule>
  </conditionalFormatting>
  <conditionalFormatting sqref="U69">
    <cfRule type="cellIs" dxfId="266" priority="82" operator="equal">
      <formula>FALSE</formula>
    </cfRule>
    <cfRule type="cellIs" dxfId="265" priority="83" operator="equal">
      <formula>TRUE</formula>
    </cfRule>
  </conditionalFormatting>
  <conditionalFormatting sqref="V76">
    <cfRule type="cellIs" dxfId="264" priority="80" operator="equal">
      <formula>FALSE</formula>
    </cfRule>
    <cfRule type="cellIs" dxfId="263" priority="81" operator="equal">
      <formula>TRUE</formula>
    </cfRule>
  </conditionalFormatting>
  <conditionalFormatting sqref="U76">
    <cfRule type="cellIs" dxfId="262" priority="78" operator="equal">
      <formula>FALSE</formula>
    </cfRule>
    <cfRule type="cellIs" dxfId="261" priority="79" operator="equal">
      <formula>TRUE</formula>
    </cfRule>
  </conditionalFormatting>
  <conditionalFormatting sqref="V88">
    <cfRule type="cellIs" dxfId="260" priority="76" operator="equal">
      <formula>FALSE</formula>
    </cfRule>
    <cfRule type="cellIs" dxfId="259" priority="77" operator="equal">
      <formula>TRUE</formula>
    </cfRule>
  </conditionalFormatting>
  <conditionalFormatting sqref="U88">
    <cfRule type="cellIs" dxfId="258" priority="74" operator="equal">
      <formula>FALSE</formula>
    </cfRule>
    <cfRule type="cellIs" dxfId="257" priority="75" operator="equal">
      <formula>TRUE</formula>
    </cfRule>
  </conditionalFormatting>
  <conditionalFormatting sqref="V99">
    <cfRule type="cellIs" dxfId="256" priority="72" operator="equal">
      <formula>FALSE</formula>
    </cfRule>
    <cfRule type="cellIs" dxfId="255" priority="73" operator="equal">
      <formula>TRUE</formula>
    </cfRule>
  </conditionalFormatting>
  <conditionalFormatting sqref="U99">
    <cfRule type="cellIs" dxfId="254" priority="70" operator="equal">
      <formula>FALSE</formula>
    </cfRule>
    <cfRule type="cellIs" dxfId="253" priority="71" operator="equal">
      <formula>TRUE</formula>
    </cfRule>
  </conditionalFormatting>
  <conditionalFormatting sqref="V130">
    <cfRule type="cellIs" dxfId="252" priority="60" operator="equal">
      <formula>FALSE</formula>
    </cfRule>
    <cfRule type="cellIs" dxfId="251" priority="61" operator="equal">
      <formula>TRUE</formula>
    </cfRule>
  </conditionalFormatting>
  <conditionalFormatting sqref="U111">
    <cfRule type="cellIs" dxfId="250" priority="66" operator="equal">
      <formula>FALSE</formula>
    </cfRule>
    <cfRule type="cellIs" dxfId="249" priority="67" operator="equal">
      <formula>TRUE</formula>
    </cfRule>
  </conditionalFormatting>
  <conditionalFormatting sqref="V118">
    <cfRule type="cellIs" dxfId="248" priority="64" operator="equal">
      <formula>FALSE</formula>
    </cfRule>
    <cfRule type="cellIs" dxfId="247" priority="65" operator="equal">
      <formula>TRUE</formula>
    </cfRule>
  </conditionalFormatting>
  <conditionalFormatting sqref="U118">
    <cfRule type="cellIs" dxfId="246" priority="62" operator="equal">
      <formula>FALSE</formula>
    </cfRule>
    <cfRule type="cellIs" dxfId="245" priority="63" operator="equal">
      <formula>TRUE</formula>
    </cfRule>
  </conditionalFormatting>
  <conditionalFormatting sqref="U130">
    <cfRule type="cellIs" dxfId="244" priority="58" operator="equal">
      <formula>FALSE</formula>
    </cfRule>
    <cfRule type="cellIs" dxfId="243" priority="59" operator="equal">
      <formula>TRUE</formula>
    </cfRule>
  </conditionalFormatting>
  <conditionalFormatting sqref="V141">
    <cfRule type="cellIs" dxfId="242" priority="56" operator="equal">
      <formula>FALSE</formula>
    </cfRule>
    <cfRule type="cellIs" dxfId="241" priority="57" operator="equal">
      <formula>TRUE</formula>
    </cfRule>
  </conditionalFormatting>
  <conditionalFormatting sqref="U141">
    <cfRule type="cellIs" dxfId="240" priority="54" operator="equal">
      <formula>FALSE</formula>
    </cfRule>
    <cfRule type="cellIs" dxfId="239" priority="55" operator="equal">
      <formula>TRUE</formula>
    </cfRule>
  </conditionalFormatting>
  <conditionalFormatting sqref="V153">
    <cfRule type="cellIs" dxfId="238" priority="52" operator="equal">
      <formula>FALSE</formula>
    </cfRule>
    <cfRule type="cellIs" dxfId="237" priority="53" operator="equal">
      <formula>TRUE</formula>
    </cfRule>
  </conditionalFormatting>
  <conditionalFormatting sqref="U153">
    <cfRule type="cellIs" dxfId="236" priority="50" operator="equal">
      <formula>FALSE</formula>
    </cfRule>
    <cfRule type="cellIs" dxfId="235" priority="51" operator="equal">
      <formula>TRUE</formula>
    </cfRule>
  </conditionalFormatting>
  <conditionalFormatting sqref="V160">
    <cfRule type="cellIs" dxfId="234" priority="48" operator="equal">
      <formula>FALSE</formula>
    </cfRule>
    <cfRule type="cellIs" dxfId="233" priority="49" operator="equal">
      <formula>TRUE</formula>
    </cfRule>
  </conditionalFormatting>
  <conditionalFormatting sqref="U160">
    <cfRule type="cellIs" dxfId="232" priority="46" operator="equal">
      <formula>FALSE</formula>
    </cfRule>
    <cfRule type="cellIs" dxfId="231" priority="47" operator="equal">
      <formula>TRUE</formula>
    </cfRule>
  </conditionalFormatting>
  <conditionalFormatting sqref="V172">
    <cfRule type="cellIs" dxfId="230" priority="44" operator="equal">
      <formula>FALSE</formula>
    </cfRule>
    <cfRule type="cellIs" dxfId="229" priority="45" operator="equal">
      <formula>TRUE</formula>
    </cfRule>
  </conditionalFormatting>
  <conditionalFormatting sqref="U172">
    <cfRule type="cellIs" dxfId="228" priority="42" operator="equal">
      <formula>FALSE</formula>
    </cfRule>
    <cfRule type="cellIs" dxfId="227" priority="43" operator="equal">
      <formula>TRUE</formula>
    </cfRule>
  </conditionalFormatting>
  <conditionalFormatting sqref="V184">
    <cfRule type="cellIs" dxfId="226" priority="40" operator="equal">
      <formula>FALSE</formula>
    </cfRule>
    <cfRule type="cellIs" dxfId="225" priority="41" operator="equal">
      <formula>TRUE</formula>
    </cfRule>
  </conditionalFormatting>
  <conditionalFormatting sqref="U184">
    <cfRule type="cellIs" dxfId="224" priority="38" operator="equal">
      <formula>FALSE</formula>
    </cfRule>
    <cfRule type="cellIs" dxfId="223" priority="39" operator="equal">
      <formula>TRUE</formula>
    </cfRule>
  </conditionalFormatting>
  <conditionalFormatting sqref="V197">
    <cfRule type="cellIs" dxfId="222" priority="36" operator="equal">
      <formula>FALSE</formula>
    </cfRule>
    <cfRule type="cellIs" dxfId="221" priority="37" operator="equal">
      <formula>TRUE</formula>
    </cfRule>
  </conditionalFormatting>
  <conditionalFormatting sqref="U197">
    <cfRule type="cellIs" dxfId="220" priority="34" operator="equal">
      <formula>FALSE</formula>
    </cfRule>
    <cfRule type="cellIs" dxfId="219" priority="35" operator="equal">
      <formula>TRUE</formula>
    </cfRule>
  </conditionalFormatting>
  <conditionalFormatting sqref="V210">
    <cfRule type="cellIs" dxfId="218" priority="32" operator="equal">
      <formula>FALSE</formula>
    </cfRule>
    <cfRule type="cellIs" dxfId="217" priority="33" operator="equal">
      <formula>TRUE</formula>
    </cfRule>
  </conditionalFormatting>
  <conditionalFormatting sqref="U210">
    <cfRule type="cellIs" dxfId="216" priority="30" operator="equal">
      <formula>FALSE</formula>
    </cfRule>
    <cfRule type="cellIs" dxfId="215" priority="31" operator="equal">
      <formula>TRUE</formula>
    </cfRule>
  </conditionalFormatting>
  <conditionalFormatting sqref="V21">
    <cfRule type="cellIs" dxfId="214" priority="28" operator="equal">
      <formula>FALSE</formula>
    </cfRule>
    <cfRule type="cellIs" dxfId="213" priority="29" operator="equal">
      <formula>TRUE</formula>
    </cfRule>
  </conditionalFormatting>
  <conditionalFormatting sqref="V30">
    <cfRule type="cellIs" dxfId="212" priority="26" operator="equal">
      <formula>FALSE</formula>
    </cfRule>
    <cfRule type="cellIs" dxfId="211" priority="27" operator="equal">
      <formula>TRUE</formula>
    </cfRule>
  </conditionalFormatting>
  <conditionalFormatting sqref="V39">
    <cfRule type="cellIs" dxfId="210" priority="24" operator="equal">
      <formula>FALSE</formula>
    </cfRule>
    <cfRule type="cellIs" dxfId="209" priority="25" operator="equal">
      <formula>TRUE</formula>
    </cfRule>
  </conditionalFormatting>
  <conditionalFormatting sqref="V48">
    <cfRule type="cellIs" dxfId="208" priority="22" operator="equal">
      <formula>FALSE</formula>
    </cfRule>
    <cfRule type="cellIs" dxfId="207" priority="23" operator="equal">
      <formula>TRUE</formula>
    </cfRule>
  </conditionalFormatting>
  <conditionalFormatting sqref="V57">
    <cfRule type="cellIs" dxfId="206" priority="20" operator="equal">
      <formula>FALSE</formula>
    </cfRule>
    <cfRule type="cellIs" dxfId="205" priority="21" operator="equal">
      <formula>TRUE</formula>
    </cfRule>
  </conditionalFormatting>
  <conditionalFormatting sqref="V66">
    <cfRule type="cellIs" dxfId="204" priority="18" operator="equal">
      <formula>FALSE</formula>
    </cfRule>
    <cfRule type="cellIs" dxfId="203" priority="19" operator="equal">
      <formula>TRUE</formula>
    </cfRule>
  </conditionalFormatting>
  <conditionalFormatting sqref="V75">
    <cfRule type="cellIs" dxfId="202" priority="16" operator="equal">
      <formula>FALSE</formula>
    </cfRule>
    <cfRule type="cellIs" dxfId="201" priority="17" operator="equal">
      <formula>TRUE</formula>
    </cfRule>
  </conditionalFormatting>
  <conditionalFormatting sqref="V84">
    <cfRule type="cellIs" dxfId="200" priority="14" operator="equal">
      <formula>FALSE</formula>
    </cfRule>
    <cfRule type="cellIs" dxfId="199" priority="15" operator="equal">
      <formula>TRUE</formula>
    </cfRule>
  </conditionalFormatting>
  <conditionalFormatting sqref="V93">
    <cfRule type="cellIs" dxfId="198" priority="12" operator="equal">
      <formula>FALSE</formula>
    </cfRule>
    <cfRule type="cellIs" dxfId="197" priority="13" operator="equal">
      <formula>TRUE</formula>
    </cfRule>
  </conditionalFormatting>
  <conditionalFormatting sqref="V102">
    <cfRule type="cellIs" dxfId="196" priority="10" operator="equal">
      <formula>FALSE</formula>
    </cfRule>
    <cfRule type="cellIs" dxfId="195" priority="11" operator="equal">
      <formula>TRUE</formula>
    </cfRule>
  </conditionalFormatting>
  <conditionalFormatting sqref="V111">
    <cfRule type="cellIs" dxfId="194" priority="8" operator="equal">
      <formula>FALSE</formula>
    </cfRule>
    <cfRule type="cellIs" dxfId="193" priority="9" operator="equal">
      <formula>TRUE</formula>
    </cfRule>
  </conditionalFormatting>
  <conditionalFormatting sqref="V120">
    <cfRule type="cellIs" dxfId="192" priority="6" operator="equal">
      <formula>FALSE</formula>
    </cfRule>
    <cfRule type="cellIs" dxfId="191" priority="7" operator="equal">
      <formula>TRUE</formula>
    </cfRule>
  </conditionalFormatting>
  <conditionalFormatting sqref="V129">
    <cfRule type="cellIs" dxfId="190" priority="4" operator="equal">
      <formula>FALSE</formula>
    </cfRule>
    <cfRule type="cellIs" dxfId="189" priority="5" operator="equal">
      <formula>TRUE</formula>
    </cfRule>
  </conditionalFormatting>
  <conditionalFormatting sqref="V138">
    <cfRule type="cellIs" dxfId="188" priority="2" operator="equal">
      <formula>FALSE</formula>
    </cfRule>
    <cfRule type="cellIs" dxfId="187" priority="3" operator="equal">
      <formula>TRUE</formula>
    </cfRule>
  </conditionalFormatting>
  <conditionalFormatting sqref="Q131">
    <cfRule type="expression" dxfId="186" priority="1">
      <formula>MOD(ROW(),2)=0</formula>
    </cfRule>
  </conditionalFormatting>
  <hyperlinks>
    <hyperlink ref="A1" location="Index!A1" display="&lt;&lt;Back to Index" xr:uid="{271806FF-0D5A-4F33-BB81-36C2F6FC7264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theme="0" tint="-0.249977111117893"/>
  </sheetPr>
  <dimension ref="F9:F14"/>
  <sheetViews>
    <sheetView workbookViewId="0"/>
  </sheetViews>
  <sheetFormatPr defaultColWidth="8.81640625" defaultRowHeight="14.5" x14ac:dyDescent="0.35"/>
  <cols>
    <col min="1" max="16384" width="8.81640625" style="3"/>
  </cols>
  <sheetData>
    <row r="9" spans="6:6" ht="36" x14ac:dyDescent="0.35">
      <c r="F9" s="2" t="s">
        <v>167</v>
      </c>
    </row>
    <row r="10" spans="6:6" ht="36" x14ac:dyDescent="0.35">
      <c r="F10" s="2" t="str">
        <f>"DMO "&amp;FY</f>
        <v>DMO 2022-23</v>
      </c>
    </row>
    <row r="11" spans="6:6" ht="23.5" x14ac:dyDescent="0.35">
      <c r="F11" s="4"/>
    </row>
    <row r="12" spans="6:6" ht="23.5" x14ac:dyDescent="0.35">
      <c r="F12" s="4"/>
    </row>
    <row r="13" spans="6:6" x14ac:dyDescent="0.35">
      <c r="F13" s="5"/>
    </row>
    <row r="14" spans="6:6" x14ac:dyDescent="0.35">
      <c r="F14" s="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theme="0" tint="-0.249977111117893"/>
  </sheetPr>
  <dimension ref="A1:U48"/>
  <sheetViews>
    <sheetView zoomScaleNormal="100" workbookViewId="0">
      <pane ySplit="2" topLeftCell="A3" activePane="bottomLeft" state="frozen"/>
      <selection pane="bottomLeft" activeCell="E3" sqref="E3"/>
    </sheetView>
  </sheetViews>
  <sheetFormatPr defaultColWidth="8.81640625" defaultRowHeight="14.5" x14ac:dyDescent="0.35"/>
  <cols>
    <col min="1" max="1" width="1.81640625" style="3" customWidth="1"/>
    <col min="2" max="2" width="19.54296875" style="3" customWidth="1"/>
    <col min="3" max="3" width="19.81640625" style="3" bestFit="1" customWidth="1"/>
    <col min="4" max="4" width="57.81640625" style="19" bestFit="1" customWidth="1"/>
    <col min="5" max="7" width="15.81640625" style="19" customWidth="1"/>
    <col min="8" max="14" width="15.81640625" style="3" customWidth="1"/>
    <col min="15" max="15" width="13.1796875" style="3" customWidth="1"/>
    <col min="16" max="16" width="14.1796875" style="3" customWidth="1"/>
    <col min="17" max="19" width="13.1796875" style="3" customWidth="1"/>
    <col min="20" max="16384" width="8.81640625" style="3"/>
  </cols>
  <sheetData>
    <row r="1" spans="1:19" ht="10.4" customHeight="1" x14ac:dyDescent="0.35">
      <c r="A1" s="302" t="s">
        <v>20</v>
      </c>
      <c r="B1" s="307"/>
      <c r="C1" s="19"/>
    </row>
    <row r="2" spans="1:19" s="13" customFormat="1" ht="22.5" customHeight="1" x14ac:dyDescent="0.35">
      <c r="A2" s="14" t="s">
        <v>131</v>
      </c>
      <c r="B2" s="14"/>
      <c r="C2" s="20"/>
      <c r="D2" s="20"/>
      <c r="E2" s="20"/>
      <c r="F2" s="20"/>
      <c r="G2" s="20"/>
    </row>
    <row r="3" spans="1:19" x14ac:dyDescent="0.35">
      <c r="B3" s="127" t="s">
        <v>139</v>
      </c>
    </row>
    <row r="4" spans="1:19" ht="15.5" x14ac:dyDescent="0.35">
      <c r="B4" s="34" t="s">
        <v>132</v>
      </c>
    </row>
    <row r="5" spans="1:19" x14ac:dyDescent="0.35">
      <c r="B5" s="23" t="s">
        <v>31</v>
      </c>
      <c r="C5" s="223" t="s">
        <v>30</v>
      </c>
      <c r="D5" s="218" t="s">
        <v>180</v>
      </c>
    </row>
    <row r="6" spans="1:19" x14ac:dyDescent="0.35">
      <c r="B6" s="3" t="s">
        <v>38</v>
      </c>
      <c r="C6" s="221" t="s">
        <v>185</v>
      </c>
      <c r="D6" s="3"/>
    </row>
    <row r="7" spans="1:19" x14ac:dyDescent="0.35">
      <c r="B7" s="3" t="s">
        <v>37</v>
      </c>
      <c r="C7" s="221" t="s">
        <v>172</v>
      </c>
      <c r="D7" s="3"/>
    </row>
    <row r="8" spans="1:19" x14ac:dyDescent="0.35">
      <c r="B8" s="3" t="s">
        <v>134</v>
      </c>
      <c r="C8" s="221" t="s">
        <v>228</v>
      </c>
      <c r="D8" s="3"/>
    </row>
    <row r="9" spans="1:19" x14ac:dyDescent="0.35">
      <c r="B9" s="3" t="str">
        <f>"Forecast CPI "&amp;FY&amp;" adjustment for 30 June 2021 retail costs"</f>
        <v>Forecast CPI 2022-23 adjustment for 30 June 2021 retail costs</v>
      </c>
      <c r="C9" s="220">
        <f>(1.055*1.0425)-1</f>
        <v>9.9837500000000023E-2</v>
      </c>
      <c r="D9" s="288" t="s">
        <v>229</v>
      </c>
    </row>
    <row r="10" spans="1:19" x14ac:dyDescent="0.35">
      <c r="B10" s="3" t="s">
        <v>32</v>
      </c>
      <c r="C10" s="221">
        <v>365</v>
      </c>
      <c r="D10" s="3"/>
    </row>
    <row r="11" spans="1:19" x14ac:dyDescent="0.35">
      <c r="B11" s="3" t="s">
        <v>35</v>
      </c>
      <c r="C11" s="222">
        <v>0.1</v>
      </c>
      <c r="D11" s="3"/>
    </row>
    <row r="12" spans="1:19" x14ac:dyDescent="0.35">
      <c r="B12" s="69"/>
      <c r="C12" s="69"/>
      <c r="D12" s="3"/>
    </row>
    <row r="13" spans="1:19" x14ac:dyDescent="0.35">
      <c r="B13" s="60"/>
      <c r="C13" s="118"/>
      <c r="D13" s="3"/>
    </row>
    <row r="14" spans="1:19" ht="15.5" x14ac:dyDescent="0.35">
      <c r="B14" s="34" t="s">
        <v>133</v>
      </c>
      <c r="C14" s="25"/>
      <c r="D14" s="3"/>
    </row>
    <row r="15" spans="1:19" s="5" customFormat="1" x14ac:dyDescent="0.35">
      <c r="B15" s="107" t="s">
        <v>85</v>
      </c>
      <c r="D15" s="24"/>
      <c r="E15" s="24"/>
      <c r="F15" s="24"/>
      <c r="G15" s="24"/>
    </row>
    <row r="16" spans="1:19" s="5" customFormat="1" x14ac:dyDescent="0.35">
      <c r="B16" s="12"/>
      <c r="C16" s="186"/>
      <c r="D16" s="12"/>
      <c r="E16" s="341" t="s">
        <v>55</v>
      </c>
      <c r="F16" s="343"/>
      <c r="G16" s="343"/>
      <c r="H16" s="342"/>
      <c r="I16" s="341" t="s">
        <v>57</v>
      </c>
      <c r="J16" s="342"/>
      <c r="K16" s="341" t="s">
        <v>59</v>
      </c>
      <c r="L16" s="342"/>
      <c r="M16" s="343" t="s">
        <v>60</v>
      </c>
      <c r="N16" s="343"/>
      <c r="O16" s="339" t="str">
        <f>"Source NUOS "&amp;PY</f>
        <v>Source NUOS 2021-22</v>
      </c>
      <c r="P16" s="339" t="str">
        <f>"Source NUOS "&amp;FY</f>
        <v>Source NUOS 2022-23</v>
      </c>
      <c r="Q16" s="339" t="str">
        <f>"Source ACS "&amp;PY</f>
        <v>Source ACS 2021-22</v>
      </c>
      <c r="R16" s="337" t="str">
        <f>"Source ACS "&amp;FY</f>
        <v>Source ACS 2022-23</v>
      </c>
      <c r="S16" s="337" t="s">
        <v>207</v>
      </c>
    </row>
    <row r="17" spans="2:21" s="5" customFormat="1" ht="5.15" customHeight="1" x14ac:dyDescent="0.35">
      <c r="B17" s="78"/>
      <c r="C17" s="186"/>
      <c r="D17" s="78"/>
      <c r="E17" s="184" t="str">
        <f>E16</f>
        <v>NUOS</v>
      </c>
      <c r="F17" s="80" t="str">
        <f>E16</f>
        <v>NUOS</v>
      </c>
      <c r="G17" s="80" t="str">
        <f>E16</f>
        <v>NUOS</v>
      </c>
      <c r="H17" s="185" t="str">
        <f>E16</f>
        <v>NUOS</v>
      </c>
      <c r="I17" s="184" t="str">
        <f>I16</f>
        <v>ACS</v>
      </c>
      <c r="J17" s="185" t="str">
        <f>I16</f>
        <v>ACS</v>
      </c>
      <c r="K17" s="184" t="str">
        <f>K16</f>
        <v>Wholesale cost</v>
      </c>
      <c r="L17" s="185" t="str">
        <f>K16</f>
        <v>Wholesale cost</v>
      </c>
      <c r="M17" s="80" t="str">
        <f>M16</f>
        <v>Environmental cost</v>
      </c>
      <c r="N17" s="80" t="str">
        <f>M16</f>
        <v>Environmental cost</v>
      </c>
      <c r="O17" s="339"/>
      <c r="P17" s="340"/>
      <c r="Q17" s="340"/>
      <c r="R17" s="338"/>
      <c r="S17" s="338"/>
    </row>
    <row r="18" spans="2:21" s="5" customFormat="1" ht="15" customHeight="1" x14ac:dyDescent="0.35">
      <c r="B18" s="23" t="s">
        <v>1</v>
      </c>
      <c r="C18" s="23" t="s">
        <v>34</v>
      </c>
      <c r="D18" s="23" t="s">
        <v>24</v>
      </c>
      <c r="E18" s="230" t="str">
        <f>PY</f>
        <v>2021-22</v>
      </c>
      <c r="F18" s="231" t="str">
        <f>FY</f>
        <v>2022-23</v>
      </c>
      <c r="G18" s="231" t="str">
        <f>PY</f>
        <v>2021-22</v>
      </c>
      <c r="H18" s="232" t="str">
        <f>FY</f>
        <v>2022-23</v>
      </c>
      <c r="I18" s="230" t="str">
        <f>PY</f>
        <v>2021-22</v>
      </c>
      <c r="J18" s="232" t="str">
        <f>FY</f>
        <v>2022-23</v>
      </c>
      <c r="K18" s="230" t="str">
        <f>PY</f>
        <v>2021-22</v>
      </c>
      <c r="L18" s="232" t="str">
        <f>FY</f>
        <v>2022-23</v>
      </c>
      <c r="M18" s="231" t="str">
        <f>PY</f>
        <v>2021-22</v>
      </c>
      <c r="N18" s="231" t="str">
        <f>FY</f>
        <v>2022-23</v>
      </c>
      <c r="O18" s="339"/>
      <c r="P18" s="340"/>
      <c r="Q18" s="340"/>
      <c r="R18" s="338"/>
      <c r="S18" s="338"/>
    </row>
    <row r="19" spans="2:21" s="5" customFormat="1" x14ac:dyDescent="0.35">
      <c r="B19" s="186"/>
      <c r="C19" s="23"/>
      <c r="D19" s="23"/>
      <c r="E19" s="230" t="s">
        <v>42</v>
      </c>
      <c r="F19" s="231" t="s">
        <v>42</v>
      </c>
      <c r="G19" s="231" t="s">
        <v>43</v>
      </c>
      <c r="H19" s="232" t="s">
        <v>43</v>
      </c>
      <c r="I19" s="230" t="s">
        <v>42</v>
      </c>
      <c r="J19" s="232" t="s">
        <v>42</v>
      </c>
      <c r="K19" s="230" t="s">
        <v>43</v>
      </c>
      <c r="L19" s="232" t="s">
        <v>43</v>
      </c>
      <c r="M19" s="231" t="s">
        <v>43</v>
      </c>
      <c r="N19" s="231" t="s">
        <v>43</v>
      </c>
      <c r="O19" s="339"/>
      <c r="P19" s="340"/>
      <c r="Q19" s="340"/>
      <c r="R19" s="338"/>
      <c r="S19" s="338"/>
    </row>
    <row r="20" spans="2:21" s="5" customFormat="1" x14ac:dyDescent="0.35">
      <c r="B20" s="12"/>
      <c r="C20" s="186"/>
      <c r="D20" s="12"/>
      <c r="E20" s="230" t="s">
        <v>171</v>
      </c>
      <c r="F20" s="231" t="s">
        <v>171</v>
      </c>
      <c r="G20" s="231" t="s">
        <v>40</v>
      </c>
      <c r="H20" s="232" t="s">
        <v>40</v>
      </c>
      <c r="I20" s="230" t="s">
        <v>171</v>
      </c>
      <c r="J20" s="232" t="s">
        <v>171</v>
      </c>
      <c r="K20" s="230" t="s">
        <v>40</v>
      </c>
      <c r="L20" s="232" t="s">
        <v>40</v>
      </c>
      <c r="M20" s="231" t="s">
        <v>40</v>
      </c>
      <c r="N20" s="231" t="s">
        <v>40</v>
      </c>
      <c r="O20" s="339"/>
      <c r="P20" s="340"/>
      <c r="Q20" s="340"/>
      <c r="R20" s="338"/>
      <c r="S20" s="338"/>
      <c r="T20" s="3"/>
    </row>
    <row r="21" spans="2:21" x14ac:dyDescent="0.35">
      <c r="B21" s="59" t="s">
        <v>2</v>
      </c>
      <c r="C21" s="59" t="s">
        <v>6</v>
      </c>
      <c r="D21" s="59" t="s">
        <v>21</v>
      </c>
      <c r="E21" s="229">
        <v>142.07113999999999</v>
      </c>
      <c r="F21" s="229">
        <v>119.04913000000001</v>
      </c>
      <c r="G21" s="229">
        <v>86.54</v>
      </c>
      <c r="H21" s="229">
        <v>88.05</v>
      </c>
      <c r="I21" s="229">
        <v>26.46</v>
      </c>
      <c r="J21" s="229">
        <v>27.03</v>
      </c>
      <c r="K21" s="229">
        <v>87.94</v>
      </c>
      <c r="L21" s="229">
        <v>122.23</v>
      </c>
      <c r="M21" s="229">
        <v>19.170000000000002</v>
      </c>
      <c r="N21" s="229">
        <v>20.68</v>
      </c>
      <c r="O21" s="202" t="s">
        <v>227</v>
      </c>
      <c r="P21" s="205" t="s">
        <v>230</v>
      </c>
      <c r="Q21" s="202" t="s">
        <v>227</v>
      </c>
      <c r="R21" s="205" t="s">
        <v>230</v>
      </c>
      <c r="S21" s="204" t="s">
        <v>208</v>
      </c>
      <c r="T21" s="59"/>
      <c r="U21" s="196"/>
    </row>
    <row r="22" spans="2:21" x14ac:dyDescent="0.35">
      <c r="B22" s="59" t="s">
        <v>2</v>
      </c>
      <c r="C22" s="59" t="s">
        <v>6</v>
      </c>
      <c r="D22" s="59" t="s">
        <v>15</v>
      </c>
      <c r="E22" s="229">
        <v>0.57962000000000002</v>
      </c>
      <c r="F22" s="229">
        <v>2.8973699999999996</v>
      </c>
      <c r="G22" s="229">
        <v>18.073</v>
      </c>
      <c r="H22" s="229">
        <v>17.485999999999997</v>
      </c>
      <c r="I22" s="229">
        <v>9.32</v>
      </c>
      <c r="J22" s="229">
        <v>9.379999999999999</v>
      </c>
      <c r="K22" s="229">
        <v>60.44</v>
      </c>
      <c r="L22" s="229">
        <v>88.62</v>
      </c>
      <c r="M22" s="229">
        <v>19.22</v>
      </c>
      <c r="N22" s="229">
        <v>20.74</v>
      </c>
      <c r="O22" s="202" t="s">
        <v>227</v>
      </c>
      <c r="P22" s="205" t="s">
        <v>231</v>
      </c>
      <c r="Q22" s="202" t="s">
        <v>227</v>
      </c>
      <c r="R22" s="205" t="s">
        <v>231</v>
      </c>
      <c r="S22" s="204" t="s">
        <v>209</v>
      </c>
      <c r="T22" s="59"/>
      <c r="U22" s="196"/>
    </row>
    <row r="23" spans="2:21" x14ac:dyDescent="0.35">
      <c r="B23" s="59" t="s">
        <v>2</v>
      </c>
      <c r="C23" s="59" t="s">
        <v>6</v>
      </c>
      <c r="D23" s="59" t="s">
        <v>16</v>
      </c>
      <c r="E23" s="229">
        <v>42.452784999999999</v>
      </c>
      <c r="F23" s="229">
        <v>38.207470000000001</v>
      </c>
      <c r="G23" s="229">
        <v>47.631999999999998</v>
      </c>
      <c r="H23" s="229">
        <v>40.092999999999996</v>
      </c>
      <c r="I23" s="229">
        <v>9.32</v>
      </c>
      <c r="J23" s="229">
        <v>9.379999999999999</v>
      </c>
      <c r="K23" s="229">
        <v>57.47</v>
      </c>
      <c r="L23" s="229">
        <v>87.26</v>
      </c>
      <c r="M23" s="229">
        <v>19.22</v>
      </c>
      <c r="N23" s="229">
        <v>20.74</v>
      </c>
      <c r="O23" s="202" t="s">
        <v>227</v>
      </c>
      <c r="P23" s="205" t="s">
        <v>232</v>
      </c>
      <c r="Q23" s="202" t="s">
        <v>227</v>
      </c>
      <c r="R23" s="205" t="s">
        <v>232</v>
      </c>
      <c r="S23" s="204" t="s">
        <v>210</v>
      </c>
      <c r="T23" s="59"/>
      <c r="U23" s="196"/>
    </row>
    <row r="24" spans="2:21" x14ac:dyDescent="0.35">
      <c r="B24" s="59" t="s">
        <v>2</v>
      </c>
      <c r="C24" s="59" t="s">
        <v>14</v>
      </c>
      <c r="D24" s="59" t="s">
        <v>21</v>
      </c>
      <c r="E24" s="229">
        <v>472.49140499999999</v>
      </c>
      <c r="F24" s="229">
        <v>471.70775000000003</v>
      </c>
      <c r="G24" s="229">
        <v>79.316000000000003</v>
      </c>
      <c r="H24" s="229">
        <v>77.342000000000013</v>
      </c>
      <c r="I24" s="229">
        <v>34.799999999999997</v>
      </c>
      <c r="J24" s="229">
        <v>35.39</v>
      </c>
      <c r="K24" s="229">
        <v>87.94</v>
      </c>
      <c r="L24" s="229">
        <v>122.23</v>
      </c>
      <c r="M24" s="229">
        <v>19.170000000000002</v>
      </c>
      <c r="N24" s="229">
        <v>20.68</v>
      </c>
      <c r="O24" s="202" t="s">
        <v>227</v>
      </c>
      <c r="P24" s="205" t="s">
        <v>233</v>
      </c>
      <c r="Q24" s="202" t="s">
        <v>227</v>
      </c>
      <c r="R24" s="205" t="s">
        <v>233</v>
      </c>
      <c r="S24" s="204" t="s">
        <v>211</v>
      </c>
      <c r="T24" s="59"/>
      <c r="U24" s="196"/>
    </row>
    <row r="25" spans="2:21" x14ac:dyDescent="0.35">
      <c r="B25" s="59" t="s">
        <v>4</v>
      </c>
      <c r="C25" s="59" t="s">
        <v>6</v>
      </c>
      <c r="D25" s="59" t="s">
        <v>21</v>
      </c>
      <c r="E25" s="229">
        <v>148.482</v>
      </c>
      <c r="F25" s="229">
        <v>159.61450000000002</v>
      </c>
      <c r="G25" s="229">
        <v>80.953000000000003</v>
      </c>
      <c r="H25" s="229">
        <v>84.179999999999993</v>
      </c>
      <c r="I25" s="229">
        <v>21.009999999999998</v>
      </c>
      <c r="J25" s="229">
        <v>22.159999999999997</v>
      </c>
      <c r="K25" s="229">
        <v>88.27</v>
      </c>
      <c r="L25" s="229">
        <v>124.25</v>
      </c>
      <c r="M25" s="229">
        <v>19.309999999999999</v>
      </c>
      <c r="N25" s="229">
        <v>20.82</v>
      </c>
      <c r="O25" s="202" t="s">
        <v>227</v>
      </c>
      <c r="P25" s="205" t="s">
        <v>234</v>
      </c>
      <c r="Q25" s="202" t="s">
        <v>227</v>
      </c>
      <c r="R25" s="205" t="s">
        <v>234</v>
      </c>
      <c r="S25" s="204" t="s">
        <v>212</v>
      </c>
      <c r="T25" s="59"/>
      <c r="U25" s="197"/>
    </row>
    <row r="26" spans="2:21" x14ac:dyDescent="0.35">
      <c r="B26" s="59" t="s">
        <v>4</v>
      </c>
      <c r="C26" s="59" t="s">
        <v>6</v>
      </c>
      <c r="D26" s="59" t="s">
        <v>15</v>
      </c>
      <c r="E26" s="229">
        <v>13.577999999999999</v>
      </c>
      <c r="F26" s="229">
        <v>16.279</v>
      </c>
      <c r="G26" s="229">
        <v>16.184000000000001</v>
      </c>
      <c r="H26" s="229">
        <v>19.273</v>
      </c>
      <c r="I26" s="229">
        <v>6.8800000000000008</v>
      </c>
      <c r="J26" s="229">
        <v>7.25</v>
      </c>
      <c r="K26" s="229">
        <v>83.29</v>
      </c>
      <c r="L26" s="229">
        <v>114.5</v>
      </c>
      <c r="M26" s="229">
        <v>19.309999999999999</v>
      </c>
      <c r="N26" s="229">
        <v>20.82</v>
      </c>
      <c r="O26" s="202" t="s">
        <v>227</v>
      </c>
      <c r="P26" s="205" t="s">
        <v>235</v>
      </c>
      <c r="Q26" s="202" t="s">
        <v>227</v>
      </c>
      <c r="R26" s="205" t="s">
        <v>235</v>
      </c>
      <c r="S26" s="204" t="s">
        <v>213</v>
      </c>
      <c r="T26" s="59"/>
      <c r="U26" s="196"/>
    </row>
    <row r="27" spans="2:21" x14ac:dyDescent="0.35">
      <c r="B27" s="59" t="s">
        <v>4</v>
      </c>
      <c r="C27" s="59" t="s">
        <v>6</v>
      </c>
      <c r="D27" s="59" t="s">
        <v>16</v>
      </c>
      <c r="E27" s="229">
        <v>13.577999999999999</v>
      </c>
      <c r="F27" s="229">
        <v>16.279</v>
      </c>
      <c r="G27" s="229">
        <v>37.078000000000003</v>
      </c>
      <c r="H27" s="229">
        <v>39.71</v>
      </c>
      <c r="I27" s="229">
        <v>6.8800000000000008</v>
      </c>
      <c r="J27" s="229">
        <v>7.25</v>
      </c>
      <c r="K27" s="229">
        <v>83.29</v>
      </c>
      <c r="L27" s="229">
        <v>114.5</v>
      </c>
      <c r="M27" s="229">
        <v>19.309999999999999</v>
      </c>
      <c r="N27" s="229">
        <v>20.82</v>
      </c>
      <c r="O27" s="202" t="s">
        <v>227</v>
      </c>
      <c r="P27" s="205" t="s">
        <v>236</v>
      </c>
      <c r="Q27" s="202" t="s">
        <v>227</v>
      </c>
      <c r="R27" s="205" t="s">
        <v>236</v>
      </c>
      <c r="S27" s="204" t="s">
        <v>214</v>
      </c>
      <c r="T27" s="59"/>
      <c r="U27" s="196"/>
    </row>
    <row r="28" spans="2:21" x14ac:dyDescent="0.35">
      <c r="B28" s="59" t="s">
        <v>4</v>
      </c>
      <c r="C28" s="59" t="s">
        <v>14</v>
      </c>
      <c r="D28" s="59" t="s">
        <v>21</v>
      </c>
      <c r="E28" s="229">
        <v>212.5395</v>
      </c>
      <c r="F28" s="229">
        <v>228.45349999999999</v>
      </c>
      <c r="G28" s="229">
        <v>84.754999999999995</v>
      </c>
      <c r="H28" s="229">
        <v>88.704999999999998</v>
      </c>
      <c r="I28" s="229">
        <v>30.79</v>
      </c>
      <c r="J28" s="229">
        <v>32.47</v>
      </c>
      <c r="K28" s="229">
        <v>88.27</v>
      </c>
      <c r="L28" s="229">
        <v>124.25</v>
      </c>
      <c r="M28" s="229">
        <v>19.309999999999999</v>
      </c>
      <c r="N28" s="229">
        <v>20.82</v>
      </c>
      <c r="O28" s="202" t="s">
        <v>227</v>
      </c>
      <c r="P28" s="205" t="s">
        <v>237</v>
      </c>
      <c r="Q28" s="202" t="s">
        <v>227</v>
      </c>
      <c r="R28" s="205" t="s">
        <v>237</v>
      </c>
      <c r="S28" s="204" t="s">
        <v>215</v>
      </c>
      <c r="T28" s="59"/>
      <c r="U28" s="196"/>
    </row>
    <row r="29" spans="2:21" x14ac:dyDescent="0.35">
      <c r="B29" s="59" t="s">
        <v>3</v>
      </c>
      <c r="C29" s="59" t="s">
        <v>6</v>
      </c>
      <c r="D29" s="59" t="s">
        <v>21</v>
      </c>
      <c r="E29" s="229">
        <v>320.762</v>
      </c>
      <c r="F29" s="229">
        <v>332.66660000000002</v>
      </c>
      <c r="G29" s="229">
        <v>111.02199999999999</v>
      </c>
      <c r="H29" s="229">
        <v>113.262</v>
      </c>
      <c r="I29" s="229">
        <v>34.04</v>
      </c>
      <c r="J29" s="229">
        <v>37.31</v>
      </c>
      <c r="K29" s="229">
        <v>80.34</v>
      </c>
      <c r="L29" s="229">
        <v>115.97</v>
      </c>
      <c r="M29" s="229">
        <v>19.04</v>
      </c>
      <c r="N29" s="229">
        <v>20.45</v>
      </c>
      <c r="O29" s="202" t="s">
        <v>227</v>
      </c>
      <c r="P29" s="205" t="s">
        <v>238</v>
      </c>
      <c r="Q29" s="202" t="s">
        <v>227</v>
      </c>
      <c r="R29" s="205" t="s">
        <v>238</v>
      </c>
      <c r="S29" s="204" t="s">
        <v>216</v>
      </c>
      <c r="T29" s="59"/>
      <c r="U29" s="196"/>
    </row>
    <row r="30" spans="2:21" x14ac:dyDescent="0.35">
      <c r="B30" s="59" t="s">
        <v>3</v>
      </c>
      <c r="C30" s="59" t="s">
        <v>6</v>
      </c>
      <c r="D30" s="59" t="s">
        <v>15</v>
      </c>
      <c r="E30" s="229">
        <v>34.127499999999998</v>
      </c>
      <c r="F30" s="229">
        <v>34.8446</v>
      </c>
      <c r="G30" s="229">
        <v>24.855999999999998</v>
      </c>
      <c r="H30" s="229">
        <v>25.316000000000003</v>
      </c>
      <c r="I30" s="229">
        <v>10.58</v>
      </c>
      <c r="J30" s="229">
        <v>11.440000000000001</v>
      </c>
      <c r="K30" s="229">
        <v>67.3</v>
      </c>
      <c r="L30" s="229">
        <v>87.48</v>
      </c>
      <c r="M30" s="229">
        <v>19.04</v>
      </c>
      <c r="N30" s="229">
        <v>20.45</v>
      </c>
      <c r="O30" s="202" t="s">
        <v>227</v>
      </c>
      <c r="P30" s="205" t="s">
        <v>239</v>
      </c>
      <c r="Q30" s="202" t="s">
        <v>227</v>
      </c>
      <c r="R30" s="205" t="s">
        <v>239</v>
      </c>
      <c r="S30" s="204" t="s">
        <v>217</v>
      </c>
      <c r="T30" s="59"/>
      <c r="U30" s="196"/>
    </row>
    <row r="31" spans="2:21" x14ac:dyDescent="0.35">
      <c r="B31" s="59" t="s">
        <v>3</v>
      </c>
      <c r="C31" s="59" t="s">
        <v>6</v>
      </c>
      <c r="D31" s="59" t="s">
        <v>16</v>
      </c>
      <c r="E31" s="229">
        <v>34.127499999999998</v>
      </c>
      <c r="F31" s="229">
        <v>34.8446</v>
      </c>
      <c r="G31" s="229">
        <v>51.517000000000003</v>
      </c>
      <c r="H31" s="229">
        <v>52.500999999999998</v>
      </c>
      <c r="I31" s="229">
        <v>10.58</v>
      </c>
      <c r="J31" s="229">
        <v>11.440000000000001</v>
      </c>
      <c r="K31" s="229">
        <v>67.3</v>
      </c>
      <c r="L31" s="229">
        <v>87.48</v>
      </c>
      <c r="M31" s="229">
        <v>19.04</v>
      </c>
      <c r="N31" s="229">
        <v>20.45</v>
      </c>
      <c r="O31" s="202" t="s">
        <v>227</v>
      </c>
      <c r="P31" s="205" t="s">
        <v>240</v>
      </c>
      <c r="Q31" s="202" t="s">
        <v>227</v>
      </c>
      <c r="R31" s="205" t="s">
        <v>240</v>
      </c>
      <c r="S31" s="204" t="s">
        <v>218</v>
      </c>
      <c r="T31" s="59"/>
      <c r="U31" s="196"/>
    </row>
    <row r="32" spans="2:21" x14ac:dyDescent="0.35">
      <c r="B32" s="59" t="s">
        <v>3</v>
      </c>
      <c r="C32" s="59" t="s">
        <v>14</v>
      </c>
      <c r="D32" s="59" t="s">
        <v>21</v>
      </c>
      <c r="E32" s="229">
        <v>320.762</v>
      </c>
      <c r="F32" s="229">
        <v>332.66660000000002</v>
      </c>
      <c r="G32" s="229">
        <v>153.00700000000001</v>
      </c>
      <c r="H32" s="229">
        <v>155.99299999999999</v>
      </c>
      <c r="I32" s="229">
        <v>34.04</v>
      </c>
      <c r="J32" s="229">
        <v>37.31</v>
      </c>
      <c r="K32" s="229">
        <v>80.34</v>
      </c>
      <c r="L32" s="229">
        <v>115.97</v>
      </c>
      <c r="M32" s="229">
        <v>19.04</v>
      </c>
      <c r="N32" s="229">
        <v>20.45</v>
      </c>
      <c r="O32" s="202" t="s">
        <v>227</v>
      </c>
      <c r="P32" s="205" t="s">
        <v>241</v>
      </c>
      <c r="Q32" s="202" t="s">
        <v>227</v>
      </c>
      <c r="R32" s="205" t="s">
        <v>241</v>
      </c>
      <c r="S32" s="204" t="s">
        <v>219</v>
      </c>
      <c r="T32" s="59"/>
      <c r="U32" s="196"/>
    </row>
    <row r="33" spans="2:21" x14ac:dyDescent="0.35">
      <c r="B33" s="59" t="s">
        <v>0</v>
      </c>
      <c r="C33" s="59" t="s">
        <v>6</v>
      </c>
      <c r="D33" s="59" t="s">
        <v>21</v>
      </c>
      <c r="E33" s="229">
        <v>187.61</v>
      </c>
      <c r="F33" s="229">
        <v>188.26700000000002</v>
      </c>
      <c r="G33" s="229">
        <v>84.68</v>
      </c>
      <c r="H33" s="229">
        <v>74.399999999999991</v>
      </c>
      <c r="I33" s="229">
        <v>38.0914</v>
      </c>
      <c r="J33" s="229">
        <v>39.42</v>
      </c>
      <c r="K33" s="229">
        <v>74.03</v>
      </c>
      <c r="L33" s="229">
        <v>110.53</v>
      </c>
      <c r="M33" s="229">
        <v>16.75</v>
      </c>
      <c r="N33" s="229">
        <v>17.100000000000001</v>
      </c>
      <c r="O33" s="202" t="s">
        <v>227</v>
      </c>
      <c r="P33" s="205" t="s">
        <v>242</v>
      </c>
      <c r="Q33" s="202" t="s">
        <v>227</v>
      </c>
      <c r="R33" s="205" t="s">
        <v>242</v>
      </c>
      <c r="S33" s="204" t="s">
        <v>220</v>
      </c>
      <c r="T33" s="59"/>
      <c r="U33" s="194"/>
    </row>
    <row r="34" spans="2:21" x14ac:dyDescent="0.35">
      <c r="B34" s="59" t="s">
        <v>0</v>
      </c>
      <c r="C34" s="59" t="s">
        <v>6</v>
      </c>
      <c r="D34" s="59" t="s">
        <v>15</v>
      </c>
      <c r="E34" s="229">
        <v>0</v>
      </c>
      <c r="F34" s="229">
        <v>0</v>
      </c>
      <c r="G34" s="229">
        <v>39.199999999999996</v>
      </c>
      <c r="H34" s="229">
        <v>33.700000000000003</v>
      </c>
      <c r="I34" s="229">
        <v>11.09965</v>
      </c>
      <c r="J34" s="229">
        <v>11.49</v>
      </c>
      <c r="K34" s="229">
        <v>58.84</v>
      </c>
      <c r="L34" s="229">
        <v>86.65</v>
      </c>
      <c r="M34" s="229">
        <v>16.75</v>
      </c>
      <c r="N34" s="229">
        <v>17.100000000000001</v>
      </c>
      <c r="O34" s="202" t="s">
        <v>227</v>
      </c>
      <c r="P34" s="205" t="s">
        <v>243</v>
      </c>
      <c r="Q34" s="202" t="s">
        <v>227</v>
      </c>
      <c r="R34" s="205" t="s">
        <v>243</v>
      </c>
      <c r="S34" s="204" t="s">
        <v>221</v>
      </c>
      <c r="T34" s="59"/>
    </row>
    <row r="35" spans="2:21" x14ac:dyDescent="0.35">
      <c r="B35" s="59" t="s">
        <v>0</v>
      </c>
      <c r="C35" s="59" t="s">
        <v>6</v>
      </c>
      <c r="D35" s="59" t="s">
        <v>16</v>
      </c>
      <c r="E35" s="229">
        <v>0</v>
      </c>
      <c r="F35" s="229">
        <v>0</v>
      </c>
      <c r="G35" s="229">
        <v>49.2</v>
      </c>
      <c r="H35" s="229">
        <v>43.7</v>
      </c>
      <c r="I35" s="229">
        <v>11.09965</v>
      </c>
      <c r="J35" s="229">
        <v>11.49</v>
      </c>
      <c r="K35" s="229">
        <v>61.18</v>
      </c>
      <c r="L35" s="229">
        <v>93.47</v>
      </c>
      <c r="M35" s="229">
        <v>16.75</v>
      </c>
      <c r="N35" s="229">
        <v>17.100000000000001</v>
      </c>
      <c r="O35" s="202" t="s">
        <v>227</v>
      </c>
      <c r="P35" s="205" t="s">
        <v>244</v>
      </c>
      <c r="Q35" s="202" t="s">
        <v>227</v>
      </c>
      <c r="R35" s="205" t="s">
        <v>244</v>
      </c>
      <c r="S35" s="204" t="s">
        <v>222</v>
      </c>
      <c r="T35" s="59"/>
      <c r="U35" s="196"/>
    </row>
    <row r="36" spans="2:21" x14ac:dyDescent="0.35">
      <c r="B36" s="59" t="s">
        <v>0</v>
      </c>
      <c r="C36" s="59" t="s">
        <v>14</v>
      </c>
      <c r="D36" s="59" t="s">
        <v>21</v>
      </c>
      <c r="E36" s="229">
        <v>253.30999999999997</v>
      </c>
      <c r="F36" s="229">
        <v>251.923</v>
      </c>
      <c r="G36" s="229">
        <v>90.11</v>
      </c>
      <c r="H36" s="229">
        <v>81.8</v>
      </c>
      <c r="I36" s="229">
        <v>38.0914</v>
      </c>
      <c r="J36" s="229">
        <v>39.42</v>
      </c>
      <c r="K36" s="229">
        <v>74.03</v>
      </c>
      <c r="L36" s="229">
        <v>110.53</v>
      </c>
      <c r="M36" s="229">
        <v>16.75</v>
      </c>
      <c r="N36" s="229">
        <v>17.100000000000001</v>
      </c>
      <c r="O36" s="202" t="s">
        <v>227</v>
      </c>
      <c r="P36" s="205" t="s">
        <v>245</v>
      </c>
      <c r="Q36" s="202" t="s">
        <v>227</v>
      </c>
      <c r="R36" s="205" t="s">
        <v>245</v>
      </c>
      <c r="S36" s="204" t="s">
        <v>223</v>
      </c>
      <c r="T36" s="59"/>
      <c r="U36" s="196"/>
    </row>
    <row r="37" spans="2:21" x14ac:dyDescent="0.35">
      <c r="B37" s="59" t="s">
        <v>5</v>
      </c>
      <c r="C37" s="59" t="s">
        <v>6</v>
      </c>
      <c r="D37" s="59" t="s">
        <v>21</v>
      </c>
      <c r="E37" s="229">
        <v>180.018</v>
      </c>
      <c r="F37" s="229">
        <v>190.01899999999998</v>
      </c>
      <c r="G37" s="229">
        <v>135.30000000000001</v>
      </c>
      <c r="H37" s="229">
        <v>134.4</v>
      </c>
      <c r="I37" s="229">
        <v>23.16</v>
      </c>
      <c r="J37" s="229">
        <v>23.98</v>
      </c>
      <c r="K37" s="229">
        <v>119.47</v>
      </c>
      <c r="L37" s="229">
        <v>134.53</v>
      </c>
      <c r="M37" s="229">
        <v>20.39</v>
      </c>
      <c r="N37" s="229">
        <v>20.38</v>
      </c>
      <c r="O37" s="202" t="s">
        <v>227</v>
      </c>
      <c r="P37" s="205" t="s">
        <v>246</v>
      </c>
      <c r="Q37" s="202" t="s">
        <v>227</v>
      </c>
      <c r="R37" s="205" t="s">
        <v>246</v>
      </c>
      <c r="S37" s="204" t="s">
        <v>224</v>
      </c>
      <c r="T37" s="59"/>
      <c r="U37"/>
    </row>
    <row r="38" spans="2:21" x14ac:dyDescent="0.35">
      <c r="B38" s="59" t="s">
        <v>5</v>
      </c>
      <c r="C38" s="59" t="s">
        <v>6</v>
      </c>
      <c r="D38" s="59" t="s">
        <v>15</v>
      </c>
      <c r="E38" s="229">
        <v>0</v>
      </c>
      <c r="F38" s="229">
        <v>0</v>
      </c>
      <c r="G38" s="229">
        <v>67.8</v>
      </c>
      <c r="H38" s="229">
        <v>67.3</v>
      </c>
      <c r="I38" s="229">
        <v>23.16</v>
      </c>
      <c r="J38" s="229">
        <v>23.98</v>
      </c>
      <c r="K38" s="229">
        <v>72.819999999999993</v>
      </c>
      <c r="L38" s="229">
        <v>73.52</v>
      </c>
      <c r="M38" s="229">
        <v>20.39</v>
      </c>
      <c r="N38" s="229">
        <v>20.38</v>
      </c>
      <c r="O38" s="202" t="s">
        <v>227</v>
      </c>
      <c r="P38" s="205" t="s">
        <v>247</v>
      </c>
      <c r="Q38" s="202" t="s">
        <v>227</v>
      </c>
      <c r="R38" s="205" t="s">
        <v>247</v>
      </c>
      <c r="S38" s="204" t="s">
        <v>225</v>
      </c>
      <c r="T38" s="59"/>
    </row>
    <row r="39" spans="2:21" x14ac:dyDescent="0.35">
      <c r="B39" s="59" t="s">
        <v>5</v>
      </c>
      <c r="C39" s="59" t="s">
        <v>14</v>
      </c>
      <c r="D39" s="59" t="s">
        <v>21</v>
      </c>
      <c r="E39" s="229">
        <v>204.98400000000001</v>
      </c>
      <c r="F39" s="229">
        <v>224.98599999999999</v>
      </c>
      <c r="G39" s="229">
        <v>149.9</v>
      </c>
      <c r="H39" s="229">
        <v>150.60000000000002</v>
      </c>
      <c r="I39" s="229">
        <v>23.16</v>
      </c>
      <c r="J39" s="229">
        <v>23.98</v>
      </c>
      <c r="K39" s="229">
        <v>119.47</v>
      </c>
      <c r="L39" s="229">
        <v>134.53</v>
      </c>
      <c r="M39" s="229">
        <v>20.39</v>
      </c>
      <c r="N39" s="229">
        <v>20.38</v>
      </c>
      <c r="O39" s="202" t="s">
        <v>227</v>
      </c>
      <c r="P39" s="205" t="s">
        <v>248</v>
      </c>
      <c r="Q39" s="202" t="s">
        <v>227</v>
      </c>
      <c r="R39" s="205" t="s">
        <v>248</v>
      </c>
      <c r="S39" s="204" t="s">
        <v>226</v>
      </c>
      <c r="T39" s="59"/>
    </row>
    <row r="41" spans="2:21" x14ac:dyDescent="0.35">
      <c r="B41" s="104" t="s">
        <v>176</v>
      </c>
      <c r="C41" s="69"/>
      <c r="D41" s="69"/>
      <c r="E41" s="69"/>
      <c r="F41" s="69"/>
      <c r="G41" s="69"/>
      <c r="H41" s="69"/>
      <c r="I41" s="69"/>
      <c r="J41" s="69"/>
    </row>
    <row r="42" spans="2:21" x14ac:dyDescent="0.35">
      <c r="B42" s="104" t="s">
        <v>177</v>
      </c>
      <c r="C42" s="69"/>
      <c r="D42" s="69"/>
      <c r="E42" s="69"/>
      <c r="F42" s="69"/>
      <c r="G42" s="69"/>
      <c r="H42" s="69"/>
      <c r="I42" s="69"/>
      <c r="J42" s="69"/>
    </row>
    <row r="43" spans="2:21" x14ac:dyDescent="0.35">
      <c r="B43" s="69"/>
      <c r="C43" s="69"/>
      <c r="D43" s="69"/>
      <c r="E43" s="69"/>
      <c r="F43" s="69"/>
      <c r="G43" s="69"/>
      <c r="H43" s="69"/>
      <c r="I43" s="69"/>
      <c r="J43" s="69"/>
    </row>
    <row r="44" spans="2:21" x14ac:dyDescent="0.35">
      <c r="B44" s="69"/>
      <c r="C44" s="69"/>
      <c r="D44" s="69"/>
      <c r="E44" s="69"/>
      <c r="F44" s="69"/>
      <c r="G44" s="69"/>
      <c r="H44" s="69"/>
      <c r="I44" s="69"/>
      <c r="J44" s="69"/>
    </row>
    <row r="45" spans="2:21" x14ac:dyDescent="0.35">
      <c r="B45" s="69"/>
      <c r="C45" s="69"/>
      <c r="D45" s="69"/>
      <c r="E45" s="69"/>
      <c r="F45" s="69"/>
      <c r="G45" s="69"/>
      <c r="H45" s="69"/>
      <c r="I45" s="69"/>
      <c r="J45" s="69"/>
    </row>
    <row r="46" spans="2:21" x14ac:dyDescent="0.35">
      <c r="B46" s="69"/>
      <c r="C46" s="69"/>
      <c r="D46" s="69"/>
      <c r="E46" s="69"/>
      <c r="F46" s="69"/>
      <c r="G46" s="69"/>
      <c r="H46" s="69"/>
      <c r="I46" s="69"/>
      <c r="J46" s="69"/>
    </row>
    <row r="47" spans="2:21" x14ac:dyDescent="0.35">
      <c r="B47" s="69"/>
      <c r="C47" s="69"/>
      <c r="D47" s="69"/>
      <c r="E47" s="69"/>
      <c r="F47" s="69"/>
      <c r="G47" s="69"/>
      <c r="H47" s="69"/>
      <c r="I47" s="69"/>
      <c r="J47" s="69"/>
    </row>
    <row r="48" spans="2:21" x14ac:dyDescent="0.35">
      <c r="B48" s="69"/>
      <c r="C48" s="69"/>
      <c r="D48" s="69"/>
      <c r="E48" s="69"/>
      <c r="F48" s="69"/>
      <c r="G48" s="69"/>
      <c r="H48" s="69"/>
      <c r="I48" s="69"/>
      <c r="J48" s="69"/>
    </row>
  </sheetData>
  <mergeCells count="10">
    <mergeCell ref="A1:B1"/>
    <mergeCell ref="E16:H16"/>
    <mergeCell ref="I16:J16"/>
    <mergeCell ref="O16:O20"/>
    <mergeCell ref="P16:P20"/>
    <mergeCell ref="S16:S20"/>
    <mergeCell ref="Q16:Q20"/>
    <mergeCell ref="R16:R20"/>
    <mergeCell ref="K16:L16"/>
    <mergeCell ref="M16:N16"/>
  </mergeCells>
  <phoneticPr fontId="64" type="noConversion"/>
  <conditionalFormatting sqref="B21:N39 P21:P39 R21:R39">
    <cfRule type="expression" dxfId="185" priority="81">
      <formula>MOD(ROW(),2)=0</formula>
    </cfRule>
  </conditionalFormatting>
  <conditionalFormatting sqref="M39">
    <cfRule type="expression" dxfId="184" priority="77">
      <formula>MOD(ROW(),2)=0</formula>
    </cfRule>
  </conditionalFormatting>
  <conditionalFormatting sqref="K38 M38">
    <cfRule type="expression" dxfId="183" priority="78">
      <formula>MOD(ROW(),2)=0</formula>
    </cfRule>
  </conditionalFormatting>
  <conditionalFormatting sqref="J22:J39">
    <cfRule type="expression" dxfId="182" priority="76">
      <formula>MOD(ROW(),2)=0</formula>
    </cfRule>
  </conditionalFormatting>
  <conditionalFormatting sqref="L22:L39">
    <cfRule type="expression" dxfId="181" priority="74">
      <formula>MOD(ROW(),2)=0</formula>
    </cfRule>
  </conditionalFormatting>
  <conditionalFormatting sqref="N22:N39">
    <cfRule type="expression" dxfId="180" priority="73">
      <formula>MOD(ROW(),2)=0</formula>
    </cfRule>
  </conditionalFormatting>
  <conditionalFormatting sqref="U33">
    <cfRule type="expression" dxfId="179" priority="39">
      <formula>MOD(ROW(),2)=0</formula>
    </cfRule>
  </conditionalFormatting>
  <conditionalFormatting sqref="U25">
    <cfRule type="expression" dxfId="178" priority="37">
      <formula>MOD(ROW(),2)=0</formula>
    </cfRule>
  </conditionalFormatting>
  <conditionalFormatting sqref="U37">
    <cfRule type="expression" dxfId="177" priority="10">
      <formula>MOD(ROW(),2)=0</formula>
    </cfRule>
  </conditionalFormatting>
  <conditionalFormatting sqref="I22:I39">
    <cfRule type="expression" dxfId="176" priority="9">
      <formula>MOD(ROW(),2)=0</formula>
    </cfRule>
  </conditionalFormatting>
  <conditionalFormatting sqref="K22:K39">
    <cfRule type="expression" dxfId="175" priority="8">
      <formula>MOD(ROW(),2)=0</formula>
    </cfRule>
  </conditionalFormatting>
  <conditionalFormatting sqref="M22:M39">
    <cfRule type="expression" dxfId="174" priority="7">
      <formula>MOD(ROW(),2)=0</formula>
    </cfRule>
  </conditionalFormatting>
  <conditionalFormatting sqref="O21:O39">
    <cfRule type="expression" dxfId="173" priority="6">
      <formula>MOD(ROW(),2)=0</formula>
    </cfRule>
  </conditionalFormatting>
  <conditionalFormatting sqref="Q21:Q39">
    <cfRule type="expression" dxfId="172" priority="1">
      <formula>MOD(ROW(),2)=0</formula>
    </cfRule>
  </conditionalFormatting>
  <dataValidations disablePrompts="1" count="1">
    <dataValidation type="list" allowBlank="1" showInputMessage="1" showErrorMessage="1" sqref="C13" xr:uid="{00000000-0002-0000-1500-000000000000}">
      <formula1>"Yes,No"</formula1>
    </dataValidation>
  </dataValidations>
  <hyperlinks>
    <hyperlink ref="A1" r:id="rId1" display="2021-22 APP (indicative tariff)" xr:uid="{00000000-0004-0000-1500-000000000000}"/>
    <hyperlink ref="D9" r:id="rId2" xr:uid="{00000000-0004-0000-1500-000001000000}"/>
    <hyperlink ref="P21" r:id="rId3" xr:uid="{1BB89BBB-15BD-4FE8-854B-4E2747D3C2A9}"/>
    <hyperlink ref="P22:P24" r:id="rId4" display="Ausgrid - Annual pricing 2022–23" xr:uid="{247305AF-8FB7-4559-A4C8-0DE9B40E4921}"/>
    <hyperlink ref="R21" r:id="rId5" xr:uid="{01523134-14D3-40A0-80D4-B9A9A71A9C4B}"/>
    <hyperlink ref="R22:R24" r:id="rId6" display="Ausgrid - Annual pricing 2022–23" xr:uid="{B0070D64-A667-4869-81B1-968FC205A5A4}"/>
    <hyperlink ref="P25" r:id="rId7" xr:uid="{0016E9A1-749E-4EF0-8339-81B1140DFD58}"/>
    <hyperlink ref="P26:P28" r:id="rId8" display="Endeavour Energy - Annual pricing 2022–23" xr:uid="{1304071D-DF70-4A5C-9DC5-16A73181486A}"/>
    <hyperlink ref="R25" r:id="rId9" xr:uid="{C10692DF-DBA0-4A2F-A27D-F4164A466D60}"/>
    <hyperlink ref="R26:R28" r:id="rId10" display="Endeavour Energy - Annual pricing 2022–23" xr:uid="{C9A3257E-0586-4037-9F7F-7C2CA5DCD671}"/>
    <hyperlink ref="P29" r:id="rId11" xr:uid="{C8885216-5468-4C5C-A752-7F94909F1594}"/>
    <hyperlink ref="P30:P32" r:id="rId12" display="Essential Energy - Annual pricing 2022–23" xr:uid="{B1C69C91-8D9F-4A80-9D53-32822CB30C12}"/>
    <hyperlink ref="R29" r:id="rId13" xr:uid="{184A1F5A-4D95-40B1-B306-83F55C2FD486}"/>
    <hyperlink ref="R30:R32" r:id="rId14" display="Essential Energy - Annual pricing 2022–23" xr:uid="{9B5A983C-69DA-44F2-B7FA-8DFFED3A6860}"/>
    <hyperlink ref="P33" r:id="rId15" xr:uid="{AD481317-DD8A-493C-928B-A432E849D518}"/>
    <hyperlink ref="P34:P36" r:id="rId16" display="Energex - Annual pricing 2022–23" xr:uid="{80A57841-5D35-4628-A500-B37EC6552D42}"/>
    <hyperlink ref="R33" r:id="rId17" xr:uid="{10EE70BE-1646-4CCE-AE30-3D0A649F3192}"/>
    <hyperlink ref="R34:R36" r:id="rId18" display="Energex - Annual pricing 2022–23" xr:uid="{686588D6-812D-451A-A08F-B1DC46FBAFBB}"/>
    <hyperlink ref="P37" r:id="rId19" xr:uid="{8C987A08-0DBE-4B8D-B71D-0224A7CE9627}"/>
    <hyperlink ref="P38:P39" r:id="rId20" display="SA Power Networks - Annual pricing 2022–23" xr:uid="{DC357E85-AF84-44AF-94D9-3AC3654ADAD9}"/>
    <hyperlink ref="R37" r:id="rId21" xr:uid="{11CBCE17-0CA9-4E0A-B668-DEAA45771FA8}"/>
    <hyperlink ref="R38:R39" r:id="rId22" display="SA Power Networks - Annual pricing 2022–23" xr:uid="{F8CC9DC7-E7C5-4F1C-9503-A89A8FE36E9F}"/>
  </hyperlinks>
  <pageMargins left="0.7" right="0.7" top="0.75" bottom="0.75" header="0.3" footer="0.3"/>
  <pageSetup paperSize="9" orientation="portrait" r:id="rId23"/>
  <ignoredErrors>
    <ignoredError sqref="L17:L18 M18:N18 M17:N17 F18:J18 J17:K17" formula="1"/>
  </ignoredErrors>
  <legacyDrawing r:id="rId2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theme="0" tint="-0.249977111117893"/>
  </sheetPr>
  <dimension ref="A1:M38"/>
  <sheetViews>
    <sheetView workbookViewId="0">
      <selection sqref="A1:B1"/>
    </sheetView>
  </sheetViews>
  <sheetFormatPr defaultColWidth="8.81640625" defaultRowHeight="14.5" x14ac:dyDescent="0.35"/>
  <cols>
    <col min="1" max="1" width="1.81640625" style="3" customWidth="1"/>
    <col min="2" max="2" width="30.81640625" style="21" bestFit="1" customWidth="1"/>
    <col min="3" max="3" width="13.1796875" style="21" customWidth="1"/>
    <col min="4" max="4" width="0.81640625" style="21" customWidth="1"/>
    <col min="5" max="5" width="13.1796875" style="21" customWidth="1"/>
    <col min="6" max="7" width="13.1796875" style="21" hidden="1" customWidth="1"/>
    <col min="8" max="11" width="13.1796875" style="21" customWidth="1"/>
    <col min="12" max="12" width="0.81640625" style="21" customWidth="1"/>
    <col min="13" max="13" width="13.1796875" style="21" customWidth="1"/>
    <col min="14" max="16384" width="8.81640625" style="3"/>
  </cols>
  <sheetData>
    <row r="1" spans="1:13" ht="10.4" customHeight="1" x14ac:dyDescent="0.35">
      <c r="A1" s="302" t="s">
        <v>20</v>
      </c>
      <c r="B1" s="307"/>
    </row>
    <row r="2" spans="1:13" s="13" customFormat="1" ht="22.5" customHeight="1" x14ac:dyDescent="0.35">
      <c r="A2" s="14" t="s">
        <v>26</v>
      </c>
      <c r="B2" s="26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5" customFormat="1" x14ac:dyDescent="0.35">
      <c r="B3" s="4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5" customFormat="1" hidden="1" x14ac:dyDescent="0.35">
      <c r="B4" s="40"/>
      <c r="C4" s="19" t="str">
        <f>$C$9</f>
        <v>2021-22</v>
      </c>
      <c r="D4" s="19"/>
      <c r="E4" s="19" t="str">
        <f t="shared" ref="E4:K4" si="0">$C$9</f>
        <v>2021-22</v>
      </c>
      <c r="F4" s="19" t="str">
        <f t="shared" si="0"/>
        <v>2021-22</v>
      </c>
      <c r="G4" s="19"/>
      <c r="H4" s="19" t="str">
        <f t="shared" si="0"/>
        <v>2021-22</v>
      </c>
      <c r="I4" s="19" t="str">
        <f t="shared" si="0"/>
        <v>2021-22</v>
      </c>
      <c r="J4" s="19" t="str">
        <f t="shared" si="0"/>
        <v>2021-22</v>
      </c>
      <c r="K4" s="19" t="str">
        <f t="shared" si="0"/>
        <v>2021-22</v>
      </c>
      <c r="L4" s="19"/>
      <c r="M4" s="19" t="str">
        <f>$C$9</f>
        <v>2021-22</v>
      </c>
    </row>
    <row r="5" spans="1:13" s="5" customFormat="1" hidden="1" x14ac:dyDescent="0.35">
      <c r="B5" s="40"/>
      <c r="C5" s="19" t="str">
        <f>$C$10</f>
        <v>Residential</v>
      </c>
      <c r="D5" s="19"/>
      <c r="E5" s="19" t="str">
        <f t="shared" ref="E5:K5" si="1">$E$10</f>
        <v>Residential</v>
      </c>
      <c r="F5" s="19" t="str">
        <f t="shared" si="1"/>
        <v>Residential</v>
      </c>
      <c r="G5" s="19"/>
      <c r="H5" s="19" t="str">
        <f t="shared" si="1"/>
        <v>Residential</v>
      </c>
      <c r="I5" s="19" t="str">
        <f t="shared" si="1"/>
        <v>Residential</v>
      </c>
      <c r="J5" s="19" t="str">
        <f t="shared" si="1"/>
        <v>Residential</v>
      </c>
      <c r="K5" s="19" t="str">
        <f t="shared" si="1"/>
        <v>Residential</v>
      </c>
      <c r="L5" s="19"/>
      <c r="M5" s="19" t="str">
        <f>$M$10</f>
        <v>Small business</v>
      </c>
    </row>
    <row r="6" spans="1:13" s="5" customFormat="1" hidden="1" x14ac:dyDescent="0.35">
      <c r="B6" s="40"/>
      <c r="C6" s="19" t="str">
        <f>$C$11</f>
        <v>without CL</v>
      </c>
      <c r="D6" s="19"/>
      <c r="E6" s="19" t="str">
        <f t="shared" ref="E6:K6" si="2">$E$11</f>
        <v>with CL</v>
      </c>
      <c r="F6" s="19" t="str">
        <f t="shared" si="2"/>
        <v>with CL</v>
      </c>
      <c r="G6" s="19"/>
      <c r="H6" s="19" t="str">
        <f t="shared" si="2"/>
        <v>with CL</v>
      </c>
      <c r="I6" s="19" t="str">
        <f t="shared" si="2"/>
        <v>with CL</v>
      </c>
      <c r="J6" s="19" t="str">
        <f t="shared" si="2"/>
        <v>with CL</v>
      </c>
      <c r="K6" s="19" t="str">
        <f t="shared" si="2"/>
        <v>with CL</v>
      </c>
      <c r="L6" s="19"/>
      <c r="M6" s="19" t="str">
        <f>$M$11</f>
        <v>without CL</v>
      </c>
    </row>
    <row r="7" spans="1:13" s="5" customFormat="1" hidden="1" x14ac:dyDescent="0.35">
      <c r="B7" s="40"/>
      <c r="C7" s="19" t="str">
        <f>$C$12</f>
        <v>Flat rate</v>
      </c>
      <c r="D7" s="19"/>
      <c r="E7" s="19" t="str">
        <f>$E$12</f>
        <v>Flat rate</v>
      </c>
      <c r="F7" s="19" t="str">
        <f>$F$12</f>
        <v>CL</v>
      </c>
      <c r="G7" s="19"/>
      <c r="H7" s="19" t="str">
        <f>$H$13</f>
        <v>CL1</v>
      </c>
      <c r="I7" s="19" t="str">
        <f>$I$13</f>
        <v>CL2</v>
      </c>
      <c r="J7" s="19" t="str">
        <f>$F$12</f>
        <v>CL</v>
      </c>
      <c r="K7" s="19" t="str">
        <f>K12</f>
        <v>Total</v>
      </c>
      <c r="L7" s="19"/>
      <c r="M7" s="19" t="str">
        <f>$M$12</f>
        <v>Flat rate</v>
      </c>
    </row>
    <row r="8" spans="1:13" s="5" customFormat="1" hidden="1" x14ac:dyDescent="0.35">
      <c r="B8" s="40"/>
      <c r="C8" s="19" t="str">
        <f>$A$2</f>
        <v>Usage</v>
      </c>
      <c r="D8" s="19"/>
      <c r="E8" s="19" t="str">
        <f>$A$2</f>
        <v>Usage</v>
      </c>
      <c r="F8" s="19" t="s">
        <v>54</v>
      </c>
      <c r="G8" s="19" t="s">
        <v>86</v>
      </c>
      <c r="H8" s="19" t="str">
        <f>$A$2</f>
        <v>Usage</v>
      </c>
      <c r="I8" s="19" t="str">
        <f>$A$2</f>
        <v>Usage</v>
      </c>
      <c r="J8" s="19" t="str">
        <f>$A$2</f>
        <v>Usage</v>
      </c>
      <c r="K8" s="19" t="str">
        <f>$A$2</f>
        <v>Usage</v>
      </c>
      <c r="L8" s="19"/>
      <c r="M8" s="19" t="str">
        <f>$A$2</f>
        <v>Usage</v>
      </c>
    </row>
    <row r="9" spans="1:13" ht="20.149999999999999" hidden="1" customHeight="1" x14ac:dyDescent="0.35">
      <c r="B9" s="39"/>
      <c r="C9" s="344" t="str">
        <f>PY</f>
        <v>2021-22</v>
      </c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3" ht="20.149999999999999" customHeight="1" x14ac:dyDescent="0.3">
      <c r="B10" s="345" t="s">
        <v>1</v>
      </c>
      <c r="C10" s="188" t="s">
        <v>6</v>
      </c>
      <c r="D10" s="61"/>
      <c r="E10" s="349" t="s">
        <v>6</v>
      </c>
      <c r="F10" s="349"/>
      <c r="G10" s="349"/>
      <c r="H10" s="349"/>
      <c r="I10" s="349"/>
      <c r="J10" s="349"/>
      <c r="K10" s="349"/>
      <c r="L10" s="62"/>
      <c r="M10" s="168" t="s">
        <v>14</v>
      </c>
    </row>
    <row r="11" spans="1:13" ht="27.65" customHeight="1" x14ac:dyDescent="0.35">
      <c r="B11" s="345"/>
      <c r="C11" s="187" t="s">
        <v>136</v>
      </c>
      <c r="D11" s="63"/>
      <c r="E11" s="346" t="s">
        <v>137</v>
      </c>
      <c r="F11" s="346"/>
      <c r="G11" s="346"/>
      <c r="H11" s="346"/>
      <c r="I11" s="346"/>
      <c r="J11" s="346"/>
      <c r="K11" s="346"/>
      <c r="L11" s="63"/>
      <c r="M11" s="167" t="s">
        <v>136</v>
      </c>
    </row>
    <row r="12" spans="1:13" ht="20.149999999999999" customHeight="1" x14ac:dyDescent="0.35">
      <c r="B12" s="345"/>
      <c r="C12" s="233" t="s">
        <v>21</v>
      </c>
      <c r="D12" s="234"/>
      <c r="E12" s="233" t="s">
        <v>21</v>
      </c>
      <c r="F12" s="347" t="s">
        <v>17</v>
      </c>
      <c r="G12" s="347"/>
      <c r="H12" s="347"/>
      <c r="I12" s="347"/>
      <c r="J12" s="347"/>
      <c r="K12" s="347" t="s">
        <v>53</v>
      </c>
      <c r="L12" s="234"/>
      <c r="M12" s="234" t="s">
        <v>21</v>
      </c>
    </row>
    <row r="13" spans="1:13" s="121" customFormat="1" ht="20.149999999999999" customHeight="1" x14ac:dyDescent="0.35">
      <c r="B13" s="345"/>
      <c r="C13" s="235" t="s">
        <v>53</v>
      </c>
      <c r="D13" s="235"/>
      <c r="E13" s="235" t="s">
        <v>53</v>
      </c>
      <c r="F13" s="235" t="s">
        <v>173</v>
      </c>
      <c r="G13" s="235" t="s">
        <v>174</v>
      </c>
      <c r="H13" s="235" t="s">
        <v>15</v>
      </c>
      <c r="I13" s="235" t="s">
        <v>16</v>
      </c>
      <c r="J13" s="235" t="s">
        <v>53</v>
      </c>
      <c r="K13" s="348"/>
      <c r="L13" s="235"/>
      <c r="M13" s="235" t="s">
        <v>53</v>
      </c>
    </row>
    <row r="14" spans="1:13" ht="20.149999999999999" customHeight="1" x14ac:dyDescent="0.35">
      <c r="B14" s="64" t="s">
        <v>2</v>
      </c>
      <c r="C14" s="236">
        <f t="array" ref="C14">INDEX('Detail inputs'!$D$3:$K$173,MATCH(C$5&amp;C$6&amp;C$7&amp;$B14&amp;C$8,'Detail inputs'!$D$3:$D$173&amp;'Detail inputs'!$E$3:$E$173&amp;'Detail inputs'!$F$3:$F$173&amp;'Detail inputs'!$B$3:$B$173&amp;'Detail inputs'!$G$3:$G$173,0),MATCH(C$4,'Detail inputs'!$D$3:$K$3,0))</f>
        <v>3900</v>
      </c>
      <c r="D14" s="237"/>
      <c r="E14" s="236">
        <f t="array" ref="E14">INDEX('Detail inputs'!$D$3:$K$173,MATCH(E$5&amp;E$6&amp;E$7&amp;$B14&amp;E$8,'Detail inputs'!$D$3:$D$173&amp;'Detail inputs'!$E$3:$E$173&amp;'Detail inputs'!$F$3:$F$173&amp;'Detail inputs'!$B$3:$B$173&amp;'Detail inputs'!$G$3:$G$173,0),MATCH(E$4,'Detail inputs'!$D$3:$K$3,0))</f>
        <v>4800</v>
      </c>
      <c r="F14" s="238">
        <f t="array" ref="F14">IFERROR(INDEX('Detail inputs'!$D$3:$K$173,MATCH(F$5&amp;F$6&amp;F$7&amp;$B14&amp;F$8,'Detail inputs'!$D$3:$D$173&amp;'Detail inputs'!$E$3:$E$173&amp;'Detail inputs'!$F$3:$F$173&amp;'Detail inputs'!$B$3:$B$173&amp;'Detail inputs'!$G$3:$G$173,0),MATCH(F$4,'Detail inputs'!$D$3:$K$3,0)),0)</f>
        <v>0.67</v>
      </c>
      <c r="G14" s="238">
        <f>1-F14</f>
        <v>0.32999999999999996</v>
      </c>
      <c r="H14" s="236">
        <f>F14*J14</f>
        <v>1340</v>
      </c>
      <c r="I14" s="236">
        <f>J14-H14</f>
        <v>660</v>
      </c>
      <c r="J14" s="236">
        <f t="array" ref="J14">IFERROR(INDEX('Detail inputs'!$D$3:$K$173,MATCH(J$5&amp;J$6&amp;J$7&amp;$B14&amp;$A$2,'Detail inputs'!$D$3:$D$173&amp;'Detail inputs'!$E$3:$E$173&amp;'Detail inputs'!$F$3:$F$173&amp;'Detail inputs'!$B$3:$B$173&amp;'Detail inputs'!$G$3:$G$173,0),MATCH(J$4,'Detail inputs'!$D$3:$K$3,0)),0)</f>
        <v>2000</v>
      </c>
      <c r="K14" s="236">
        <f>E14+J14</f>
        <v>6800</v>
      </c>
      <c r="L14" s="237"/>
      <c r="M14" s="236">
        <v>10000</v>
      </c>
    </row>
    <row r="15" spans="1:13" ht="20.149999999999999" customHeight="1" x14ac:dyDescent="0.35">
      <c r="B15" s="64" t="s">
        <v>4</v>
      </c>
      <c r="C15" s="236">
        <f t="array" ref="C15">INDEX('Detail inputs'!$D$3:$K$173,MATCH(C$5&amp;C$6&amp;C$7&amp;$B15&amp;C$8,'Detail inputs'!$D$3:$D$173&amp;'Detail inputs'!$E$3:$E$173&amp;'Detail inputs'!$F$3:$F$173&amp;'Detail inputs'!$B$3:$B$173&amp;'Detail inputs'!$G$3:$G$173,0),MATCH(C$4,'Detail inputs'!$D$3:$K$3,0))</f>
        <v>4900</v>
      </c>
      <c r="D15" s="237"/>
      <c r="E15" s="236">
        <f t="array" ref="E15">INDEX('Detail inputs'!$D$3:$K$173,MATCH(E$5&amp;E$6&amp;E$7&amp;$B15&amp;E$8,'Detail inputs'!$D$3:$D$173&amp;'Detail inputs'!$E$3:$E$173&amp;'Detail inputs'!$F$3:$F$173&amp;'Detail inputs'!$B$3:$B$173&amp;'Detail inputs'!$G$3:$G$173,0),MATCH(E$4,'Detail inputs'!$D$3:$K$3,0))</f>
        <v>5200</v>
      </c>
      <c r="F15" s="238">
        <f t="array" ref="F15">IFERROR(INDEX('Detail inputs'!$D$3:$K$173,MATCH(F$5&amp;F$6&amp;F$7&amp;$B15&amp;F$8,'Detail inputs'!$D$3:$D$173&amp;'Detail inputs'!$E$3:$E$173&amp;'Detail inputs'!$F$3:$F$173&amp;'Detail inputs'!$B$3:$B$173&amp;'Detail inputs'!$G$3:$G$173,0),MATCH(F$4,'Detail inputs'!$D$3:$K$3,0)),0)</f>
        <v>0.67</v>
      </c>
      <c r="G15" s="238">
        <f>1-F15</f>
        <v>0.32999999999999996</v>
      </c>
      <c r="H15" s="236">
        <f>F15*J15</f>
        <v>1474</v>
      </c>
      <c r="I15" s="236">
        <f>J15-H15</f>
        <v>726</v>
      </c>
      <c r="J15" s="236">
        <f t="array" ref="J15">IFERROR(INDEX('Detail inputs'!$D$3:$K$173,MATCH(J$5&amp;J$6&amp;J$7&amp;$B15&amp;$A$2,'Detail inputs'!$D$3:$D$173&amp;'Detail inputs'!$E$3:$E$173&amp;'Detail inputs'!$F$3:$F$173&amp;'Detail inputs'!$B$3:$B$173&amp;'Detail inputs'!$G$3:$G$173,0),MATCH(J$4,'Detail inputs'!$D$3:$K$3,0)),0)</f>
        <v>2200</v>
      </c>
      <c r="K15" s="236">
        <f>E15+J15</f>
        <v>7400</v>
      </c>
      <c r="L15" s="237"/>
      <c r="M15" s="236">
        <v>10000</v>
      </c>
    </row>
    <row r="16" spans="1:13" ht="20.149999999999999" customHeight="1" x14ac:dyDescent="0.35">
      <c r="B16" s="64" t="s">
        <v>0</v>
      </c>
      <c r="C16" s="236">
        <f t="array" ref="C16">INDEX('Detail inputs'!$D$3:$K$173,MATCH(C$5&amp;C$6&amp;C$7&amp;$B16&amp;C$8,'Detail inputs'!$D$3:$D$173&amp;'Detail inputs'!$E$3:$E$173&amp;'Detail inputs'!$F$3:$F$173&amp;'Detail inputs'!$B$3:$B$173&amp;'Detail inputs'!$G$3:$G$173,0),MATCH(C$4,'Detail inputs'!$D$3:$K$3,0))</f>
        <v>4600</v>
      </c>
      <c r="D16" s="237"/>
      <c r="E16" s="236">
        <f t="array" ref="E16">INDEX('Detail inputs'!$D$3:$K$173,MATCH(E$5&amp;E$6&amp;E$7&amp;$B16&amp;E$8,'Detail inputs'!$D$3:$D$173&amp;'Detail inputs'!$E$3:$E$173&amp;'Detail inputs'!$F$3:$F$173&amp;'Detail inputs'!$B$3:$B$173&amp;'Detail inputs'!$G$3:$G$173,0),MATCH(E$4,'Detail inputs'!$D$3:$K$3,0))</f>
        <v>4400</v>
      </c>
      <c r="F16" s="238">
        <f t="array" ref="F16">IFERROR(INDEX('Detail inputs'!$D$3:$K$173,MATCH(F$5&amp;F$6&amp;F$7&amp;$B16&amp;F$8,'Detail inputs'!$D$3:$D$173&amp;'Detail inputs'!$E$3:$E$173&amp;'Detail inputs'!$F$3:$F$173&amp;'Detail inputs'!$B$3:$B$173&amp;'Detail inputs'!$G$3:$G$173,0),MATCH(F$4,'Detail inputs'!$D$3:$K$3,0)),0)</f>
        <v>0.28999999999999998</v>
      </c>
      <c r="G16" s="238">
        <f>1-F16</f>
        <v>0.71</v>
      </c>
      <c r="H16" s="236">
        <f>F16*J16</f>
        <v>551</v>
      </c>
      <c r="I16" s="236">
        <f>J16-H16</f>
        <v>1349</v>
      </c>
      <c r="J16" s="236">
        <f t="array" ref="J16">IFERROR(INDEX('Detail inputs'!$D$3:$K$173,MATCH(J$5&amp;J$6&amp;J$7&amp;$B16&amp;$A$2,'Detail inputs'!$D$3:$D$173&amp;'Detail inputs'!$E$3:$E$173&amp;'Detail inputs'!$F$3:$F$173&amp;'Detail inputs'!$B$3:$B$173&amp;'Detail inputs'!$G$3:$G$173,0),MATCH(J$4,'Detail inputs'!$D$3:$K$3,0)),0)</f>
        <v>1900</v>
      </c>
      <c r="K16" s="236">
        <f>E16+J16</f>
        <v>6300</v>
      </c>
      <c r="L16" s="237"/>
      <c r="M16" s="236">
        <v>10000</v>
      </c>
    </row>
    <row r="17" spans="2:13" ht="20.149999999999999" customHeight="1" x14ac:dyDescent="0.35">
      <c r="B17" s="64" t="s">
        <v>3</v>
      </c>
      <c r="C17" s="236">
        <f t="array" ref="C17">INDEX('Detail inputs'!$D$3:$K$173,MATCH(C$5&amp;C$6&amp;C$7&amp;$B17&amp;C$8,'Detail inputs'!$D$3:$D$173&amp;'Detail inputs'!$E$3:$E$173&amp;'Detail inputs'!$F$3:$F$173&amp;'Detail inputs'!$B$3:$B$173&amp;'Detail inputs'!$G$3:$G$173,0),MATCH(C$4,'Detail inputs'!$D$3:$K$3,0))</f>
        <v>4600</v>
      </c>
      <c r="D17" s="237"/>
      <c r="E17" s="236">
        <f t="array" ref="E17">INDEX('Detail inputs'!$D$3:$K$173,MATCH(E$5&amp;E$6&amp;E$7&amp;$B17&amp;E$8,'Detail inputs'!$D$3:$D$173&amp;'Detail inputs'!$E$3:$E$173&amp;'Detail inputs'!$F$3:$F$173&amp;'Detail inputs'!$B$3:$B$173&amp;'Detail inputs'!$G$3:$G$173,0),MATCH(E$4,'Detail inputs'!$D$3:$K$3,0))</f>
        <v>4600</v>
      </c>
      <c r="F17" s="238">
        <f t="array" ref="F17">IFERROR(INDEX('Detail inputs'!$D$3:$K$173,MATCH(F$5&amp;F$6&amp;F$7&amp;$B17&amp;F$8,'Detail inputs'!$D$3:$D$173&amp;'Detail inputs'!$E$3:$E$173&amp;'Detail inputs'!$F$3:$F$173&amp;'Detail inputs'!$B$3:$B$173&amp;'Detail inputs'!$G$3:$G$173,0),MATCH(F$4,'Detail inputs'!$D$3:$K$3,0)),0)</f>
        <v>0.77</v>
      </c>
      <c r="G17" s="238">
        <f>1-F17</f>
        <v>0.22999999999999998</v>
      </c>
      <c r="H17" s="236">
        <f>F17*J17</f>
        <v>1540</v>
      </c>
      <c r="I17" s="236">
        <f>J17-H17</f>
        <v>460</v>
      </c>
      <c r="J17" s="236">
        <f t="array" ref="J17">IFERROR(INDEX('Detail inputs'!$D$3:$K$173,MATCH(J$5&amp;J$6&amp;J$7&amp;$B17&amp;$A$2,'Detail inputs'!$D$3:$D$173&amp;'Detail inputs'!$E$3:$E$173&amp;'Detail inputs'!$F$3:$F$173&amp;'Detail inputs'!$B$3:$B$173&amp;'Detail inputs'!$G$3:$G$173,0),MATCH(J$4,'Detail inputs'!$D$3:$K$3,0)),0)</f>
        <v>2000</v>
      </c>
      <c r="K17" s="236">
        <f>E17+J17</f>
        <v>6600</v>
      </c>
      <c r="L17" s="237"/>
      <c r="M17" s="236">
        <v>10000</v>
      </c>
    </row>
    <row r="18" spans="2:13" ht="20.149999999999999" customHeight="1" x14ac:dyDescent="0.35">
      <c r="B18" s="64" t="s">
        <v>5</v>
      </c>
      <c r="C18" s="236">
        <f t="array" ref="C18">INDEX('Detail inputs'!$D$3:$K$173,MATCH(C$5&amp;C$6&amp;C$7&amp;$B18&amp;C$8,'Detail inputs'!$D$3:$D$173&amp;'Detail inputs'!$E$3:$E$173&amp;'Detail inputs'!$F$3:$F$173&amp;'Detail inputs'!$B$3:$B$173&amp;'Detail inputs'!$G$3:$G$173,0),MATCH(C$4,'Detail inputs'!$D$3:$K$3,0))</f>
        <v>4000</v>
      </c>
      <c r="D18" s="237"/>
      <c r="E18" s="236">
        <f t="array" ref="E18">INDEX('Detail inputs'!$D$3:$K$173,MATCH(E$5&amp;E$6&amp;E$7&amp;$B18&amp;E$8,'Detail inputs'!$D$3:$D$173&amp;'Detail inputs'!$E$3:$E$173&amp;'Detail inputs'!$F$3:$F$173&amp;'Detail inputs'!$B$3:$B$173&amp;'Detail inputs'!$G$3:$G$173,0),MATCH(E$4,'Detail inputs'!$D$3:$K$3,0))</f>
        <v>4200</v>
      </c>
      <c r="F18" s="238">
        <f t="array" ref="F18">IFERROR(INDEX('Detail inputs'!$D$3:$K$173,MATCH(F$5&amp;F$6&amp;F$7&amp;$B18&amp;F$8,'Detail inputs'!$D$3:$D$173&amp;'Detail inputs'!$E$3:$E$173&amp;'Detail inputs'!$F$3:$F$173&amp;'Detail inputs'!$B$3:$B$173&amp;'Detail inputs'!$G$3:$G$173,0),MATCH(F$4,'Detail inputs'!$D$3:$K$3,0)),0)</f>
        <v>1</v>
      </c>
      <c r="G18" s="238">
        <f>1-F18</f>
        <v>0</v>
      </c>
      <c r="H18" s="236">
        <f>F18*J18</f>
        <v>1800</v>
      </c>
      <c r="I18" s="236">
        <f>J18-H18</f>
        <v>0</v>
      </c>
      <c r="J18" s="236">
        <f t="array" ref="J18">IFERROR(INDEX('Detail inputs'!$D$3:$K$173,MATCH(J$5&amp;J$6&amp;J$7&amp;$B18&amp;$A$2,'Detail inputs'!$D$3:$D$173&amp;'Detail inputs'!$E$3:$E$173&amp;'Detail inputs'!$F$3:$F$173&amp;'Detail inputs'!$B$3:$B$173&amp;'Detail inputs'!$G$3:$G$173,0),MATCH(J$4,'Detail inputs'!$D$3:$K$3,0)),0)</f>
        <v>1800</v>
      </c>
      <c r="K18" s="236">
        <f>E18+J18</f>
        <v>6000</v>
      </c>
      <c r="L18" s="237"/>
      <c r="M18" s="236">
        <v>10000</v>
      </c>
    </row>
    <row r="19" spans="2:13" x14ac:dyDescent="0.35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2:13" x14ac:dyDescent="0.35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2:13" x14ac:dyDescent="0.35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2:13" x14ac:dyDescent="0.3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3" x14ac:dyDescent="0.35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x14ac:dyDescent="0.3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3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x14ac:dyDescent="0.3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x14ac:dyDescent="0.35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x14ac:dyDescent="0.3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2:13" x14ac:dyDescent="0.3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2:13" x14ac:dyDescent="0.3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2:13" x14ac:dyDescent="0.35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2:13" x14ac:dyDescent="0.35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3:13" x14ac:dyDescent="0.35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3:13" x14ac:dyDescent="0.3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3:13" x14ac:dyDescent="0.35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3:13" x14ac:dyDescent="0.35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3:13" x14ac:dyDescent="0.35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3:13" x14ac:dyDescent="0.3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</sheetData>
  <mergeCells count="7">
    <mergeCell ref="A1:B1"/>
    <mergeCell ref="C9:M9"/>
    <mergeCell ref="B10:B13"/>
    <mergeCell ref="E11:K11"/>
    <mergeCell ref="K12:K13"/>
    <mergeCell ref="F12:J12"/>
    <mergeCell ref="E10:K10"/>
  </mergeCells>
  <conditionalFormatting sqref="B14:M18">
    <cfRule type="expression" dxfId="171" priority="1">
      <formula>MOD(ROW(),2)=0</formula>
    </cfRule>
  </conditionalFormatting>
  <hyperlinks>
    <hyperlink ref="A1" location="Index!A1" display="&lt;&lt;Back to Index" xr:uid="{00000000-0004-0000-16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theme="0" tint="-0.249977111117893"/>
  </sheetPr>
  <dimension ref="A1:N270"/>
  <sheetViews>
    <sheetView zoomScale="85" zoomScaleNormal="85" workbookViewId="0">
      <pane ySplit="3" topLeftCell="A4" activePane="bottomLeft" state="frozen"/>
      <selection activeCell="N39" sqref="N39"/>
      <selection pane="bottomLeft" activeCell="O17" sqref="O17"/>
    </sheetView>
  </sheetViews>
  <sheetFormatPr defaultColWidth="8.81640625" defaultRowHeight="14.5" x14ac:dyDescent="0.35"/>
  <cols>
    <col min="1" max="1" width="1.81640625" style="3" customWidth="1"/>
    <col min="2" max="2" width="15.81640625" style="21" customWidth="1"/>
    <col min="3" max="3" width="29.54296875" style="21" bestFit="1" customWidth="1"/>
    <col min="4" max="4" width="13.453125" style="21" bestFit="1" customWidth="1"/>
    <col min="5" max="5" width="17.1796875" style="21" bestFit="1" customWidth="1"/>
    <col min="6" max="6" width="13.453125" style="21" bestFit="1" customWidth="1"/>
    <col min="7" max="7" width="24.26953125" style="21" bestFit="1" customWidth="1"/>
    <col min="8" max="8" width="16" style="21" bestFit="1" customWidth="1"/>
    <col min="9" max="11" width="10.81640625" style="3" customWidth="1"/>
    <col min="12" max="13" width="25.81640625" style="21" customWidth="1"/>
    <col min="14" max="14" width="12.54296875" style="3" customWidth="1"/>
    <col min="15" max="17" width="11.1796875" style="3" customWidth="1"/>
    <col min="18" max="16384" width="8.81640625" style="3"/>
  </cols>
  <sheetData>
    <row r="1" spans="1:14" ht="10.4" customHeight="1" x14ac:dyDescent="0.35">
      <c r="A1" s="350" t="s">
        <v>20</v>
      </c>
      <c r="B1" s="351"/>
      <c r="C1" s="289"/>
      <c r="D1" s="289"/>
      <c r="E1" s="289"/>
      <c r="F1" s="289"/>
      <c r="G1" s="289"/>
      <c r="H1" s="289"/>
      <c r="I1" s="204"/>
      <c r="J1" s="204"/>
      <c r="K1" s="204"/>
      <c r="L1" s="289"/>
      <c r="M1" s="289"/>
      <c r="N1" s="204"/>
    </row>
    <row r="2" spans="1:14" s="13" customFormat="1" ht="22.5" customHeight="1" x14ac:dyDescent="0.35">
      <c r="A2" s="290" t="s">
        <v>89</v>
      </c>
      <c r="B2" s="291"/>
      <c r="C2" s="291"/>
      <c r="D2" s="292"/>
      <c r="E2" s="291"/>
      <c r="F2" s="291"/>
      <c r="G2" s="291"/>
      <c r="H2" s="291"/>
      <c r="I2" s="293"/>
      <c r="J2" s="293"/>
      <c r="K2" s="293"/>
      <c r="L2" s="291"/>
      <c r="M2" s="291"/>
      <c r="N2" s="293"/>
    </row>
    <row r="3" spans="1:14" s="5" customFormat="1" x14ac:dyDescent="0.35">
      <c r="A3" s="214"/>
      <c r="B3" s="294" t="s">
        <v>1</v>
      </c>
      <c r="C3" s="294" t="s">
        <v>12</v>
      </c>
      <c r="D3" s="294" t="s">
        <v>82</v>
      </c>
      <c r="E3" s="294" t="s">
        <v>83</v>
      </c>
      <c r="F3" s="294" t="s">
        <v>84</v>
      </c>
      <c r="G3" s="294" t="s">
        <v>33</v>
      </c>
      <c r="H3" s="294" t="s">
        <v>62</v>
      </c>
      <c r="I3" s="295" t="str">
        <f>PY</f>
        <v>2021-22</v>
      </c>
      <c r="J3" s="295" t="str">
        <f>FY</f>
        <v>2022-23</v>
      </c>
      <c r="K3" s="295" t="s">
        <v>28</v>
      </c>
      <c r="L3" s="294" t="str">
        <f>"Source for "&amp;PY</f>
        <v>Source for 2021-22</v>
      </c>
      <c r="M3" s="294" t="str">
        <f>"Source for "&amp;FY</f>
        <v>Source for 2022-23</v>
      </c>
      <c r="N3" s="294" t="s">
        <v>52</v>
      </c>
    </row>
    <row r="4" spans="1:14" s="59" customFormat="1" x14ac:dyDescent="0.35">
      <c r="A4" s="204"/>
      <c r="B4" s="191" t="s">
        <v>2</v>
      </c>
      <c r="C4" s="191" t="str">
        <f t="shared" ref="C4:C5" si="0">IF(D4="","All",D4&amp;" "&amp;E4)</f>
        <v>Residential without CL</v>
      </c>
      <c r="D4" s="191" t="s">
        <v>6</v>
      </c>
      <c r="E4" s="191" t="s">
        <v>136</v>
      </c>
      <c r="F4" s="191" t="s">
        <v>21</v>
      </c>
      <c r="G4" s="191" t="s">
        <v>66</v>
      </c>
      <c r="H4" s="191" t="s">
        <v>43</v>
      </c>
      <c r="I4" s="229">
        <v>80.88</v>
      </c>
      <c r="J4" s="229">
        <v>111.99</v>
      </c>
      <c r="K4" s="192" t="s">
        <v>40</v>
      </c>
      <c r="L4" s="193" t="s">
        <v>143</v>
      </c>
      <c r="M4" s="193" t="s">
        <v>143</v>
      </c>
      <c r="N4" s="242">
        <f t="shared" ref="N4:N95" si="1">IFERROR(IF(K4="%",J4-I4,J4/I4-1),"")</f>
        <v>0.38464391691394662</v>
      </c>
    </row>
    <row r="5" spans="1:14" s="59" customFormat="1" x14ac:dyDescent="0.35">
      <c r="A5" s="204"/>
      <c r="B5" s="191" t="s">
        <v>2</v>
      </c>
      <c r="C5" s="191" t="str">
        <f t="shared" si="0"/>
        <v>Residential with CL</v>
      </c>
      <c r="D5" s="191" t="s">
        <v>6</v>
      </c>
      <c r="E5" s="191" t="s">
        <v>137</v>
      </c>
      <c r="F5" s="191" t="s">
        <v>15</v>
      </c>
      <c r="G5" s="191" t="s">
        <v>66</v>
      </c>
      <c r="H5" s="191" t="s">
        <v>43</v>
      </c>
      <c r="I5" s="229">
        <v>54.58</v>
      </c>
      <c r="J5" s="229">
        <v>79.83</v>
      </c>
      <c r="K5" s="192" t="s">
        <v>40</v>
      </c>
      <c r="L5" s="193" t="s">
        <v>143</v>
      </c>
      <c r="M5" s="193" t="s">
        <v>143</v>
      </c>
      <c r="N5" s="242">
        <f t="shared" si="1"/>
        <v>0.46262367167460616</v>
      </c>
    </row>
    <row r="6" spans="1:14" s="59" customFormat="1" x14ac:dyDescent="0.35">
      <c r="A6" s="204"/>
      <c r="B6" s="191" t="s">
        <v>2</v>
      </c>
      <c r="C6" s="191" t="str">
        <f t="shared" ref="C6:C96" si="2">IF(D6="","All",D6&amp;" "&amp;E6)</f>
        <v>Residential with CL</v>
      </c>
      <c r="D6" s="191" t="s">
        <v>6</v>
      </c>
      <c r="E6" s="191" t="s">
        <v>137</v>
      </c>
      <c r="F6" s="191" t="s">
        <v>16</v>
      </c>
      <c r="G6" s="191" t="s">
        <v>66</v>
      </c>
      <c r="H6" s="191" t="s">
        <v>43</v>
      </c>
      <c r="I6" s="229">
        <v>51.76</v>
      </c>
      <c r="J6" s="229">
        <v>78.540000000000006</v>
      </c>
      <c r="K6" s="192" t="s">
        <v>40</v>
      </c>
      <c r="L6" s="193" t="s">
        <v>143</v>
      </c>
      <c r="M6" s="193" t="s">
        <v>143</v>
      </c>
      <c r="N6" s="242">
        <f t="shared" si="1"/>
        <v>0.51738794435857827</v>
      </c>
    </row>
    <row r="7" spans="1:14" s="59" customFormat="1" x14ac:dyDescent="0.35">
      <c r="A7" s="204"/>
      <c r="B7" s="191" t="s">
        <v>2</v>
      </c>
      <c r="C7" s="191" t="str">
        <f t="shared" si="2"/>
        <v>Small business without CL</v>
      </c>
      <c r="D7" s="191" t="s">
        <v>14</v>
      </c>
      <c r="E7" s="191" t="s">
        <v>136</v>
      </c>
      <c r="F7" s="191" t="s">
        <v>21</v>
      </c>
      <c r="G7" s="191" t="s">
        <v>66</v>
      </c>
      <c r="H7" s="191" t="s">
        <v>43</v>
      </c>
      <c r="I7" s="229">
        <v>80.88</v>
      </c>
      <c r="J7" s="229">
        <v>111.99</v>
      </c>
      <c r="K7" s="192" t="s">
        <v>40</v>
      </c>
      <c r="L7" s="193" t="s">
        <v>143</v>
      </c>
      <c r="M7" s="193" t="s">
        <v>143</v>
      </c>
      <c r="N7" s="242">
        <f t="shared" si="1"/>
        <v>0.38464391691394662</v>
      </c>
    </row>
    <row r="8" spans="1:14" s="59" customFormat="1" x14ac:dyDescent="0.35">
      <c r="A8" s="204"/>
      <c r="B8" s="191" t="s">
        <v>2</v>
      </c>
      <c r="C8" s="191" t="str">
        <f t="shared" si="2"/>
        <v>All</v>
      </c>
      <c r="D8" s="191"/>
      <c r="E8" s="191"/>
      <c r="F8" s="191"/>
      <c r="G8" s="191" t="s">
        <v>67</v>
      </c>
      <c r="H8" s="191" t="s">
        <v>43</v>
      </c>
      <c r="I8" s="229">
        <v>0.28000000000000003</v>
      </c>
      <c r="J8" s="229">
        <v>0.34</v>
      </c>
      <c r="K8" s="192" t="s">
        <v>40</v>
      </c>
      <c r="L8" s="193" t="s">
        <v>143</v>
      </c>
      <c r="M8" s="193" t="s">
        <v>143</v>
      </c>
      <c r="N8" s="242">
        <f t="shared" si="1"/>
        <v>0.21428571428571419</v>
      </c>
    </row>
    <row r="9" spans="1:14" s="59" customFormat="1" x14ac:dyDescent="0.35">
      <c r="A9" s="204"/>
      <c r="B9" s="191" t="s">
        <v>2</v>
      </c>
      <c r="C9" s="191" t="str">
        <f t="shared" si="2"/>
        <v>All</v>
      </c>
      <c r="D9" s="191"/>
      <c r="E9" s="191"/>
      <c r="F9" s="191"/>
      <c r="G9" s="191" t="s">
        <v>75</v>
      </c>
      <c r="H9" s="191" t="s">
        <v>43</v>
      </c>
      <c r="I9" s="229">
        <v>0.49</v>
      </c>
      <c r="J9" s="229">
        <v>1.1000000000000001</v>
      </c>
      <c r="K9" s="192" t="s">
        <v>40</v>
      </c>
      <c r="L9" s="193" t="s">
        <v>143</v>
      </c>
      <c r="M9" s="193" t="s">
        <v>143</v>
      </c>
      <c r="N9" s="242">
        <f t="shared" si="1"/>
        <v>1.2448979591836737</v>
      </c>
    </row>
    <row r="10" spans="1:14" s="59" customFormat="1" x14ac:dyDescent="0.35">
      <c r="A10" s="204"/>
      <c r="B10" s="191" t="s">
        <v>2</v>
      </c>
      <c r="C10" s="191" t="str">
        <f t="shared" si="2"/>
        <v>All</v>
      </c>
      <c r="D10" s="191"/>
      <c r="E10" s="191"/>
      <c r="F10" s="191"/>
      <c r="G10" s="191" t="s">
        <v>68</v>
      </c>
      <c r="H10" s="191" t="s">
        <v>43</v>
      </c>
      <c r="I10" s="229">
        <v>0</v>
      </c>
      <c r="J10" s="229">
        <v>0</v>
      </c>
      <c r="K10" s="192" t="s">
        <v>40</v>
      </c>
      <c r="L10" s="193" t="s">
        <v>143</v>
      </c>
      <c r="M10" s="193" t="s">
        <v>143</v>
      </c>
      <c r="N10" s="242" t="str">
        <f t="shared" si="1"/>
        <v/>
      </c>
    </row>
    <row r="11" spans="1:14" s="59" customFormat="1" x14ac:dyDescent="0.35">
      <c r="A11" s="204"/>
      <c r="B11" s="191" t="s">
        <v>2</v>
      </c>
      <c r="C11" s="191" t="str">
        <f t="shared" si="2"/>
        <v>All</v>
      </c>
      <c r="D11" s="191"/>
      <c r="E11" s="191"/>
      <c r="F11" s="191"/>
      <c r="G11" s="191" t="s">
        <v>145</v>
      </c>
      <c r="H11" s="191" t="s">
        <v>43</v>
      </c>
      <c r="I11" s="229">
        <v>1.94</v>
      </c>
      <c r="J11" s="229">
        <v>2.65</v>
      </c>
      <c r="K11" s="192" t="s">
        <v>40</v>
      </c>
      <c r="L11" s="193" t="s">
        <v>143</v>
      </c>
      <c r="M11" s="193" t="s">
        <v>143</v>
      </c>
      <c r="N11" s="242">
        <f t="shared" si="1"/>
        <v>0.365979381443299</v>
      </c>
    </row>
    <row r="12" spans="1:14" s="59" customFormat="1" x14ac:dyDescent="0.35">
      <c r="A12" s="204"/>
      <c r="B12" s="191" t="s">
        <v>2</v>
      </c>
      <c r="C12" s="191" t="str">
        <f t="shared" si="2"/>
        <v>All</v>
      </c>
      <c r="D12" s="191"/>
      <c r="E12" s="191"/>
      <c r="F12" s="191"/>
      <c r="G12" s="191" t="s">
        <v>70</v>
      </c>
      <c r="H12" s="191" t="s">
        <v>43</v>
      </c>
      <c r="I12" s="229">
        <v>4.22</v>
      </c>
      <c r="J12" s="229">
        <v>5.13</v>
      </c>
      <c r="K12" s="192" t="s">
        <v>40</v>
      </c>
      <c r="L12" s="193" t="s">
        <v>143</v>
      </c>
      <c r="M12" s="193" t="s">
        <v>143</v>
      </c>
      <c r="N12" s="242">
        <f t="shared" si="1"/>
        <v>0.21563981042654023</v>
      </c>
    </row>
    <row r="13" spans="1:14" s="59" customFormat="1" x14ac:dyDescent="0.35">
      <c r="A13" s="204"/>
      <c r="B13" s="191" t="s">
        <v>2</v>
      </c>
      <c r="C13" s="191" t="str">
        <f t="shared" si="2"/>
        <v>All</v>
      </c>
      <c r="D13" s="191"/>
      <c r="E13" s="191"/>
      <c r="F13" s="191"/>
      <c r="G13" s="191" t="s">
        <v>71</v>
      </c>
      <c r="H13" s="191" t="s">
        <v>43</v>
      </c>
      <c r="I13" s="229">
        <v>11.52</v>
      </c>
      <c r="J13" s="229">
        <v>10.9</v>
      </c>
      <c r="K13" s="192" t="s">
        <v>40</v>
      </c>
      <c r="L13" s="193" t="s">
        <v>143</v>
      </c>
      <c r="M13" s="193" t="s">
        <v>143</v>
      </c>
      <c r="N13" s="242">
        <f t="shared" si="1"/>
        <v>-5.381944444444442E-2</v>
      </c>
    </row>
    <row r="14" spans="1:14" s="59" customFormat="1" x14ac:dyDescent="0.35">
      <c r="A14" s="204"/>
      <c r="B14" s="191" t="s">
        <v>2</v>
      </c>
      <c r="C14" s="191" t="str">
        <f t="shared" si="2"/>
        <v>All</v>
      </c>
      <c r="D14" s="191"/>
      <c r="E14" s="191"/>
      <c r="F14" s="191"/>
      <c r="G14" s="191" t="s">
        <v>72</v>
      </c>
      <c r="H14" s="191" t="s">
        <v>43</v>
      </c>
      <c r="I14" s="229">
        <v>2.48</v>
      </c>
      <c r="J14" s="229">
        <v>3.39</v>
      </c>
      <c r="K14" s="192" t="s">
        <v>40</v>
      </c>
      <c r="L14" s="193" t="s">
        <v>143</v>
      </c>
      <c r="M14" s="193" t="s">
        <v>143</v>
      </c>
      <c r="N14" s="242">
        <f t="shared" si="1"/>
        <v>0.36693548387096775</v>
      </c>
    </row>
    <row r="15" spans="1:14" s="59" customFormat="1" x14ac:dyDescent="0.35">
      <c r="A15" s="204"/>
      <c r="B15" s="191" t="s">
        <v>2</v>
      </c>
      <c r="C15" s="191" t="str">
        <f t="shared" ref="C15" si="3">IF(D15="","All",D15&amp;" "&amp;E15)</f>
        <v>All</v>
      </c>
      <c r="D15" s="191"/>
      <c r="E15" s="191"/>
      <c r="F15" s="191"/>
      <c r="G15" s="191" t="s">
        <v>187</v>
      </c>
      <c r="H15" s="191" t="s">
        <v>43</v>
      </c>
      <c r="I15" s="229">
        <v>0</v>
      </c>
      <c r="J15" s="229">
        <v>0.21803668755877201</v>
      </c>
      <c r="K15" s="192" t="s">
        <v>40</v>
      </c>
      <c r="L15" s="193" t="s">
        <v>143</v>
      </c>
      <c r="M15" s="193" t="s">
        <v>143</v>
      </c>
      <c r="N15" s="242" t="str">
        <f t="shared" ref="N15" si="4">IFERROR(IF(K15="%",J15-I15,J15/I15-1),"")</f>
        <v/>
      </c>
    </row>
    <row r="16" spans="1:14" s="59" customFormat="1" x14ac:dyDescent="0.35">
      <c r="A16" s="204"/>
      <c r="B16" s="191" t="s">
        <v>2</v>
      </c>
      <c r="C16" s="191" t="str">
        <f t="shared" si="2"/>
        <v>Residential without CL</v>
      </c>
      <c r="D16" s="191" t="s">
        <v>6</v>
      </c>
      <c r="E16" s="191" t="s">
        <v>136</v>
      </c>
      <c r="F16" s="191" t="s">
        <v>21</v>
      </c>
      <c r="G16" s="191" t="s">
        <v>69</v>
      </c>
      <c r="H16" s="191" t="s">
        <v>43</v>
      </c>
      <c r="I16" s="296">
        <v>5.1999999999999998E-2</v>
      </c>
      <c r="J16" s="296">
        <v>5.2999999999999999E-2</v>
      </c>
      <c r="K16" s="192" t="s">
        <v>29</v>
      </c>
      <c r="L16" s="193" t="s">
        <v>143</v>
      </c>
      <c r="M16" s="193" t="s">
        <v>143</v>
      </c>
      <c r="N16" s="242">
        <f t="shared" si="1"/>
        <v>1.0000000000000009E-3</v>
      </c>
    </row>
    <row r="17" spans="1:14" s="59" customFormat="1" x14ac:dyDescent="0.35">
      <c r="A17" s="204"/>
      <c r="B17" s="191" t="s">
        <v>2</v>
      </c>
      <c r="C17" s="191" t="str">
        <f t="shared" si="2"/>
        <v>Residential with CL</v>
      </c>
      <c r="D17" s="191" t="s">
        <v>6</v>
      </c>
      <c r="E17" s="191" t="s">
        <v>137</v>
      </c>
      <c r="F17" s="191" t="s">
        <v>15</v>
      </c>
      <c r="G17" s="191" t="s">
        <v>69</v>
      </c>
      <c r="H17" s="191" t="s">
        <v>43</v>
      </c>
      <c r="I17" s="296">
        <v>5.5E-2</v>
      </c>
      <c r="J17" s="296">
        <v>5.6000000000000001E-2</v>
      </c>
      <c r="K17" s="192" t="s">
        <v>29</v>
      </c>
      <c r="L17" s="193" t="s">
        <v>143</v>
      </c>
      <c r="M17" s="193" t="s">
        <v>143</v>
      </c>
      <c r="N17" s="242">
        <f t="shared" si="1"/>
        <v>1.0000000000000009E-3</v>
      </c>
    </row>
    <row r="18" spans="1:14" s="59" customFormat="1" x14ac:dyDescent="0.35">
      <c r="A18" s="204"/>
      <c r="B18" s="191" t="s">
        <v>2</v>
      </c>
      <c r="C18" s="191" t="str">
        <f>IF(D18="","All",D18&amp;" "&amp;E18)</f>
        <v>Residential with CL</v>
      </c>
      <c r="D18" s="191" t="s">
        <v>6</v>
      </c>
      <c r="E18" s="191" t="s">
        <v>137</v>
      </c>
      <c r="F18" s="191" t="s">
        <v>16</v>
      </c>
      <c r="G18" s="191" t="s">
        <v>69</v>
      </c>
      <c r="H18" s="191" t="s">
        <v>43</v>
      </c>
      <c r="I18" s="296">
        <v>5.5E-2</v>
      </c>
      <c r="J18" s="296">
        <v>5.6000000000000001E-2</v>
      </c>
      <c r="K18" s="192" t="s">
        <v>29</v>
      </c>
      <c r="L18" s="193" t="s">
        <v>143</v>
      </c>
      <c r="M18" s="193" t="s">
        <v>143</v>
      </c>
      <c r="N18" s="242">
        <f t="shared" si="1"/>
        <v>1.0000000000000009E-3</v>
      </c>
    </row>
    <row r="19" spans="1:14" s="59" customFormat="1" x14ac:dyDescent="0.35">
      <c r="A19" s="204"/>
      <c r="B19" s="191" t="s">
        <v>2</v>
      </c>
      <c r="C19" s="191" t="str">
        <f>IF(D19="","All",D19&amp;" "&amp;E19)</f>
        <v>Small business without CL</v>
      </c>
      <c r="D19" s="191" t="s">
        <v>14</v>
      </c>
      <c r="E19" s="191" t="s">
        <v>136</v>
      </c>
      <c r="F19" s="191" t="s">
        <v>21</v>
      </c>
      <c r="G19" s="191" t="s">
        <v>69</v>
      </c>
      <c r="H19" s="191" t="s">
        <v>43</v>
      </c>
      <c r="I19" s="296">
        <v>5.1999999999999998E-2</v>
      </c>
      <c r="J19" s="296">
        <v>5.2999999999999999E-2</v>
      </c>
      <c r="K19" s="192" t="s">
        <v>29</v>
      </c>
      <c r="L19" s="193" t="s">
        <v>143</v>
      </c>
      <c r="M19" s="193" t="s">
        <v>143</v>
      </c>
      <c r="N19" s="242">
        <f t="shared" si="1"/>
        <v>1.0000000000000009E-3</v>
      </c>
    </row>
    <row r="20" spans="1:14" s="59" customFormat="1" x14ac:dyDescent="0.35">
      <c r="A20" s="204"/>
      <c r="B20" s="191" t="s">
        <v>2</v>
      </c>
      <c r="C20" s="191" t="s">
        <v>150</v>
      </c>
      <c r="D20" s="191" t="s">
        <v>6</v>
      </c>
      <c r="E20" s="191"/>
      <c r="F20" s="191"/>
      <c r="G20" s="191" t="s">
        <v>190</v>
      </c>
      <c r="H20" s="191" t="s">
        <v>42</v>
      </c>
      <c r="I20" s="287" t="s">
        <v>56</v>
      </c>
      <c r="J20" s="287">
        <v>132</v>
      </c>
      <c r="K20" s="192" t="s">
        <v>64</v>
      </c>
      <c r="L20" s="193" t="s">
        <v>56</v>
      </c>
      <c r="M20" s="193" t="s">
        <v>201</v>
      </c>
      <c r="N20" s="242" t="str">
        <f t="shared" ref="N20:N26" si="5">IFERROR(IF(K20="%",J20-I20,J20/I20-1),"")</f>
        <v/>
      </c>
    </row>
    <row r="21" spans="1:14" s="59" customFormat="1" x14ac:dyDescent="0.35">
      <c r="A21" s="204"/>
      <c r="B21" s="191" t="s">
        <v>2</v>
      </c>
      <c r="C21" s="191" t="s">
        <v>151</v>
      </c>
      <c r="D21" s="191" t="s">
        <v>6</v>
      </c>
      <c r="E21" s="191"/>
      <c r="F21" s="191"/>
      <c r="G21" s="191" t="s">
        <v>190</v>
      </c>
      <c r="H21" s="191" t="s">
        <v>42</v>
      </c>
      <c r="I21" s="287" t="s">
        <v>56</v>
      </c>
      <c r="J21" s="287">
        <v>132</v>
      </c>
      <c r="K21" s="192" t="s">
        <v>64</v>
      </c>
      <c r="L21" s="193" t="s">
        <v>56</v>
      </c>
      <c r="M21" s="193" t="s">
        <v>201</v>
      </c>
      <c r="N21" s="242" t="str">
        <f t="shared" ref="N21:N24" si="6">IFERROR(IF(K21="%",J21-I21,J21/I21-1),"")</f>
        <v/>
      </c>
    </row>
    <row r="22" spans="1:14" s="59" customFormat="1" ht="15" customHeight="1" x14ac:dyDescent="0.35">
      <c r="A22" s="204"/>
      <c r="B22" s="191" t="s">
        <v>2</v>
      </c>
      <c r="C22" s="191" t="s">
        <v>152</v>
      </c>
      <c r="D22" s="191" t="s">
        <v>14</v>
      </c>
      <c r="E22" s="191"/>
      <c r="F22" s="191"/>
      <c r="G22" s="191" t="s">
        <v>190</v>
      </c>
      <c r="H22" s="191" t="s">
        <v>42</v>
      </c>
      <c r="I22" s="287" t="s">
        <v>56</v>
      </c>
      <c r="J22" s="287">
        <v>204</v>
      </c>
      <c r="K22" s="192" t="s">
        <v>64</v>
      </c>
      <c r="L22" s="193" t="s">
        <v>56</v>
      </c>
      <c r="M22" s="203" t="s">
        <v>204</v>
      </c>
      <c r="N22" s="242" t="str">
        <f t="shared" si="6"/>
        <v/>
      </c>
    </row>
    <row r="23" spans="1:14" s="59" customFormat="1" x14ac:dyDescent="0.35">
      <c r="A23" s="204"/>
      <c r="B23" s="191" t="s">
        <v>2</v>
      </c>
      <c r="C23" s="191" t="s">
        <v>150</v>
      </c>
      <c r="D23" s="191" t="s">
        <v>6</v>
      </c>
      <c r="E23" s="191"/>
      <c r="F23" s="191"/>
      <c r="G23" s="191" t="s">
        <v>191</v>
      </c>
      <c r="H23" s="191" t="s">
        <v>42</v>
      </c>
      <c r="I23" s="287" t="s">
        <v>56</v>
      </c>
      <c r="J23" s="287">
        <v>15.12</v>
      </c>
      <c r="K23" s="192" t="s">
        <v>64</v>
      </c>
      <c r="L23" s="193" t="s">
        <v>56</v>
      </c>
      <c r="M23" s="193" t="s">
        <v>202</v>
      </c>
      <c r="N23" s="242" t="str">
        <f t="shared" ref="N23" si="7">IFERROR(IF(K23="%",J23-I23,J23/I23-1),"")</f>
        <v/>
      </c>
    </row>
    <row r="24" spans="1:14" s="59" customFormat="1" x14ac:dyDescent="0.35">
      <c r="A24" s="204"/>
      <c r="B24" s="191" t="s">
        <v>2</v>
      </c>
      <c r="C24" s="191" t="s">
        <v>151</v>
      </c>
      <c r="D24" s="191" t="s">
        <v>6</v>
      </c>
      <c r="E24" s="191"/>
      <c r="F24" s="191"/>
      <c r="G24" s="191" t="s">
        <v>191</v>
      </c>
      <c r="H24" s="191" t="s">
        <v>42</v>
      </c>
      <c r="I24" s="287" t="s">
        <v>56</v>
      </c>
      <c r="J24" s="287">
        <v>15.12</v>
      </c>
      <c r="K24" s="192" t="s">
        <v>64</v>
      </c>
      <c r="L24" s="193" t="s">
        <v>56</v>
      </c>
      <c r="M24" s="193" t="s">
        <v>202</v>
      </c>
      <c r="N24" s="242" t="str">
        <f t="shared" si="6"/>
        <v/>
      </c>
    </row>
    <row r="25" spans="1:14" s="59" customFormat="1" x14ac:dyDescent="0.35">
      <c r="A25" s="204"/>
      <c r="B25" s="191" t="s">
        <v>2</v>
      </c>
      <c r="C25" s="191" t="s">
        <v>152</v>
      </c>
      <c r="D25" s="191" t="s">
        <v>14</v>
      </c>
      <c r="E25" s="191"/>
      <c r="F25" s="191"/>
      <c r="G25" s="191" t="s">
        <v>191</v>
      </c>
      <c r="H25" s="191" t="s">
        <v>42</v>
      </c>
      <c r="I25" s="287" t="s">
        <v>56</v>
      </c>
      <c r="J25" s="287">
        <v>9.2200000000000006</v>
      </c>
      <c r="K25" s="192" t="s">
        <v>64</v>
      </c>
      <c r="L25" s="193" t="s">
        <v>56</v>
      </c>
      <c r="M25" s="193" t="s">
        <v>202</v>
      </c>
      <c r="N25" s="242" t="str">
        <f t="shared" si="5"/>
        <v/>
      </c>
    </row>
    <row r="26" spans="1:14" s="59" customFormat="1" x14ac:dyDescent="0.35">
      <c r="A26" s="204"/>
      <c r="B26" s="191" t="s">
        <v>2</v>
      </c>
      <c r="C26" s="191" t="str">
        <f t="shared" ref="C26" si="8">IF(D26="","All",D26&amp;" "&amp;E26)</f>
        <v>All</v>
      </c>
      <c r="D26" s="191"/>
      <c r="E26" s="191"/>
      <c r="F26" s="191"/>
      <c r="G26" s="191" t="s">
        <v>192</v>
      </c>
      <c r="H26" s="191" t="s">
        <v>42</v>
      </c>
      <c r="I26" s="287" t="s">
        <v>56</v>
      </c>
      <c r="J26" s="287">
        <v>25.714884256834605</v>
      </c>
      <c r="K26" s="192" t="s">
        <v>64</v>
      </c>
      <c r="L26" s="193" t="s">
        <v>56</v>
      </c>
      <c r="M26" s="193" t="s">
        <v>203</v>
      </c>
      <c r="N26" s="242" t="str">
        <f t="shared" si="5"/>
        <v/>
      </c>
    </row>
    <row r="27" spans="1:14" s="59" customFormat="1" x14ac:dyDescent="0.35">
      <c r="A27" s="204"/>
      <c r="B27" s="191" t="s">
        <v>4</v>
      </c>
      <c r="C27" s="191" t="str">
        <f t="shared" si="2"/>
        <v>Residential without CL</v>
      </c>
      <c r="D27" s="191" t="s">
        <v>6</v>
      </c>
      <c r="E27" s="191" t="s">
        <v>136</v>
      </c>
      <c r="F27" s="191" t="s">
        <v>21</v>
      </c>
      <c r="G27" s="191" t="s">
        <v>66</v>
      </c>
      <c r="H27" s="191" t="s">
        <v>43</v>
      </c>
      <c r="I27" s="229">
        <v>80.69</v>
      </c>
      <c r="J27" s="229">
        <v>113.22</v>
      </c>
      <c r="K27" s="192" t="s">
        <v>40</v>
      </c>
      <c r="L27" s="193" t="s">
        <v>143</v>
      </c>
      <c r="M27" s="193" t="s">
        <v>143</v>
      </c>
      <c r="N27" s="242">
        <f t="shared" si="1"/>
        <v>0.40314784979551366</v>
      </c>
    </row>
    <row r="28" spans="1:14" s="59" customFormat="1" x14ac:dyDescent="0.35">
      <c r="A28" s="204"/>
      <c r="B28" s="191" t="s">
        <v>4</v>
      </c>
      <c r="C28" s="191" t="str">
        <f t="shared" si="2"/>
        <v>Residential with CL</v>
      </c>
      <c r="D28" s="191" t="s">
        <v>6</v>
      </c>
      <c r="E28" s="191" t="s">
        <v>137</v>
      </c>
      <c r="F28" s="191" t="s">
        <v>15</v>
      </c>
      <c r="G28" s="191" t="s">
        <v>66</v>
      </c>
      <c r="H28" s="191" t="s">
        <v>43</v>
      </c>
      <c r="I28" s="229">
        <v>76</v>
      </c>
      <c r="J28" s="229">
        <v>104.02</v>
      </c>
      <c r="K28" s="192" t="s">
        <v>40</v>
      </c>
      <c r="L28" s="193" t="s">
        <v>143</v>
      </c>
      <c r="M28" s="193" t="s">
        <v>143</v>
      </c>
      <c r="N28" s="242">
        <f t="shared" si="1"/>
        <v>0.36868421052631573</v>
      </c>
    </row>
    <row r="29" spans="1:14" s="59" customFormat="1" x14ac:dyDescent="0.35">
      <c r="A29" s="204"/>
      <c r="B29" s="191" t="s">
        <v>4</v>
      </c>
      <c r="C29" s="191" t="str">
        <f t="shared" si="2"/>
        <v>Residential with CL</v>
      </c>
      <c r="D29" s="191" t="s">
        <v>6</v>
      </c>
      <c r="E29" s="191" t="s">
        <v>137</v>
      </c>
      <c r="F29" s="191" t="s">
        <v>16</v>
      </c>
      <c r="G29" s="191" t="s">
        <v>66</v>
      </c>
      <c r="H29" s="191" t="s">
        <v>43</v>
      </c>
      <c r="I29" s="229">
        <v>76</v>
      </c>
      <c r="J29" s="229">
        <v>104.02</v>
      </c>
      <c r="K29" s="192" t="s">
        <v>40</v>
      </c>
      <c r="L29" s="193" t="s">
        <v>143</v>
      </c>
      <c r="M29" s="193" t="s">
        <v>143</v>
      </c>
      <c r="N29" s="242">
        <f t="shared" si="1"/>
        <v>0.36868421052631573</v>
      </c>
    </row>
    <row r="30" spans="1:14" s="59" customFormat="1" x14ac:dyDescent="0.35">
      <c r="A30" s="204"/>
      <c r="B30" s="191" t="s">
        <v>4</v>
      </c>
      <c r="C30" s="191" t="str">
        <f t="shared" si="2"/>
        <v>Small business without CL</v>
      </c>
      <c r="D30" s="191" t="s">
        <v>14</v>
      </c>
      <c r="E30" s="191" t="s">
        <v>136</v>
      </c>
      <c r="F30" s="191" t="s">
        <v>21</v>
      </c>
      <c r="G30" s="191" t="s">
        <v>66</v>
      </c>
      <c r="H30" s="191" t="s">
        <v>43</v>
      </c>
      <c r="I30" s="229">
        <v>80.69</v>
      </c>
      <c r="J30" s="229">
        <v>113.22</v>
      </c>
      <c r="K30" s="192" t="s">
        <v>40</v>
      </c>
      <c r="L30" s="193" t="s">
        <v>143</v>
      </c>
      <c r="M30" s="193" t="s">
        <v>143</v>
      </c>
      <c r="N30" s="242">
        <f t="shared" si="1"/>
        <v>0.40314784979551366</v>
      </c>
    </row>
    <row r="31" spans="1:14" s="59" customFormat="1" x14ac:dyDescent="0.35">
      <c r="A31" s="204"/>
      <c r="B31" s="191" t="s">
        <v>4</v>
      </c>
      <c r="C31" s="191" t="str">
        <f t="shared" si="2"/>
        <v>All</v>
      </c>
      <c r="D31" s="191"/>
      <c r="E31" s="191"/>
      <c r="F31" s="191"/>
      <c r="G31" s="191" t="s">
        <v>67</v>
      </c>
      <c r="H31" s="191" t="s">
        <v>43</v>
      </c>
      <c r="I31" s="229">
        <v>0.28000000000000003</v>
      </c>
      <c r="J31" s="229">
        <v>0.34</v>
      </c>
      <c r="K31" s="192" t="s">
        <v>40</v>
      </c>
      <c r="L31" s="193" t="s">
        <v>143</v>
      </c>
      <c r="M31" s="193" t="s">
        <v>143</v>
      </c>
      <c r="N31" s="242">
        <f t="shared" si="1"/>
        <v>0.21428571428571419</v>
      </c>
    </row>
    <row r="32" spans="1:14" s="59" customFormat="1" x14ac:dyDescent="0.35">
      <c r="A32" s="204"/>
      <c r="B32" s="191" t="s">
        <v>4</v>
      </c>
      <c r="C32" s="191" t="str">
        <f t="shared" si="2"/>
        <v>All</v>
      </c>
      <c r="D32" s="191"/>
      <c r="E32" s="191"/>
      <c r="F32" s="191"/>
      <c r="G32" s="191" t="s">
        <v>75</v>
      </c>
      <c r="H32" s="191" t="s">
        <v>43</v>
      </c>
      <c r="I32" s="229">
        <v>0.49</v>
      </c>
      <c r="J32" s="229">
        <v>1.1000000000000001</v>
      </c>
      <c r="K32" s="192" t="s">
        <v>40</v>
      </c>
      <c r="L32" s="193" t="s">
        <v>143</v>
      </c>
      <c r="M32" s="193" t="s">
        <v>143</v>
      </c>
      <c r="N32" s="242">
        <f t="shared" si="1"/>
        <v>1.2448979591836737</v>
      </c>
    </row>
    <row r="33" spans="1:14" s="59" customFormat="1" x14ac:dyDescent="0.35">
      <c r="A33" s="204"/>
      <c r="B33" s="191" t="s">
        <v>4</v>
      </c>
      <c r="C33" s="191" t="str">
        <f t="shared" si="2"/>
        <v>All</v>
      </c>
      <c r="D33" s="191"/>
      <c r="E33" s="191"/>
      <c r="F33" s="191"/>
      <c r="G33" s="191" t="s">
        <v>68</v>
      </c>
      <c r="H33" s="191" t="s">
        <v>43</v>
      </c>
      <c r="I33" s="229">
        <v>0</v>
      </c>
      <c r="J33" s="229">
        <v>0</v>
      </c>
      <c r="K33" s="192" t="s">
        <v>40</v>
      </c>
      <c r="L33" s="193" t="s">
        <v>143</v>
      </c>
      <c r="M33" s="193" t="s">
        <v>143</v>
      </c>
      <c r="N33" s="242" t="str">
        <f t="shared" si="1"/>
        <v/>
      </c>
    </row>
    <row r="34" spans="1:14" s="59" customFormat="1" x14ac:dyDescent="0.35">
      <c r="A34" s="204"/>
      <c r="B34" s="191" t="s">
        <v>4</v>
      </c>
      <c r="C34" s="191" t="str">
        <f t="shared" si="2"/>
        <v>All</v>
      </c>
      <c r="D34" s="191"/>
      <c r="E34" s="191"/>
      <c r="F34" s="191"/>
      <c r="G34" s="191" t="s">
        <v>145</v>
      </c>
      <c r="H34" s="191" t="s">
        <v>43</v>
      </c>
      <c r="I34" s="229">
        <v>1.81</v>
      </c>
      <c r="J34" s="229">
        <v>2.56</v>
      </c>
      <c r="K34" s="192" t="s">
        <v>40</v>
      </c>
      <c r="L34" s="193" t="s">
        <v>143</v>
      </c>
      <c r="M34" s="193" t="s">
        <v>143</v>
      </c>
      <c r="N34" s="242">
        <f t="shared" si="1"/>
        <v>0.41436464088397784</v>
      </c>
    </row>
    <row r="35" spans="1:14" s="59" customFormat="1" x14ac:dyDescent="0.35">
      <c r="A35" s="204"/>
      <c r="B35" s="191" t="s">
        <v>4</v>
      </c>
      <c r="C35" s="191" t="str">
        <f t="shared" si="2"/>
        <v>All</v>
      </c>
      <c r="D35" s="191"/>
      <c r="E35" s="191"/>
      <c r="F35" s="191"/>
      <c r="G35" s="191" t="s">
        <v>70</v>
      </c>
      <c r="H35" s="191" t="s">
        <v>43</v>
      </c>
      <c r="I35" s="229">
        <v>4.22</v>
      </c>
      <c r="J35" s="229">
        <v>5.13</v>
      </c>
      <c r="K35" s="192" t="s">
        <v>40</v>
      </c>
      <c r="L35" s="193" t="s">
        <v>143</v>
      </c>
      <c r="M35" s="193" t="s">
        <v>143</v>
      </c>
      <c r="N35" s="242">
        <f t="shared" si="1"/>
        <v>0.21563981042654023</v>
      </c>
    </row>
    <row r="36" spans="1:14" s="59" customFormat="1" x14ac:dyDescent="0.35">
      <c r="A36" s="204"/>
      <c r="B36" s="191" t="s">
        <v>4</v>
      </c>
      <c r="C36" s="191" t="str">
        <f t="shared" si="2"/>
        <v>All</v>
      </c>
      <c r="D36" s="191"/>
      <c r="E36" s="191"/>
      <c r="F36" s="191"/>
      <c r="G36" s="191" t="s">
        <v>71</v>
      </c>
      <c r="H36" s="191" t="s">
        <v>43</v>
      </c>
      <c r="I36" s="229">
        <v>11.52</v>
      </c>
      <c r="J36" s="229">
        <v>10.9</v>
      </c>
      <c r="K36" s="192" t="s">
        <v>40</v>
      </c>
      <c r="L36" s="193" t="s">
        <v>143</v>
      </c>
      <c r="M36" s="193" t="s">
        <v>143</v>
      </c>
      <c r="N36" s="242">
        <f t="shared" si="1"/>
        <v>-5.381944444444442E-2</v>
      </c>
    </row>
    <row r="37" spans="1:14" s="59" customFormat="1" x14ac:dyDescent="0.35">
      <c r="A37" s="204"/>
      <c r="B37" s="191" t="s">
        <v>4</v>
      </c>
      <c r="C37" s="191" t="str">
        <f t="shared" si="2"/>
        <v>All</v>
      </c>
      <c r="D37" s="191"/>
      <c r="E37" s="191"/>
      <c r="F37" s="191"/>
      <c r="G37" s="191" t="s">
        <v>72</v>
      </c>
      <c r="H37" s="191" t="s">
        <v>43</v>
      </c>
      <c r="I37" s="229">
        <v>2.48</v>
      </c>
      <c r="J37" s="229">
        <v>3.39</v>
      </c>
      <c r="K37" s="192" t="s">
        <v>40</v>
      </c>
      <c r="L37" s="193" t="s">
        <v>143</v>
      </c>
      <c r="M37" s="193" t="s">
        <v>143</v>
      </c>
      <c r="N37" s="242">
        <f t="shared" si="1"/>
        <v>0.36693548387096775</v>
      </c>
    </row>
    <row r="38" spans="1:14" s="59" customFormat="1" x14ac:dyDescent="0.35">
      <c r="A38" s="204"/>
      <c r="B38" s="191" t="s">
        <v>4</v>
      </c>
      <c r="C38" s="191" t="str">
        <f t="shared" ref="C38" si="9">IF(D38="","All",D38&amp;" "&amp;E38)</f>
        <v>All</v>
      </c>
      <c r="D38" s="191"/>
      <c r="E38" s="191"/>
      <c r="F38" s="191"/>
      <c r="G38" s="191" t="s">
        <v>187</v>
      </c>
      <c r="H38" s="191" t="s">
        <v>43</v>
      </c>
      <c r="I38" s="229">
        <v>0</v>
      </c>
      <c r="J38" s="229">
        <v>0.21803668755877201</v>
      </c>
      <c r="K38" s="192" t="s">
        <v>40</v>
      </c>
      <c r="L38" s="193" t="s">
        <v>143</v>
      </c>
      <c r="M38" s="193" t="s">
        <v>143</v>
      </c>
      <c r="N38" s="242" t="str">
        <f t="shared" ref="N38" si="10">IFERROR(IF(K38="%",J38-I38,J38/I38-1),"")</f>
        <v/>
      </c>
    </row>
    <row r="39" spans="1:14" s="59" customFormat="1" x14ac:dyDescent="0.35">
      <c r="A39" s="204"/>
      <c r="B39" s="191" t="s">
        <v>4</v>
      </c>
      <c r="C39" s="191" t="str">
        <f t="shared" si="2"/>
        <v>Residential without CL</v>
      </c>
      <c r="D39" s="191" t="s">
        <v>6</v>
      </c>
      <c r="E39" s="191" t="s">
        <v>136</v>
      </c>
      <c r="F39" s="191" t="s">
        <v>21</v>
      </c>
      <c r="G39" s="191" t="s">
        <v>69</v>
      </c>
      <c r="H39" s="191" t="s">
        <v>43</v>
      </c>
      <c r="I39" s="296">
        <v>0.06</v>
      </c>
      <c r="J39" s="296">
        <v>0.06</v>
      </c>
      <c r="K39" s="192" t="s">
        <v>29</v>
      </c>
      <c r="L39" s="193" t="s">
        <v>143</v>
      </c>
      <c r="M39" s="193" t="s">
        <v>143</v>
      </c>
      <c r="N39" s="242">
        <f t="shared" si="1"/>
        <v>0</v>
      </c>
    </row>
    <row r="40" spans="1:14" s="59" customFormat="1" x14ac:dyDescent="0.35">
      <c r="A40" s="204"/>
      <c r="B40" s="191" t="s">
        <v>4</v>
      </c>
      <c r="C40" s="191" t="str">
        <f>IF(D40="","All",D40&amp;" "&amp;E40)</f>
        <v>Residential with CL</v>
      </c>
      <c r="D40" s="191" t="s">
        <v>6</v>
      </c>
      <c r="E40" s="191" t="s">
        <v>137</v>
      </c>
      <c r="F40" s="191" t="s">
        <v>15</v>
      </c>
      <c r="G40" s="191" t="s">
        <v>69</v>
      </c>
      <c r="H40" s="191" t="s">
        <v>43</v>
      </c>
      <c r="I40" s="296">
        <v>0.06</v>
      </c>
      <c r="J40" s="296">
        <v>0.06</v>
      </c>
      <c r="K40" s="192" t="s">
        <v>29</v>
      </c>
      <c r="L40" s="193" t="s">
        <v>143</v>
      </c>
      <c r="M40" s="193" t="s">
        <v>143</v>
      </c>
      <c r="N40" s="242">
        <f t="shared" si="1"/>
        <v>0</v>
      </c>
    </row>
    <row r="41" spans="1:14" s="59" customFormat="1" x14ac:dyDescent="0.35">
      <c r="A41" s="204"/>
      <c r="B41" s="191" t="s">
        <v>4</v>
      </c>
      <c r="C41" s="191" t="str">
        <f>IF(D41="","All",D41&amp;" "&amp;E41)</f>
        <v>Residential with CL</v>
      </c>
      <c r="D41" s="191" t="s">
        <v>6</v>
      </c>
      <c r="E41" s="191" t="s">
        <v>137</v>
      </c>
      <c r="F41" s="191" t="s">
        <v>16</v>
      </c>
      <c r="G41" s="191" t="s">
        <v>69</v>
      </c>
      <c r="H41" s="191" t="s">
        <v>43</v>
      </c>
      <c r="I41" s="296">
        <v>0.06</v>
      </c>
      <c r="J41" s="296">
        <v>0.06</v>
      </c>
      <c r="K41" s="192" t="s">
        <v>29</v>
      </c>
      <c r="L41" s="193" t="s">
        <v>143</v>
      </c>
      <c r="M41" s="193" t="s">
        <v>143</v>
      </c>
      <c r="N41" s="242">
        <f t="shared" si="1"/>
        <v>0</v>
      </c>
    </row>
    <row r="42" spans="1:14" s="59" customFormat="1" x14ac:dyDescent="0.35">
      <c r="A42" s="204"/>
      <c r="B42" s="191" t="s">
        <v>4</v>
      </c>
      <c r="C42" s="191" t="str">
        <f>IF(D42="","All",D42&amp;" "&amp;E42)</f>
        <v>Small business without CL</v>
      </c>
      <c r="D42" s="191" t="s">
        <v>14</v>
      </c>
      <c r="E42" s="191" t="s">
        <v>136</v>
      </c>
      <c r="F42" s="191" t="s">
        <v>21</v>
      </c>
      <c r="G42" s="191" t="s">
        <v>69</v>
      </c>
      <c r="H42" s="191" t="s">
        <v>43</v>
      </c>
      <c r="I42" s="296">
        <v>0.06</v>
      </c>
      <c r="J42" s="296">
        <v>0.06</v>
      </c>
      <c r="K42" s="192" t="s">
        <v>29</v>
      </c>
      <c r="L42" s="193" t="s">
        <v>143</v>
      </c>
      <c r="M42" s="193" t="s">
        <v>143</v>
      </c>
      <c r="N42" s="242">
        <f t="shared" si="1"/>
        <v>0</v>
      </c>
    </row>
    <row r="43" spans="1:14" s="59" customFormat="1" x14ac:dyDescent="0.35">
      <c r="A43" s="204"/>
      <c r="B43" s="191" t="s">
        <v>4</v>
      </c>
      <c r="C43" s="191" t="s">
        <v>150</v>
      </c>
      <c r="D43" s="191" t="s">
        <v>6</v>
      </c>
      <c r="E43" s="191"/>
      <c r="F43" s="191"/>
      <c r="G43" s="191" t="s">
        <v>190</v>
      </c>
      <c r="H43" s="191" t="s">
        <v>42</v>
      </c>
      <c r="I43" s="287" t="s">
        <v>56</v>
      </c>
      <c r="J43" s="229">
        <v>132</v>
      </c>
      <c r="K43" s="192" t="s">
        <v>64</v>
      </c>
      <c r="L43" s="193" t="s">
        <v>56</v>
      </c>
      <c r="M43" s="193" t="s">
        <v>201</v>
      </c>
      <c r="N43" s="242" t="str">
        <f t="shared" si="1"/>
        <v/>
      </c>
    </row>
    <row r="44" spans="1:14" s="59" customFormat="1" x14ac:dyDescent="0.35">
      <c r="A44" s="204"/>
      <c r="B44" s="191" t="s">
        <v>4</v>
      </c>
      <c r="C44" s="191" t="s">
        <v>151</v>
      </c>
      <c r="D44" s="191" t="s">
        <v>6</v>
      </c>
      <c r="E44" s="191"/>
      <c r="F44" s="191"/>
      <c r="G44" s="191" t="s">
        <v>190</v>
      </c>
      <c r="H44" s="191" t="s">
        <v>42</v>
      </c>
      <c r="I44" s="287" t="s">
        <v>56</v>
      </c>
      <c r="J44" s="229">
        <v>132</v>
      </c>
      <c r="K44" s="192" t="s">
        <v>64</v>
      </c>
      <c r="L44" s="193" t="s">
        <v>56</v>
      </c>
      <c r="M44" s="193" t="s">
        <v>201</v>
      </c>
      <c r="N44" s="242" t="str">
        <f t="shared" si="1"/>
        <v/>
      </c>
    </row>
    <row r="45" spans="1:14" s="59" customFormat="1" ht="15" customHeight="1" x14ac:dyDescent="0.35">
      <c r="A45" s="204"/>
      <c r="B45" s="191" t="s">
        <v>4</v>
      </c>
      <c r="C45" s="191" t="s">
        <v>152</v>
      </c>
      <c r="D45" s="191" t="s">
        <v>14</v>
      </c>
      <c r="E45" s="191"/>
      <c r="F45" s="191"/>
      <c r="G45" s="191" t="s">
        <v>190</v>
      </c>
      <c r="H45" s="191" t="s">
        <v>42</v>
      </c>
      <c r="I45" s="287" t="s">
        <v>56</v>
      </c>
      <c r="J45" s="229">
        <v>204</v>
      </c>
      <c r="K45" s="192" t="s">
        <v>64</v>
      </c>
      <c r="L45" s="193" t="s">
        <v>56</v>
      </c>
      <c r="M45" s="203" t="s">
        <v>204</v>
      </c>
      <c r="N45" s="242" t="str">
        <f t="shared" si="1"/>
        <v/>
      </c>
    </row>
    <row r="46" spans="1:14" s="59" customFormat="1" x14ac:dyDescent="0.35">
      <c r="A46" s="204"/>
      <c r="B46" s="191" t="s">
        <v>4</v>
      </c>
      <c r="C46" s="191" t="s">
        <v>150</v>
      </c>
      <c r="D46" s="191" t="s">
        <v>6</v>
      </c>
      <c r="E46" s="191"/>
      <c r="F46" s="191"/>
      <c r="G46" s="191" t="s">
        <v>191</v>
      </c>
      <c r="H46" s="191" t="s">
        <v>42</v>
      </c>
      <c r="I46" s="287" t="s">
        <v>56</v>
      </c>
      <c r="J46" s="229">
        <v>21.4</v>
      </c>
      <c r="K46" s="192" t="s">
        <v>64</v>
      </c>
      <c r="L46" s="193" t="s">
        <v>56</v>
      </c>
      <c r="M46" s="193" t="s">
        <v>202</v>
      </c>
      <c r="N46" s="242" t="str">
        <f t="shared" si="1"/>
        <v/>
      </c>
    </row>
    <row r="47" spans="1:14" s="59" customFormat="1" x14ac:dyDescent="0.35">
      <c r="A47" s="204"/>
      <c r="B47" s="191" t="s">
        <v>4</v>
      </c>
      <c r="C47" s="191" t="s">
        <v>151</v>
      </c>
      <c r="D47" s="191" t="s">
        <v>6</v>
      </c>
      <c r="E47" s="191"/>
      <c r="F47" s="191"/>
      <c r="G47" s="191" t="s">
        <v>191</v>
      </c>
      <c r="H47" s="191" t="s">
        <v>42</v>
      </c>
      <c r="I47" s="287" t="s">
        <v>56</v>
      </c>
      <c r="J47" s="229">
        <v>21.4</v>
      </c>
      <c r="K47" s="192" t="s">
        <v>64</v>
      </c>
      <c r="L47" s="193" t="s">
        <v>56</v>
      </c>
      <c r="M47" s="193" t="s">
        <v>202</v>
      </c>
      <c r="N47" s="242" t="str">
        <f t="shared" si="1"/>
        <v/>
      </c>
    </row>
    <row r="48" spans="1:14" s="59" customFormat="1" x14ac:dyDescent="0.35">
      <c r="A48" s="204"/>
      <c r="B48" s="191" t="s">
        <v>4</v>
      </c>
      <c r="C48" s="191" t="s">
        <v>152</v>
      </c>
      <c r="D48" s="191" t="s">
        <v>14</v>
      </c>
      <c r="E48" s="191"/>
      <c r="F48" s="191"/>
      <c r="G48" s="191" t="s">
        <v>191</v>
      </c>
      <c r="H48" s="191" t="s">
        <v>42</v>
      </c>
      <c r="I48" s="287" t="s">
        <v>56</v>
      </c>
      <c r="J48" s="229">
        <v>14.9</v>
      </c>
      <c r="K48" s="192" t="s">
        <v>64</v>
      </c>
      <c r="L48" s="193" t="s">
        <v>56</v>
      </c>
      <c r="M48" s="193" t="s">
        <v>202</v>
      </c>
      <c r="N48" s="242" t="str">
        <f t="shared" si="1"/>
        <v/>
      </c>
    </row>
    <row r="49" spans="1:14" s="59" customFormat="1" x14ac:dyDescent="0.35">
      <c r="A49" s="204"/>
      <c r="B49" s="191" t="s">
        <v>4</v>
      </c>
      <c r="C49" s="191" t="str">
        <f t="shared" ref="C49" si="11">IF(D49="","All",D49&amp;" "&amp;E49)</f>
        <v>All</v>
      </c>
      <c r="D49" s="191"/>
      <c r="E49" s="191"/>
      <c r="F49" s="191"/>
      <c r="G49" s="191" t="s">
        <v>192</v>
      </c>
      <c r="H49" s="191" t="s">
        <v>42</v>
      </c>
      <c r="I49" s="287" t="s">
        <v>56</v>
      </c>
      <c r="J49" s="287">
        <v>25.714884256834605</v>
      </c>
      <c r="K49" s="192" t="s">
        <v>64</v>
      </c>
      <c r="L49" s="193" t="s">
        <v>56</v>
      </c>
      <c r="M49" s="193" t="s">
        <v>203</v>
      </c>
      <c r="N49" s="242" t="str">
        <f t="shared" si="1"/>
        <v/>
      </c>
    </row>
    <row r="50" spans="1:14" s="59" customFormat="1" x14ac:dyDescent="0.35">
      <c r="A50" s="204"/>
      <c r="B50" s="191" t="s">
        <v>3</v>
      </c>
      <c r="C50" s="191" t="str">
        <f t="shared" si="2"/>
        <v>Residential without CL</v>
      </c>
      <c r="D50" s="191" t="s">
        <v>6</v>
      </c>
      <c r="E50" s="191" t="s">
        <v>136</v>
      </c>
      <c r="F50" s="191" t="s">
        <v>21</v>
      </c>
      <c r="G50" s="191" t="s">
        <v>66</v>
      </c>
      <c r="H50" s="191" t="s">
        <v>43</v>
      </c>
      <c r="I50" s="229">
        <v>74.52</v>
      </c>
      <c r="J50" s="229">
        <v>107.65</v>
      </c>
      <c r="K50" s="192" t="s">
        <v>40</v>
      </c>
      <c r="L50" s="193" t="s">
        <v>143</v>
      </c>
      <c r="M50" s="193" t="s">
        <v>143</v>
      </c>
      <c r="N50" s="242">
        <f t="shared" si="1"/>
        <v>0.44457863660762231</v>
      </c>
    </row>
    <row r="51" spans="1:14" s="59" customFormat="1" x14ac:dyDescent="0.35">
      <c r="A51" s="204"/>
      <c r="B51" s="191" t="s">
        <v>3</v>
      </c>
      <c r="C51" s="191" t="str">
        <f t="shared" si="2"/>
        <v>Residential with CL</v>
      </c>
      <c r="D51" s="191" t="s">
        <v>6</v>
      </c>
      <c r="E51" s="191" t="s">
        <v>137</v>
      </c>
      <c r="F51" s="191" t="s">
        <v>15</v>
      </c>
      <c r="G51" s="191" t="s">
        <v>66</v>
      </c>
      <c r="H51" s="191" t="s">
        <v>43</v>
      </c>
      <c r="I51" s="229">
        <v>62.04</v>
      </c>
      <c r="J51" s="229">
        <v>80.28</v>
      </c>
      <c r="K51" s="192" t="s">
        <v>40</v>
      </c>
      <c r="L51" s="193" t="s">
        <v>143</v>
      </c>
      <c r="M51" s="193" t="s">
        <v>143</v>
      </c>
      <c r="N51" s="242">
        <f t="shared" si="1"/>
        <v>0.2940038684719537</v>
      </c>
    </row>
    <row r="52" spans="1:14" s="59" customFormat="1" x14ac:dyDescent="0.35">
      <c r="A52" s="204"/>
      <c r="B52" s="191" t="s">
        <v>3</v>
      </c>
      <c r="C52" s="191" t="str">
        <f t="shared" si="2"/>
        <v>Residential with CL</v>
      </c>
      <c r="D52" s="191" t="s">
        <v>6</v>
      </c>
      <c r="E52" s="191" t="s">
        <v>137</v>
      </c>
      <c r="F52" s="191" t="s">
        <v>16</v>
      </c>
      <c r="G52" s="191" t="s">
        <v>66</v>
      </c>
      <c r="H52" s="191" t="s">
        <v>43</v>
      </c>
      <c r="I52" s="229">
        <v>62.04</v>
      </c>
      <c r="J52" s="229">
        <v>80.28</v>
      </c>
      <c r="K52" s="192" t="s">
        <v>40</v>
      </c>
      <c r="L52" s="193" t="s">
        <v>143</v>
      </c>
      <c r="M52" s="193" t="s">
        <v>143</v>
      </c>
      <c r="N52" s="242">
        <f t="shared" si="1"/>
        <v>0.2940038684719537</v>
      </c>
    </row>
    <row r="53" spans="1:14" s="59" customFormat="1" x14ac:dyDescent="0.35">
      <c r="A53" s="204"/>
      <c r="B53" s="191" t="s">
        <v>3</v>
      </c>
      <c r="C53" s="191" t="str">
        <f t="shared" si="2"/>
        <v>Small business without CL</v>
      </c>
      <c r="D53" s="191" t="s">
        <v>14</v>
      </c>
      <c r="E53" s="191" t="s">
        <v>136</v>
      </c>
      <c r="F53" s="191" t="s">
        <v>21</v>
      </c>
      <c r="G53" s="191" t="s">
        <v>66</v>
      </c>
      <c r="H53" s="191" t="s">
        <v>43</v>
      </c>
      <c r="I53" s="229">
        <v>74.52</v>
      </c>
      <c r="J53" s="229">
        <v>107.65</v>
      </c>
      <c r="K53" s="192" t="s">
        <v>40</v>
      </c>
      <c r="L53" s="193" t="s">
        <v>143</v>
      </c>
      <c r="M53" s="193" t="s">
        <v>143</v>
      </c>
      <c r="N53" s="242">
        <f t="shared" si="1"/>
        <v>0.44457863660762231</v>
      </c>
    </row>
    <row r="54" spans="1:14" s="59" customFormat="1" x14ac:dyDescent="0.35">
      <c r="A54" s="204"/>
      <c r="B54" s="191" t="s">
        <v>3</v>
      </c>
      <c r="C54" s="191" t="str">
        <f t="shared" si="2"/>
        <v>All</v>
      </c>
      <c r="D54" s="191"/>
      <c r="E54" s="191"/>
      <c r="F54" s="191"/>
      <c r="G54" s="191" t="s">
        <v>67</v>
      </c>
      <c r="H54" s="191" t="s">
        <v>43</v>
      </c>
      <c r="I54" s="229">
        <v>0.28000000000000003</v>
      </c>
      <c r="J54" s="229">
        <v>0.34</v>
      </c>
      <c r="K54" s="192" t="s">
        <v>40</v>
      </c>
      <c r="L54" s="193" t="s">
        <v>143</v>
      </c>
      <c r="M54" s="193" t="s">
        <v>143</v>
      </c>
      <c r="N54" s="242">
        <f t="shared" si="1"/>
        <v>0.21428571428571419</v>
      </c>
    </row>
    <row r="55" spans="1:14" s="59" customFormat="1" x14ac:dyDescent="0.35">
      <c r="A55" s="204"/>
      <c r="B55" s="191" t="s">
        <v>3</v>
      </c>
      <c r="C55" s="191" t="str">
        <f t="shared" si="2"/>
        <v>All</v>
      </c>
      <c r="D55" s="191"/>
      <c r="E55" s="191"/>
      <c r="F55" s="191"/>
      <c r="G55" s="191" t="s">
        <v>75</v>
      </c>
      <c r="H55" s="191" t="s">
        <v>43</v>
      </c>
      <c r="I55" s="229">
        <v>0.49</v>
      </c>
      <c r="J55" s="229">
        <v>1.1000000000000001</v>
      </c>
      <c r="K55" s="192" t="s">
        <v>40</v>
      </c>
      <c r="L55" s="193" t="s">
        <v>143</v>
      </c>
      <c r="M55" s="193" t="s">
        <v>143</v>
      </c>
      <c r="N55" s="242">
        <f t="shared" si="1"/>
        <v>1.2448979591836737</v>
      </c>
    </row>
    <row r="56" spans="1:14" s="59" customFormat="1" x14ac:dyDescent="0.35">
      <c r="A56" s="204"/>
      <c r="B56" s="191" t="s">
        <v>3</v>
      </c>
      <c r="C56" s="191" t="str">
        <f t="shared" si="2"/>
        <v>All</v>
      </c>
      <c r="D56" s="191"/>
      <c r="E56" s="191"/>
      <c r="F56" s="191"/>
      <c r="G56" s="191" t="s">
        <v>68</v>
      </c>
      <c r="H56" s="191" t="s">
        <v>43</v>
      </c>
      <c r="I56" s="229">
        <v>0</v>
      </c>
      <c r="J56" s="229">
        <v>0</v>
      </c>
      <c r="K56" s="192" t="s">
        <v>40</v>
      </c>
      <c r="L56" s="193" t="s">
        <v>143</v>
      </c>
      <c r="M56" s="193" t="s">
        <v>143</v>
      </c>
      <c r="N56" s="242" t="str">
        <f t="shared" si="1"/>
        <v/>
      </c>
    </row>
    <row r="57" spans="1:14" s="59" customFormat="1" x14ac:dyDescent="0.35">
      <c r="A57" s="204"/>
      <c r="B57" s="191" t="s">
        <v>3</v>
      </c>
      <c r="C57" s="191" t="str">
        <f t="shared" si="2"/>
        <v>All</v>
      </c>
      <c r="D57" s="191"/>
      <c r="E57" s="191"/>
      <c r="F57" s="191"/>
      <c r="G57" s="191" t="s">
        <v>145</v>
      </c>
      <c r="H57" s="191" t="s">
        <v>43</v>
      </c>
      <c r="I57" s="229">
        <v>1.59</v>
      </c>
      <c r="J57" s="229">
        <v>2.31</v>
      </c>
      <c r="K57" s="192" t="s">
        <v>40</v>
      </c>
      <c r="L57" s="193" t="s">
        <v>143</v>
      </c>
      <c r="M57" s="193" t="s">
        <v>143</v>
      </c>
      <c r="N57" s="242">
        <f t="shared" si="1"/>
        <v>0.45283018867924518</v>
      </c>
    </row>
    <row r="58" spans="1:14" s="59" customFormat="1" x14ac:dyDescent="0.35">
      <c r="A58" s="204"/>
      <c r="B58" s="191" t="s">
        <v>3</v>
      </c>
      <c r="C58" s="191" t="str">
        <f t="shared" si="2"/>
        <v>All</v>
      </c>
      <c r="D58" s="191"/>
      <c r="E58" s="191"/>
      <c r="F58" s="191"/>
      <c r="G58" s="191" t="s">
        <v>70</v>
      </c>
      <c r="H58" s="191" t="s">
        <v>43</v>
      </c>
      <c r="I58" s="229">
        <v>4.22</v>
      </c>
      <c r="J58" s="229">
        <v>5.13</v>
      </c>
      <c r="K58" s="192" t="s">
        <v>40</v>
      </c>
      <c r="L58" s="193" t="s">
        <v>143</v>
      </c>
      <c r="M58" s="193" t="s">
        <v>143</v>
      </c>
      <c r="N58" s="242">
        <f t="shared" si="1"/>
        <v>0.21563981042654023</v>
      </c>
    </row>
    <row r="59" spans="1:14" s="59" customFormat="1" x14ac:dyDescent="0.35">
      <c r="A59" s="204"/>
      <c r="B59" s="191" t="s">
        <v>3</v>
      </c>
      <c r="C59" s="191" t="str">
        <f t="shared" si="2"/>
        <v>All</v>
      </c>
      <c r="D59" s="191"/>
      <c r="E59" s="191"/>
      <c r="F59" s="191"/>
      <c r="G59" s="191" t="s">
        <v>71</v>
      </c>
      <c r="H59" s="191" t="s">
        <v>43</v>
      </c>
      <c r="I59" s="229">
        <v>11.52</v>
      </c>
      <c r="J59" s="229">
        <v>10.9</v>
      </c>
      <c r="K59" s="192" t="s">
        <v>40</v>
      </c>
      <c r="L59" s="193" t="s">
        <v>143</v>
      </c>
      <c r="M59" s="193" t="s">
        <v>143</v>
      </c>
      <c r="N59" s="242">
        <f t="shared" si="1"/>
        <v>-5.381944444444442E-2</v>
      </c>
    </row>
    <row r="60" spans="1:14" s="59" customFormat="1" x14ac:dyDescent="0.35">
      <c r="A60" s="204"/>
      <c r="B60" s="191" t="s">
        <v>3</v>
      </c>
      <c r="C60" s="191" t="str">
        <f t="shared" si="2"/>
        <v>All</v>
      </c>
      <c r="D60" s="191"/>
      <c r="E60" s="191"/>
      <c r="F60" s="191"/>
      <c r="G60" s="191" t="s">
        <v>72</v>
      </c>
      <c r="H60" s="191" t="s">
        <v>43</v>
      </c>
      <c r="I60" s="229">
        <v>2.48</v>
      </c>
      <c r="J60" s="229">
        <v>3.39</v>
      </c>
      <c r="K60" s="192" t="s">
        <v>40</v>
      </c>
      <c r="L60" s="193" t="s">
        <v>143</v>
      </c>
      <c r="M60" s="193" t="s">
        <v>143</v>
      </c>
      <c r="N60" s="242">
        <f t="shared" si="1"/>
        <v>0.36693548387096775</v>
      </c>
    </row>
    <row r="61" spans="1:14" s="59" customFormat="1" x14ac:dyDescent="0.35">
      <c r="A61" s="204"/>
      <c r="B61" s="191" t="s">
        <v>3</v>
      </c>
      <c r="C61" s="191" t="str">
        <f t="shared" ref="C61" si="12">IF(D61="","All",D61&amp;" "&amp;E61)</f>
        <v>All</v>
      </c>
      <c r="D61" s="191"/>
      <c r="E61" s="191"/>
      <c r="F61" s="191"/>
      <c r="G61" s="191" t="s">
        <v>187</v>
      </c>
      <c r="H61" s="191" t="s">
        <v>43</v>
      </c>
      <c r="I61" s="229">
        <v>0</v>
      </c>
      <c r="J61" s="229">
        <v>0.22</v>
      </c>
      <c r="K61" s="192" t="s">
        <v>40</v>
      </c>
      <c r="L61" s="193" t="s">
        <v>143</v>
      </c>
      <c r="M61" s="193" t="s">
        <v>143</v>
      </c>
      <c r="N61" s="242" t="str">
        <f t="shared" si="1"/>
        <v/>
      </c>
    </row>
    <row r="62" spans="1:14" s="59" customFormat="1" x14ac:dyDescent="0.35">
      <c r="A62" s="204"/>
      <c r="B62" s="191" t="s">
        <v>3</v>
      </c>
      <c r="C62" s="191" t="str">
        <f t="shared" si="2"/>
        <v>Residential without CL</v>
      </c>
      <c r="D62" s="191" t="s">
        <v>6</v>
      </c>
      <c r="E62" s="191" t="s">
        <v>136</v>
      </c>
      <c r="F62" s="191" t="s">
        <v>21</v>
      </c>
      <c r="G62" s="191" t="s">
        <v>69</v>
      </c>
      <c r="H62" s="191" t="s">
        <v>43</v>
      </c>
      <c r="I62" s="296">
        <v>4.4999999999999998E-2</v>
      </c>
      <c r="J62" s="296">
        <v>4.1000000000000002E-2</v>
      </c>
      <c r="K62" s="192" t="s">
        <v>29</v>
      </c>
      <c r="L62" s="193" t="s">
        <v>143</v>
      </c>
      <c r="M62" s="193" t="s">
        <v>143</v>
      </c>
      <c r="N62" s="242">
        <f t="shared" si="1"/>
        <v>-3.9999999999999966E-3</v>
      </c>
    </row>
    <row r="63" spans="1:14" s="59" customFormat="1" x14ac:dyDescent="0.35">
      <c r="A63" s="204"/>
      <c r="B63" s="191" t="s">
        <v>3</v>
      </c>
      <c r="C63" s="191" t="str">
        <f>IF(D63="","All",D63&amp;" "&amp;E63)</f>
        <v>Residential with CL</v>
      </c>
      <c r="D63" s="191" t="s">
        <v>6</v>
      </c>
      <c r="E63" s="191" t="s">
        <v>137</v>
      </c>
      <c r="F63" s="191" t="s">
        <v>15</v>
      </c>
      <c r="G63" s="191" t="s">
        <v>69</v>
      </c>
      <c r="H63" s="191" t="s">
        <v>43</v>
      </c>
      <c r="I63" s="296">
        <v>4.4999999999999998E-2</v>
      </c>
      <c r="J63" s="296">
        <v>4.1000000000000002E-2</v>
      </c>
      <c r="K63" s="192" t="s">
        <v>29</v>
      </c>
      <c r="L63" s="193" t="s">
        <v>143</v>
      </c>
      <c r="M63" s="193" t="s">
        <v>143</v>
      </c>
      <c r="N63" s="242">
        <f t="shared" si="1"/>
        <v>-3.9999999999999966E-3</v>
      </c>
    </row>
    <row r="64" spans="1:14" s="59" customFormat="1" x14ac:dyDescent="0.35">
      <c r="A64" s="204"/>
      <c r="B64" s="191" t="s">
        <v>3</v>
      </c>
      <c r="C64" s="191" t="str">
        <f>IF(D64="","All",D64&amp;" "&amp;E64)</f>
        <v>Residential with CL</v>
      </c>
      <c r="D64" s="191" t="s">
        <v>6</v>
      </c>
      <c r="E64" s="191" t="s">
        <v>137</v>
      </c>
      <c r="F64" s="191" t="s">
        <v>16</v>
      </c>
      <c r="G64" s="191" t="s">
        <v>69</v>
      </c>
      <c r="H64" s="191" t="s">
        <v>43</v>
      </c>
      <c r="I64" s="296">
        <v>4.4999999999999998E-2</v>
      </c>
      <c r="J64" s="296">
        <v>4.1000000000000002E-2</v>
      </c>
      <c r="K64" s="192" t="s">
        <v>29</v>
      </c>
      <c r="L64" s="193" t="s">
        <v>143</v>
      </c>
      <c r="M64" s="193" t="s">
        <v>143</v>
      </c>
      <c r="N64" s="242">
        <f t="shared" si="1"/>
        <v>-3.9999999999999966E-3</v>
      </c>
    </row>
    <row r="65" spans="1:14" s="59" customFormat="1" x14ac:dyDescent="0.35">
      <c r="A65" s="204"/>
      <c r="B65" s="191" t="s">
        <v>3</v>
      </c>
      <c r="C65" s="191" t="str">
        <f>IF(D65="","All",D65&amp;" "&amp;E65)</f>
        <v>Small business without CL</v>
      </c>
      <c r="D65" s="191" t="s">
        <v>14</v>
      </c>
      <c r="E65" s="191" t="s">
        <v>136</v>
      </c>
      <c r="F65" s="191" t="s">
        <v>21</v>
      </c>
      <c r="G65" s="191" t="s">
        <v>69</v>
      </c>
      <c r="H65" s="191" t="s">
        <v>43</v>
      </c>
      <c r="I65" s="296">
        <v>4.4999999999999998E-2</v>
      </c>
      <c r="J65" s="296">
        <v>4.1000000000000002E-2</v>
      </c>
      <c r="K65" s="192" t="s">
        <v>29</v>
      </c>
      <c r="L65" s="193" t="s">
        <v>143</v>
      </c>
      <c r="M65" s="193" t="s">
        <v>143</v>
      </c>
      <c r="N65" s="242">
        <f t="shared" si="1"/>
        <v>-3.9999999999999966E-3</v>
      </c>
    </row>
    <row r="66" spans="1:14" s="59" customFormat="1" x14ac:dyDescent="0.35">
      <c r="A66" s="204"/>
      <c r="B66" s="191" t="s">
        <v>3</v>
      </c>
      <c r="C66" s="191" t="s">
        <v>150</v>
      </c>
      <c r="D66" s="191" t="s">
        <v>6</v>
      </c>
      <c r="E66" s="191"/>
      <c r="F66" s="191"/>
      <c r="G66" s="191" t="s">
        <v>190</v>
      </c>
      <c r="H66" s="191" t="s">
        <v>42</v>
      </c>
      <c r="I66" s="287" t="s">
        <v>56</v>
      </c>
      <c r="J66" s="287">
        <v>132</v>
      </c>
      <c r="K66" s="192" t="s">
        <v>64</v>
      </c>
      <c r="L66" s="193" t="s">
        <v>56</v>
      </c>
      <c r="M66" s="193" t="s">
        <v>201</v>
      </c>
      <c r="N66" s="242" t="str">
        <f t="shared" si="1"/>
        <v/>
      </c>
    </row>
    <row r="67" spans="1:14" s="59" customFormat="1" x14ac:dyDescent="0.35">
      <c r="A67" s="204"/>
      <c r="B67" s="191" t="s">
        <v>3</v>
      </c>
      <c r="C67" s="191" t="s">
        <v>151</v>
      </c>
      <c r="D67" s="191" t="s">
        <v>6</v>
      </c>
      <c r="E67" s="191"/>
      <c r="F67" s="191"/>
      <c r="G67" s="191" t="s">
        <v>190</v>
      </c>
      <c r="H67" s="191" t="s">
        <v>42</v>
      </c>
      <c r="I67" s="287" t="s">
        <v>56</v>
      </c>
      <c r="J67" s="287">
        <v>132</v>
      </c>
      <c r="K67" s="192" t="s">
        <v>64</v>
      </c>
      <c r="L67" s="193" t="s">
        <v>56</v>
      </c>
      <c r="M67" s="193" t="s">
        <v>201</v>
      </c>
      <c r="N67" s="242" t="str">
        <f t="shared" si="1"/>
        <v/>
      </c>
    </row>
    <row r="68" spans="1:14" s="59" customFormat="1" ht="15" customHeight="1" x14ac:dyDescent="0.35">
      <c r="A68" s="204"/>
      <c r="B68" s="191" t="s">
        <v>3</v>
      </c>
      <c r="C68" s="191" t="s">
        <v>152</v>
      </c>
      <c r="D68" s="191" t="s">
        <v>14</v>
      </c>
      <c r="E68" s="191"/>
      <c r="F68" s="191"/>
      <c r="G68" s="191" t="s">
        <v>190</v>
      </c>
      <c r="H68" s="191" t="s">
        <v>42</v>
      </c>
      <c r="I68" s="287" t="s">
        <v>56</v>
      </c>
      <c r="J68" s="287">
        <v>204</v>
      </c>
      <c r="K68" s="192" t="s">
        <v>64</v>
      </c>
      <c r="L68" s="193" t="s">
        <v>56</v>
      </c>
      <c r="M68" s="203" t="s">
        <v>204</v>
      </c>
      <c r="N68" s="242" t="str">
        <f t="shared" si="1"/>
        <v/>
      </c>
    </row>
    <row r="69" spans="1:14" s="59" customFormat="1" x14ac:dyDescent="0.35">
      <c r="A69" s="204"/>
      <c r="B69" s="191" t="s">
        <v>3</v>
      </c>
      <c r="C69" s="191" t="s">
        <v>150</v>
      </c>
      <c r="D69" s="191" t="s">
        <v>6</v>
      </c>
      <c r="E69" s="191"/>
      <c r="F69" s="191"/>
      <c r="G69" s="191" t="s">
        <v>191</v>
      </c>
      <c r="H69" s="191" t="s">
        <v>42</v>
      </c>
      <c r="I69" s="287" t="s">
        <v>56</v>
      </c>
      <c r="J69" s="287">
        <v>18.03</v>
      </c>
      <c r="K69" s="192" t="s">
        <v>64</v>
      </c>
      <c r="L69" s="193" t="s">
        <v>56</v>
      </c>
      <c r="M69" s="193" t="s">
        <v>202</v>
      </c>
      <c r="N69" s="242" t="str">
        <f t="shared" si="1"/>
        <v/>
      </c>
    </row>
    <row r="70" spans="1:14" s="59" customFormat="1" x14ac:dyDescent="0.35">
      <c r="A70" s="204"/>
      <c r="B70" s="191" t="s">
        <v>3</v>
      </c>
      <c r="C70" s="191" t="s">
        <v>151</v>
      </c>
      <c r="D70" s="191" t="s">
        <v>6</v>
      </c>
      <c r="E70" s="191"/>
      <c r="F70" s="191"/>
      <c r="G70" s="191" t="s">
        <v>191</v>
      </c>
      <c r="H70" s="191" t="s">
        <v>42</v>
      </c>
      <c r="I70" s="287" t="s">
        <v>56</v>
      </c>
      <c r="J70" s="287">
        <v>18.03</v>
      </c>
      <c r="K70" s="192" t="s">
        <v>64</v>
      </c>
      <c r="L70" s="193" t="s">
        <v>56</v>
      </c>
      <c r="M70" s="193" t="s">
        <v>202</v>
      </c>
      <c r="N70" s="242" t="str">
        <f t="shared" si="1"/>
        <v/>
      </c>
    </row>
    <row r="71" spans="1:14" s="59" customFormat="1" x14ac:dyDescent="0.35">
      <c r="A71" s="204"/>
      <c r="B71" s="191" t="s">
        <v>3</v>
      </c>
      <c r="C71" s="191" t="s">
        <v>152</v>
      </c>
      <c r="D71" s="191" t="s">
        <v>14</v>
      </c>
      <c r="E71" s="191"/>
      <c r="F71" s="191"/>
      <c r="G71" s="191" t="s">
        <v>191</v>
      </c>
      <c r="H71" s="191" t="s">
        <v>42</v>
      </c>
      <c r="I71" s="287" t="s">
        <v>56</v>
      </c>
      <c r="J71" s="287">
        <v>3.87</v>
      </c>
      <c r="K71" s="192" t="s">
        <v>64</v>
      </c>
      <c r="L71" s="193" t="s">
        <v>56</v>
      </c>
      <c r="M71" s="193" t="s">
        <v>202</v>
      </c>
      <c r="N71" s="242" t="str">
        <f t="shared" si="1"/>
        <v/>
      </c>
    </row>
    <row r="72" spans="1:14" s="59" customFormat="1" x14ac:dyDescent="0.35">
      <c r="A72" s="204"/>
      <c r="B72" s="191" t="s">
        <v>3</v>
      </c>
      <c r="C72" s="191" t="str">
        <f t="shared" ref="C72" si="13">IF(D72="","All",D72&amp;" "&amp;E72)</f>
        <v>All</v>
      </c>
      <c r="D72" s="191"/>
      <c r="E72" s="191"/>
      <c r="F72" s="191"/>
      <c r="G72" s="191" t="s">
        <v>192</v>
      </c>
      <c r="H72" s="191" t="s">
        <v>42</v>
      </c>
      <c r="I72" s="287" t="s">
        <v>56</v>
      </c>
      <c r="J72" s="287">
        <v>25.714884256834605</v>
      </c>
      <c r="K72" s="192" t="s">
        <v>64</v>
      </c>
      <c r="L72" s="193" t="s">
        <v>56</v>
      </c>
      <c r="M72" s="193" t="s">
        <v>203</v>
      </c>
      <c r="N72" s="242" t="str">
        <f t="shared" si="1"/>
        <v/>
      </c>
    </row>
    <row r="73" spans="1:14" s="59" customFormat="1" x14ac:dyDescent="0.35">
      <c r="A73" s="204"/>
      <c r="B73" s="191" t="s">
        <v>0</v>
      </c>
      <c r="C73" s="191" t="str">
        <f t="shared" si="2"/>
        <v>Residential without CL</v>
      </c>
      <c r="D73" s="191" t="s">
        <v>6</v>
      </c>
      <c r="E73" s="191" t="s">
        <v>136</v>
      </c>
      <c r="F73" s="191" t="s">
        <v>21</v>
      </c>
      <c r="G73" s="191" t="s">
        <v>66</v>
      </c>
      <c r="H73" s="191" t="s">
        <v>43</v>
      </c>
      <c r="I73" s="229">
        <v>67.010000000000005</v>
      </c>
      <c r="J73" s="229">
        <v>97.45</v>
      </c>
      <c r="K73" s="192" t="s">
        <v>40</v>
      </c>
      <c r="L73" s="193" t="s">
        <v>143</v>
      </c>
      <c r="M73" s="193" t="s">
        <v>143</v>
      </c>
      <c r="N73" s="242">
        <f t="shared" si="1"/>
        <v>0.45426055812565291</v>
      </c>
    </row>
    <row r="74" spans="1:14" s="59" customFormat="1" x14ac:dyDescent="0.35">
      <c r="A74" s="204"/>
      <c r="B74" s="191" t="s">
        <v>0</v>
      </c>
      <c r="C74" s="191" t="str">
        <f t="shared" si="2"/>
        <v>Residential with CL</v>
      </c>
      <c r="D74" s="191" t="s">
        <v>6</v>
      </c>
      <c r="E74" s="191" t="s">
        <v>137</v>
      </c>
      <c r="F74" s="191" t="s">
        <v>15</v>
      </c>
      <c r="G74" s="191" t="s">
        <v>66</v>
      </c>
      <c r="H74" s="191" t="s">
        <v>43</v>
      </c>
      <c r="I74" s="229">
        <v>52.73</v>
      </c>
      <c r="J74" s="229">
        <v>75.069999999999993</v>
      </c>
      <c r="K74" s="192" t="s">
        <v>40</v>
      </c>
      <c r="L74" s="193" t="s">
        <v>143</v>
      </c>
      <c r="M74" s="193" t="s">
        <v>143</v>
      </c>
      <c r="N74" s="242">
        <f t="shared" si="1"/>
        <v>0.42366774132372464</v>
      </c>
    </row>
    <row r="75" spans="1:14" s="59" customFormat="1" x14ac:dyDescent="0.35">
      <c r="A75" s="204"/>
      <c r="B75" s="191" t="s">
        <v>0</v>
      </c>
      <c r="C75" s="191" t="str">
        <f t="shared" si="2"/>
        <v>Residential with CL</v>
      </c>
      <c r="D75" s="191" t="s">
        <v>6</v>
      </c>
      <c r="E75" s="191" t="s">
        <v>137</v>
      </c>
      <c r="F75" s="191" t="s">
        <v>16</v>
      </c>
      <c r="G75" s="191" t="s">
        <v>66</v>
      </c>
      <c r="H75" s="191" t="s">
        <v>43</v>
      </c>
      <c r="I75" s="229">
        <v>54.93</v>
      </c>
      <c r="J75" s="229">
        <v>81.459999999999994</v>
      </c>
      <c r="K75" s="192" t="s">
        <v>40</v>
      </c>
      <c r="L75" s="193" t="s">
        <v>143</v>
      </c>
      <c r="M75" s="193" t="s">
        <v>143</v>
      </c>
      <c r="N75" s="242">
        <f t="shared" si="1"/>
        <v>0.48297833606408136</v>
      </c>
    </row>
    <row r="76" spans="1:14" s="59" customFormat="1" x14ac:dyDescent="0.35">
      <c r="A76" s="204"/>
      <c r="B76" s="191" t="s">
        <v>0</v>
      </c>
      <c r="C76" s="191" t="str">
        <f t="shared" si="2"/>
        <v>Small business without CL</v>
      </c>
      <c r="D76" s="191" t="s">
        <v>14</v>
      </c>
      <c r="E76" s="191" t="s">
        <v>136</v>
      </c>
      <c r="F76" s="191" t="s">
        <v>21</v>
      </c>
      <c r="G76" s="191" t="s">
        <v>66</v>
      </c>
      <c r="H76" s="191" t="s">
        <v>43</v>
      </c>
      <c r="I76" s="229">
        <v>67.010000000000005</v>
      </c>
      <c r="J76" s="229">
        <v>97.45</v>
      </c>
      <c r="K76" s="192" t="s">
        <v>40</v>
      </c>
      <c r="L76" s="193" t="s">
        <v>143</v>
      </c>
      <c r="M76" s="193" t="s">
        <v>143</v>
      </c>
      <c r="N76" s="242">
        <f t="shared" si="1"/>
        <v>0.45426055812565291</v>
      </c>
    </row>
    <row r="77" spans="1:14" s="59" customFormat="1" x14ac:dyDescent="0.35">
      <c r="A77" s="204"/>
      <c r="B77" s="191" t="s">
        <v>0</v>
      </c>
      <c r="C77" s="191" t="str">
        <f t="shared" si="2"/>
        <v>All</v>
      </c>
      <c r="D77" s="191"/>
      <c r="E77" s="191"/>
      <c r="F77" s="191"/>
      <c r="G77" s="191" t="s">
        <v>67</v>
      </c>
      <c r="H77" s="191" t="s">
        <v>43</v>
      </c>
      <c r="I77" s="229">
        <v>0.42</v>
      </c>
      <c r="J77" s="229">
        <v>1.42</v>
      </c>
      <c r="K77" s="192" t="s">
        <v>40</v>
      </c>
      <c r="L77" s="193" t="s">
        <v>143</v>
      </c>
      <c r="M77" s="193" t="s">
        <v>143</v>
      </c>
      <c r="N77" s="242">
        <f t="shared" si="1"/>
        <v>2.3809523809523809</v>
      </c>
    </row>
    <row r="78" spans="1:14" s="59" customFormat="1" x14ac:dyDescent="0.35">
      <c r="A78" s="204"/>
      <c r="B78" s="191" t="s">
        <v>0</v>
      </c>
      <c r="C78" s="191" t="str">
        <f t="shared" si="2"/>
        <v>All</v>
      </c>
      <c r="D78" s="191"/>
      <c r="E78" s="191"/>
      <c r="F78" s="191"/>
      <c r="G78" s="191" t="s">
        <v>75</v>
      </c>
      <c r="H78" s="191" t="s">
        <v>43</v>
      </c>
      <c r="I78" s="229">
        <v>0.49</v>
      </c>
      <c r="J78" s="229">
        <v>1.1000000000000001</v>
      </c>
      <c r="K78" s="192" t="s">
        <v>40</v>
      </c>
      <c r="L78" s="193" t="s">
        <v>143</v>
      </c>
      <c r="M78" s="193" t="s">
        <v>143</v>
      </c>
      <c r="N78" s="242">
        <f t="shared" si="1"/>
        <v>1.2448979591836737</v>
      </c>
    </row>
    <row r="79" spans="1:14" s="59" customFormat="1" x14ac:dyDescent="0.35">
      <c r="A79" s="204"/>
      <c r="B79" s="191" t="s">
        <v>0</v>
      </c>
      <c r="C79" s="191" t="str">
        <f t="shared" si="2"/>
        <v>All</v>
      </c>
      <c r="D79" s="191"/>
      <c r="E79" s="191"/>
      <c r="F79" s="191"/>
      <c r="G79" s="191" t="s">
        <v>68</v>
      </c>
      <c r="H79" s="191" t="s">
        <v>43</v>
      </c>
      <c r="I79" s="229">
        <v>0</v>
      </c>
      <c r="J79" s="229">
        <v>1.01</v>
      </c>
      <c r="K79" s="192" t="s">
        <v>40</v>
      </c>
      <c r="L79" s="193" t="s">
        <v>143</v>
      </c>
      <c r="M79" s="193" t="s">
        <v>143</v>
      </c>
      <c r="N79" s="242" t="str">
        <f t="shared" si="1"/>
        <v/>
      </c>
    </row>
    <row r="80" spans="1:14" s="59" customFormat="1" x14ac:dyDescent="0.35">
      <c r="A80" s="204"/>
      <c r="B80" s="191" t="s">
        <v>0</v>
      </c>
      <c r="C80" s="191" t="str">
        <f t="shared" si="2"/>
        <v>All</v>
      </c>
      <c r="D80" s="191"/>
      <c r="E80" s="191"/>
      <c r="F80" s="191"/>
      <c r="G80" s="191" t="s">
        <v>145</v>
      </c>
      <c r="H80" s="191" t="s">
        <v>43</v>
      </c>
      <c r="I80" s="229">
        <v>1.66</v>
      </c>
      <c r="J80" s="229">
        <v>2.61</v>
      </c>
      <c r="K80" s="192" t="s">
        <v>40</v>
      </c>
      <c r="L80" s="193" t="s">
        <v>143</v>
      </c>
      <c r="M80" s="193" t="s">
        <v>143</v>
      </c>
      <c r="N80" s="242">
        <f t="shared" si="1"/>
        <v>0.57228915662650603</v>
      </c>
    </row>
    <row r="81" spans="1:14" s="59" customFormat="1" x14ac:dyDescent="0.35">
      <c r="A81" s="204"/>
      <c r="B81" s="191" t="s">
        <v>0</v>
      </c>
      <c r="C81" s="191" t="str">
        <f t="shared" si="2"/>
        <v>All</v>
      </c>
      <c r="D81" s="191"/>
      <c r="E81" s="191"/>
      <c r="F81" s="191"/>
      <c r="G81" s="191" t="s">
        <v>70</v>
      </c>
      <c r="H81" s="191" t="s">
        <v>43</v>
      </c>
      <c r="I81" s="229">
        <v>4.22</v>
      </c>
      <c r="J81" s="229">
        <v>5.13</v>
      </c>
      <c r="K81" s="192" t="s">
        <v>40</v>
      </c>
      <c r="L81" s="193" t="s">
        <v>143</v>
      </c>
      <c r="M81" s="193" t="s">
        <v>143</v>
      </c>
      <c r="N81" s="242">
        <f t="shared" si="1"/>
        <v>0.21563981042654023</v>
      </c>
    </row>
    <row r="82" spans="1:14" s="59" customFormat="1" x14ac:dyDescent="0.35">
      <c r="A82" s="204"/>
      <c r="B82" s="191" t="s">
        <v>0</v>
      </c>
      <c r="C82" s="191" t="str">
        <f t="shared" si="2"/>
        <v>All</v>
      </c>
      <c r="D82" s="191"/>
      <c r="E82" s="191"/>
      <c r="F82" s="191"/>
      <c r="G82" s="191" t="s">
        <v>71</v>
      </c>
      <c r="H82" s="191" t="s">
        <v>43</v>
      </c>
      <c r="I82" s="229">
        <v>11.52</v>
      </c>
      <c r="J82" s="229">
        <v>10.9</v>
      </c>
      <c r="K82" s="192" t="s">
        <v>40</v>
      </c>
      <c r="L82" s="193" t="s">
        <v>143</v>
      </c>
      <c r="M82" s="193" t="s">
        <v>143</v>
      </c>
      <c r="N82" s="242">
        <f t="shared" si="1"/>
        <v>-5.381944444444442E-2</v>
      </c>
    </row>
    <row r="83" spans="1:14" s="59" customFormat="1" x14ac:dyDescent="0.35">
      <c r="A83" s="204"/>
      <c r="B83" s="191" t="s">
        <v>0</v>
      </c>
      <c r="C83" s="191" t="str">
        <f t="shared" si="2"/>
        <v>Residential without CL</v>
      </c>
      <c r="D83" s="191" t="s">
        <v>6</v>
      </c>
      <c r="E83" s="191" t="s">
        <v>136</v>
      </c>
      <c r="F83" s="191" t="s">
        <v>21</v>
      </c>
      <c r="G83" s="191" t="s">
        <v>69</v>
      </c>
      <c r="H83" s="191" t="s">
        <v>43</v>
      </c>
      <c r="I83" s="296">
        <v>6.4000000000000001E-2</v>
      </c>
      <c r="J83" s="296">
        <v>6.7000000000000004E-2</v>
      </c>
      <c r="K83" s="192" t="s">
        <v>29</v>
      </c>
      <c r="L83" s="193" t="s">
        <v>143</v>
      </c>
      <c r="M83" s="193" t="s">
        <v>143</v>
      </c>
      <c r="N83" s="242">
        <f t="shared" si="1"/>
        <v>3.0000000000000027E-3</v>
      </c>
    </row>
    <row r="84" spans="1:14" s="59" customFormat="1" x14ac:dyDescent="0.35">
      <c r="A84" s="204"/>
      <c r="B84" s="191" t="s">
        <v>0</v>
      </c>
      <c r="C84" s="191" t="str">
        <f>IF(D84="","All",D84&amp;" "&amp;E84)</f>
        <v>Residential with CL</v>
      </c>
      <c r="D84" s="191" t="s">
        <v>6</v>
      </c>
      <c r="E84" s="191" t="s">
        <v>137</v>
      </c>
      <c r="F84" s="191" t="s">
        <v>15</v>
      </c>
      <c r="G84" s="191" t="s">
        <v>69</v>
      </c>
      <c r="H84" s="191" t="s">
        <v>43</v>
      </c>
      <c r="I84" s="296">
        <v>6.4000000000000001E-2</v>
      </c>
      <c r="J84" s="296">
        <v>6.7000000000000004E-2</v>
      </c>
      <c r="K84" s="192" t="s">
        <v>29</v>
      </c>
      <c r="L84" s="193" t="s">
        <v>143</v>
      </c>
      <c r="M84" s="193" t="s">
        <v>143</v>
      </c>
      <c r="N84" s="242">
        <f t="shared" si="1"/>
        <v>3.0000000000000027E-3</v>
      </c>
    </row>
    <row r="85" spans="1:14" s="59" customFormat="1" x14ac:dyDescent="0.35">
      <c r="A85" s="204"/>
      <c r="B85" s="191" t="s">
        <v>0</v>
      </c>
      <c r="C85" s="191" t="str">
        <f>IF(D85="","All",D85&amp;" "&amp;E85)</f>
        <v>Residential with CL</v>
      </c>
      <c r="D85" s="191" t="s">
        <v>6</v>
      </c>
      <c r="E85" s="191" t="s">
        <v>137</v>
      </c>
      <c r="F85" s="191" t="s">
        <v>16</v>
      </c>
      <c r="G85" s="191" t="s">
        <v>69</v>
      </c>
      <c r="H85" s="191" t="s">
        <v>43</v>
      </c>
      <c r="I85" s="296">
        <v>6.4000000000000001E-2</v>
      </c>
      <c r="J85" s="296">
        <v>6.7000000000000004E-2</v>
      </c>
      <c r="K85" s="192" t="s">
        <v>29</v>
      </c>
      <c r="L85" s="193" t="s">
        <v>143</v>
      </c>
      <c r="M85" s="193" t="s">
        <v>143</v>
      </c>
      <c r="N85" s="242">
        <f t="shared" si="1"/>
        <v>3.0000000000000027E-3</v>
      </c>
    </row>
    <row r="86" spans="1:14" s="59" customFormat="1" x14ac:dyDescent="0.35">
      <c r="A86" s="204"/>
      <c r="B86" s="191" t="s">
        <v>0</v>
      </c>
      <c r="C86" s="191" t="str">
        <f>IF(D86="","All",D86&amp;" "&amp;E86)</f>
        <v>Small business without CL</v>
      </c>
      <c r="D86" s="191" t="s">
        <v>14</v>
      </c>
      <c r="E86" s="191" t="s">
        <v>136</v>
      </c>
      <c r="F86" s="191" t="s">
        <v>21</v>
      </c>
      <c r="G86" s="191" t="s">
        <v>69</v>
      </c>
      <c r="H86" s="191" t="s">
        <v>43</v>
      </c>
      <c r="I86" s="296">
        <v>6.4000000000000001E-2</v>
      </c>
      <c r="J86" s="296">
        <v>6.7000000000000004E-2</v>
      </c>
      <c r="K86" s="192" t="s">
        <v>29</v>
      </c>
      <c r="L86" s="193" t="s">
        <v>143</v>
      </c>
      <c r="M86" s="193" t="s">
        <v>143</v>
      </c>
      <c r="N86" s="242">
        <f t="shared" si="1"/>
        <v>3.0000000000000027E-3</v>
      </c>
    </row>
    <row r="87" spans="1:14" s="59" customFormat="1" x14ac:dyDescent="0.35">
      <c r="A87" s="204"/>
      <c r="B87" s="191" t="s">
        <v>0</v>
      </c>
      <c r="C87" s="191" t="s">
        <v>150</v>
      </c>
      <c r="D87" s="191" t="s">
        <v>6</v>
      </c>
      <c r="E87" s="191"/>
      <c r="F87" s="191"/>
      <c r="G87" s="191" t="s">
        <v>190</v>
      </c>
      <c r="H87" s="191" t="s">
        <v>42</v>
      </c>
      <c r="I87" s="287" t="s">
        <v>56</v>
      </c>
      <c r="J87" s="229">
        <v>132</v>
      </c>
      <c r="K87" s="192" t="s">
        <v>64</v>
      </c>
      <c r="L87" s="193" t="s">
        <v>56</v>
      </c>
      <c r="M87" s="193" t="s">
        <v>201</v>
      </c>
      <c r="N87" s="242" t="str">
        <f t="shared" si="1"/>
        <v/>
      </c>
    </row>
    <row r="88" spans="1:14" s="59" customFormat="1" x14ac:dyDescent="0.35">
      <c r="A88" s="204"/>
      <c r="B88" s="191" t="s">
        <v>0</v>
      </c>
      <c r="C88" s="191" t="s">
        <v>151</v>
      </c>
      <c r="D88" s="191" t="s">
        <v>6</v>
      </c>
      <c r="E88" s="191"/>
      <c r="F88" s="191"/>
      <c r="G88" s="191" t="s">
        <v>190</v>
      </c>
      <c r="H88" s="191" t="s">
        <v>42</v>
      </c>
      <c r="I88" s="287" t="s">
        <v>56</v>
      </c>
      <c r="J88" s="229">
        <v>132</v>
      </c>
      <c r="K88" s="192" t="s">
        <v>64</v>
      </c>
      <c r="L88" s="193" t="s">
        <v>56</v>
      </c>
      <c r="M88" s="193" t="s">
        <v>201</v>
      </c>
      <c r="N88" s="242" t="str">
        <f t="shared" si="1"/>
        <v/>
      </c>
    </row>
    <row r="89" spans="1:14" s="59" customFormat="1" ht="15" customHeight="1" x14ac:dyDescent="0.35">
      <c r="A89" s="204"/>
      <c r="B89" s="191" t="s">
        <v>0</v>
      </c>
      <c r="C89" s="191" t="s">
        <v>152</v>
      </c>
      <c r="D89" s="191" t="s">
        <v>14</v>
      </c>
      <c r="E89" s="191"/>
      <c r="F89" s="191"/>
      <c r="G89" s="191" t="s">
        <v>190</v>
      </c>
      <c r="H89" s="191" t="s">
        <v>42</v>
      </c>
      <c r="I89" s="287" t="s">
        <v>56</v>
      </c>
      <c r="J89" s="229">
        <v>153</v>
      </c>
      <c r="K89" s="192" t="s">
        <v>64</v>
      </c>
      <c r="L89" s="193" t="s">
        <v>56</v>
      </c>
      <c r="M89" s="203" t="s">
        <v>205</v>
      </c>
      <c r="N89" s="242" t="str">
        <f t="shared" si="1"/>
        <v/>
      </c>
    </row>
    <row r="90" spans="1:14" s="59" customFormat="1" x14ac:dyDescent="0.35">
      <c r="A90" s="204"/>
      <c r="B90" s="191" t="s">
        <v>0</v>
      </c>
      <c r="C90" s="191" t="s">
        <v>150</v>
      </c>
      <c r="D90" s="191" t="s">
        <v>6</v>
      </c>
      <c r="E90" s="191"/>
      <c r="F90" s="191"/>
      <c r="G90" s="191" t="s">
        <v>191</v>
      </c>
      <c r="H90" s="191" t="s">
        <v>42</v>
      </c>
      <c r="I90" s="287" t="s">
        <v>56</v>
      </c>
      <c r="J90" s="229">
        <v>17.010000000000002</v>
      </c>
      <c r="K90" s="192" t="s">
        <v>64</v>
      </c>
      <c r="L90" s="193" t="s">
        <v>56</v>
      </c>
      <c r="M90" s="193" t="s">
        <v>202</v>
      </c>
      <c r="N90" s="242" t="str">
        <f t="shared" si="1"/>
        <v/>
      </c>
    </row>
    <row r="91" spans="1:14" s="59" customFormat="1" x14ac:dyDescent="0.35">
      <c r="A91" s="204"/>
      <c r="B91" s="191" t="s">
        <v>0</v>
      </c>
      <c r="C91" s="191" t="s">
        <v>151</v>
      </c>
      <c r="D91" s="191" t="s">
        <v>6</v>
      </c>
      <c r="E91" s="191"/>
      <c r="F91" s="191"/>
      <c r="G91" s="191" t="s">
        <v>191</v>
      </c>
      <c r="H91" s="191" t="s">
        <v>42</v>
      </c>
      <c r="I91" s="287" t="s">
        <v>56</v>
      </c>
      <c r="J91" s="229">
        <v>17.010000000000002</v>
      </c>
      <c r="K91" s="192" t="s">
        <v>64</v>
      </c>
      <c r="L91" s="193" t="s">
        <v>56</v>
      </c>
      <c r="M91" s="193" t="s">
        <v>202</v>
      </c>
      <c r="N91" s="242" t="str">
        <f t="shared" si="1"/>
        <v/>
      </c>
    </row>
    <row r="92" spans="1:14" s="59" customFormat="1" x14ac:dyDescent="0.35">
      <c r="A92" s="204"/>
      <c r="B92" s="191" t="s">
        <v>0</v>
      </c>
      <c r="C92" s="191" t="s">
        <v>152</v>
      </c>
      <c r="D92" s="191" t="s">
        <v>14</v>
      </c>
      <c r="E92" s="191"/>
      <c r="F92" s="191"/>
      <c r="G92" s="191" t="s">
        <v>191</v>
      </c>
      <c r="H92" s="191" t="s">
        <v>42</v>
      </c>
      <c r="I92" s="287" t="s">
        <v>56</v>
      </c>
      <c r="J92" s="229">
        <v>16.29</v>
      </c>
      <c r="K92" s="192" t="s">
        <v>64</v>
      </c>
      <c r="L92" s="193" t="s">
        <v>56</v>
      </c>
      <c r="M92" s="193" t="s">
        <v>202</v>
      </c>
      <c r="N92" s="242" t="str">
        <f t="shared" si="1"/>
        <v/>
      </c>
    </row>
    <row r="93" spans="1:14" s="59" customFormat="1" x14ac:dyDescent="0.35">
      <c r="A93" s="204"/>
      <c r="B93" s="191" t="s">
        <v>0</v>
      </c>
      <c r="C93" s="191" t="str">
        <f t="shared" ref="C93" si="14">IF(D93="","All",D93&amp;" "&amp;E93)</f>
        <v>All</v>
      </c>
      <c r="D93" s="191"/>
      <c r="E93" s="191"/>
      <c r="F93" s="191"/>
      <c r="G93" s="191" t="s">
        <v>192</v>
      </c>
      <c r="H93" s="191" t="s">
        <v>42</v>
      </c>
      <c r="I93" s="287" t="s">
        <v>56</v>
      </c>
      <c r="J93" s="287">
        <v>25.714884256834605</v>
      </c>
      <c r="K93" s="192" t="s">
        <v>64</v>
      </c>
      <c r="L93" s="193" t="s">
        <v>56</v>
      </c>
      <c r="M93" s="193" t="s">
        <v>203</v>
      </c>
      <c r="N93" s="242" t="str">
        <f t="shared" si="1"/>
        <v/>
      </c>
    </row>
    <row r="94" spans="1:14" s="59" customFormat="1" x14ac:dyDescent="0.35">
      <c r="A94" s="204"/>
      <c r="B94" s="191" t="s">
        <v>5</v>
      </c>
      <c r="C94" s="191" t="str">
        <f t="shared" si="2"/>
        <v>Residential without CL</v>
      </c>
      <c r="D94" s="191" t="s">
        <v>6</v>
      </c>
      <c r="E94" s="191" t="s">
        <v>136</v>
      </c>
      <c r="F94" s="191" t="s">
        <v>21</v>
      </c>
      <c r="G94" s="191" t="s">
        <v>66</v>
      </c>
      <c r="H94" s="191" t="s">
        <v>43</v>
      </c>
      <c r="I94" s="229">
        <v>101.75</v>
      </c>
      <c r="J94" s="229">
        <v>109.46</v>
      </c>
      <c r="K94" s="192" t="s">
        <v>40</v>
      </c>
      <c r="L94" s="193" t="s">
        <v>143</v>
      </c>
      <c r="M94" s="193" t="s">
        <v>143</v>
      </c>
      <c r="N94" s="242">
        <f t="shared" si="1"/>
        <v>7.5773955773955626E-2</v>
      </c>
    </row>
    <row r="95" spans="1:14" s="59" customFormat="1" x14ac:dyDescent="0.35">
      <c r="A95" s="204"/>
      <c r="B95" s="191" t="s">
        <v>5</v>
      </c>
      <c r="C95" s="191" t="str">
        <f t="shared" si="2"/>
        <v>Residential with CL</v>
      </c>
      <c r="D95" s="191" t="s">
        <v>6</v>
      </c>
      <c r="E95" s="191" t="s">
        <v>137</v>
      </c>
      <c r="F95" s="191" t="s">
        <v>15</v>
      </c>
      <c r="G95" s="191" t="s">
        <v>66</v>
      </c>
      <c r="H95" s="191" t="s">
        <v>43</v>
      </c>
      <c r="I95" s="229">
        <v>60.02</v>
      </c>
      <c r="J95" s="229">
        <v>54</v>
      </c>
      <c r="K95" s="192" t="s">
        <v>40</v>
      </c>
      <c r="L95" s="193" t="s">
        <v>143</v>
      </c>
      <c r="M95" s="193" t="s">
        <v>143</v>
      </c>
      <c r="N95" s="242">
        <f t="shared" si="1"/>
        <v>-0.10029990003332223</v>
      </c>
    </row>
    <row r="96" spans="1:14" s="59" customFormat="1" x14ac:dyDescent="0.35">
      <c r="A96" s="204"/>
      <c r="B96" s="191" t="s">
        <v>5</v>
      </c>
      <c r="C96" s="191" t="str">
        <f t="shared" si="2"/>
        <v>Small business without CL</v>
      </c>
      <c r="D96" s="191" t="s">
        <v>14</v>
      </c>
      <c r="E96" s="191" t="s">
        <v>136</v>
      </c>
      <c r="F96" s="191" t="s">
        <v>21</v>
      </c>
      <c r="G96" s="191" t="s">
        <v>66</v>
      </c>
      <c r="H96" s="191" t="s">
        <v>43</v>
      </c>
      <c r="I96" s="229">
        <v>101.75</v>
      </c>
      <c r="J96" s="229">
        <v>109.46</v>
      </c>
      <c r="K96" s="192" t="s">
        <v>40</v>
      </c>
      <c r="L96" s="193" t="s">
        <v>143</v>
      </c>
      <c r="M96" s="193" t="s">
        <v>143</v>
      </c>
      <c r="N96" s="242">
        <f t="shared" ref="N96:N115" si="15">IFERROR(IF(K96="%",J96-I96,J96/I96-1),"")</f>
        <v>7.5773955773955626E-2</v>
      </c>
    </row>
    <row r="97" spans="1:14" s="59" customFormat="1" x14ac:dyDescent="0.35">
      <c r="A97" s="204"/>
      <c r="B97" s="191" t="s">
        <v>5</v>
      </c>
      <c r="C97" s="191" t="str">
        <f t="shared" ref="C97:C159" si="16">IF(D97="","All",D97&amp;" "&amp;E97)</f>
        <v>All</v>
      </c>
      <c r="D97" s="191"/>
      <c r="E97" s="191"/>
      <c r="F97" s="191"/>
      <c r="G97" s="191" t="s">
        <v>67</v>
      </c>
      <c r="H97" s="191" t="s">
        <v>43</v>
      </c>
      <c r="I97" s="229">
        <v>1.02</v>
      </c>
      <c r="J97" s="229">
        <v>0.48</v>
      </c>
      <c r="K97" s="192" t="s">
        <v>40</v>
      </c>
      <c r="L97" s="193" t="s">
        <v>143</v>
      </c>
      <c r="M97" s="193" t="s">
        <v>143</v>
      </c>
      <c r="N97" s="242">
        <f t="shared" si="15"/>
        <v>-0.52941176470588236</v>
      </c>
    </row>
    <row r="98" spans="1:14" s="59" customFormat="1" x14ac:dyDescent="0.35">
      <c r="A98" s="204"/>
      <c r="B98" s="191" t="s">
        <v>5</v>
      </c>
      <c r="C98" s="191" t="str">
        <f t="shared" si="16"/>
        <v>All</v>
      </c>
      <c r="D98" s="191"/>
      <c r="E98" s="191"/>
      <c r="F98" s="191"/>
      <c r="G98" s="191" t="s">
        <v>75</v>
      </c>
      <c r="H98" s="191" t="s">
        <v>43</v>
      </c>
      <c r="I98" s="229">
        <v>0.49</v>
      </c>
      <c r="J98" s="229">
        <v>1.1000000000000001</v>
      </c>
      <c r="K98" s="192" t="s">
        <v>40</v>
      </c>
      <c r="L98" s="193" t="s">
        <v>143</v>
      </c>
      <c r="M98" s="193" t="s">
        <v>143</v>
      </c>
      <c r="N98" s="242">
        <f t="shared" si="15"/>
        <v>1.2448979591836737</v>
      </c>
    </row>
    <row r="99" spans="1:14" s="59" customFormat="1" x14ac:dyDescent="0.35">
      <c r="A99" s="204"/>
      <c r="B99" s="191" t="s">
        <v>5</v>
      </c>
      <c r="C99" s="191" t="str">
        <f t="shared" si="16"/>
        <v>All</v>
      </c>
      <c r="D99" s="191"/>
      <c r="E99" s="191"/>
      <c r="F99" s="191"/>
      <c r="G99" s="191" t="s">
        <v>68</v>
      </c>
      <c r="H99" s="191" t="s">
        <v>43</v>
      </c>
      <c r="I99" s="229">
        <v>0</v>
      </c>
      <c r="J99" s="229">
        <v>0</v>
      </c>
      <c r="K99" s="192" t="s">
        <v>40</v>
      </c>
      <c r="L99" s="193" t="s">
        <v>143</v>
      </c>
      <c r="M99" s="193" t="s">
        <v>143</v>
      </c>
      <c r="N99" s="242" t="str">
        <f t="shared" si="15"/>
        <v/>
      </c>
    </row>
    <row r="100" spans="1:14" s="59" customFormat="1" x14ac:dyDescent="0.35">
      <c r="A100" s="204"/>
      <c r="B100" s="191" t="s">
        <v>5</v>
      </c>
      <c r="C100" s="191" t="str">
        <f t="shared" si="16"/>
        <v>All</v>
      </c>
      <c r="D100" s="191"/>
      <c r="E100" s="191"/>
      <c r="F100" s="191"/>
      <c r="G100" s="191" t="s">
        <v>145</v>
      </c>
      <c r="H100" s="191" t="s">
        <v>43</v>
      </c>
      <c r="I100" s="229">
        <v>3.6</v>
      </c>
      <c r="J100" s="229">
        <v>4.2300000000000004</v>
      </c>
      <c r="K100" s="192" t="s">
        <v>40</v>
      </c>
      <c r="L100" s="193" t="s">
        <v>143</v>
      </c>
      <c r="M100" s="193" t="s">
        <v>143</v>
      </c>
      <c r="N100" s="242">
        <f t="shared" si="15"/>
        <v>0.17500000000000004</v>
      </c>
    </row>
    <row r="101" spans="1:14" s="59" customFormat="1" x14ac:dyDescent="0.35">
      <c r="A101" s="204"/>
      <c r="B101" s="191" t="s">
        <v>5</v>
      </c>
      <c r="C101" s="191" t="str">
        <f t="shared" si="16"/>
        <v>All</v>
      </c>
      <c r="D101" s="191"/>
      <c r="E101" s="191"/>
      <c r="F101" s="191"/>
      <c r="G101" s="191" t="s">
        <v>70</v>
      </c>
      <c r="H101" s="191" t="s">
        <v>43</v>
      </c>
      <c r="I101" s="229">
        <v>4.22</v>
      </c>
      <c r="J101" s="229">
        <v>5.13</v>
      </c>
      <c r="K101" s="192" t="s">
        <v>40</v>
      </c>
      <c r="L101" s="193" t="s">
        <v>143</v>
      </c>
      <c r="M101" s="193" t="s">
        <v>143</v>
      </c>
      <c r="N101" s="242">
        <f t="shared" si="15"/>
        <v>0.21563981042654023</v>
      </c>
    </row>
    <row r="102" spans="1:14" s="59" customFormat="1" x14ac:dyDescent="0.35">
      <c r="A102" s="204"/>
      <c r="B102" s="191" t="s">
        <v>5</v>
      </c>
      <c r="C102" s="191" t="str">
        <f t="shared" si="16"/>
        <v>All</v>
      </c>
      <c r="D102" s="191"/>
      <c r="E102" s="191"/>
      <c r="F102" s="191"/>
      <c r="G102" s="191" t="s">
        <v>71</v>
      </c>
      <c r="H102" s="191" t="s">
        <v>43</v>
      </c>
      <c r="I102" s="229">
        <v>11.52</v>
      </c>
      <c r="J102" s="229">
        <v>10.9</v>
      </c>
      <c r="K102" s="192" t="s">
        <v>40</v>
      </c>
      <c r="L102" s="193" t="s">
        <v>143</v>
      </c>
      <c r="M102" s="193" t="s">
        <v>143</v>
      </c>
      <c r="N102" s="242">
        <f t="shared" si="15"/>
        <v>-5.381944444444442E-2</v>
      </c>
    </row>
    <row r="103" spans="1:14" s="59" customFormat="1" x14ac:dyDescent="0.35">
      <c r="A103" s="204"/>
      <c r="B103" s="191" t="s">
        <v>5</v>
      </c>
      <c r="C103" s="191" t="str">
        <f t="shared" si="16"/>
        <v>All</v>
      </c>
      <c r="D103" s="191"/>
      <c r="E103" s="191"/>
      <c r="F103" s="191"/>
      <c r="G103" s="191" t="s">
        <v>76</v>
      </c>
      <c r="H103" s="191" t="s">
        <v>43</v>
      </c>
      <c r="I103" s="229">
        <v>2.5</v>
      </c>
      <c r="J103" s="229">
        <v>0</v>
      </c>
      <c r="K103" s="192" t="s">
        <v>40</v>
      </c>
      <c r="L103" s="193" t="s">
        <v>143</v>
      </c>
      <c r="M103" s="193" t="s">
        <v>143</v>
      </c>
      <c r="N103" s="242">
        <f t="shared" si="15"/>
        <v>-1</v>
      </c>
    </row>
    <row r="104" spans="1:14" s="59" customFormat="1" x14ac:dyDescent="0.35">
      <c r="A104" s="204"/>
      <c r="B104" s="191" t="s">
        <v>5</v>
      </c>
      <c r="C104" s="191" t="str">
        <f t="shared" ref="C104" si="17">IF(D104="","All",D104&amp;" "&amp;E104)</f>
        <v>All</v>
      </c>
      <c r="D104" s="191"/>
      <c r="E104" s="191"/>
      <c r="F104" s="191"/>
      <c r="G104" s="191" t="s">
        <v>188</v>
      </c>
      <c r="H104" s="191" t="s">
        <v>43</v>
      </c>
      <c r="I104" s="229">
        <v>0</v>
      </c>
      <c r="J104" s="229">
        <v>2.5</v>
      </c>
      <c r="K104" s="192" t="s">
        <v>40</v>
      </c>
      <c r="L104" s="193" t="s">
        <v>143</v>
      </c>
      <c r="M104" s="193" t="s">
        <v>143</v>
      </c>
      <c r="N104" s="242" t="str">
        <f t="shared" si="15"/>
        <v/>
      </c>
    </row>
    <row r="105" spans="1:14" s="59" customFormat="1" x14ac:dyDescent="0.35">
      <c r="A105" s="204"/>
      <c r="B105" s="191" t="s">
        <v>5</v>
      </c>
      <c r="C105" s="191" t="str">
        <f t="shared" ref="C105" si="18">IF(D105="","All",D105&amp;" "&amp;E105)</f>
        <v>All</v>
      </c>
      <c r="D105" s="191"/>
      <c r="E105" s="191"/>
      <c r="F105" s="191"/>
      <c r="G105" s="191" t="s">
        <v>189</v>
      </c>
      <c r="H105" s="191" t="s">
        <v>43</v>
      </c>
      <c r="I105" s="229">
        <v>0</v>
      </c>
      <c r="J105" s="229">
        <v>7.03</v>
      </c>
      <c r="K105" s="192" t="s">
        <v>40</v>
      </c>
      <c r="L105" s="193" t="s">
        <v>143</v>
      </c>
      <c r="M105" s="193" t="s">
        <v>143</v>
      </c>
      <c r="N105" s="242" t="str">
        <f t="shared" si="15"/>
        <v/>
      </c>
    </row>
    <row r="106" spans="1:14" s="59" customFormat="1" x14ac:dyDescent="0.35">
      <c r="A106" s="204"/>
      <c r="B106" s="191" t="s">
        <v>5</v>
      </c>
      <c r="C106" s="191" t="str">
        <f t="shared" si="16"/>
        <v>Residential without CL</v>
      </c>
      <c r="D106" s="191" t="s">
        <v>6</v>
      </c>
      <c r="E106" s="191" t="s">
        <v>136</v>
      </c>
      <c r="F106" s="191" t="s">
        <v>21</v>
      </c>
      <c r="G106" s="191" t="s">
        <v>69</v>
      </c>
      <c r="H106" s="191" t="s">
        <v>43</v>
      </c>
      <c r="I106" s="296">
        <v>0.11799999999999999</v>
      </c>
      <c r="J106" s="296">
        <v>0.1</v>
      </c>
      <c r="K106" s="192" t="s">
        <v>29</v>
      </c>
      <c r="L106" s="193" t="s">
        <v>143</v>
      </c>
      <c r="M106" s="193" t="s">
        <v>143</v>
      </c>
      <c r="N106" s="242">
        <f t="shared" si="15"/>
        <v>-1.7999999999999988E-2</v>
      </c>
    </row>
    <row r="107" spans="1:14" s="59" customFormat="1" x14ac:dyDescent="0.35">
      <c r="A107" s="204"/>
      <c r="B107" s="191" t="s">
        <v>5</v>
      </c>
      <c r="C107" s="191" t="str">
        <f>IF(D107="","All",D107&amp;" "&amp;E107)</f>
        <v>Residential with CL</v>
      </c>
      <c r="D107" s="191" t="s">
        <v>6</v>
      </c>
      <c r="E107" s="191" t="s">
        <v>137</v>
      </c>
      <c r="F107" s="191" t="s">
        <v>15</v>
      </c>
      <c r="G107" s="191" t="s">
        <v>69</v>
      </c>
      <c r="H107" s="191" t="s">
        <v>43</v>
      </c>
      <c r="I107" s="296">
        <v>0.11799999999999999</v>
      </c>
      <c r="J107" s="296">
        <v>0.1</v>
      </c>
      <c r="K107" s="192" t="s">
        <v>29</v>
      </c>
      <c r="L107" s="193" t="s">
        <v>143</v>
      </c>
      <c r="M107" s="193" t="s">
        <v>143</v>
      </c>
      <c r="N107" s="242">
        <f t="shared" si="15"/>
        <v>-1.7999999999999988E-2</v>
      </c>
    </row>
    <row r="108" spans="1:14" s="59" customFormat="1" x14ac:dyDescent="0.35">
      <c r="A108" s="204"/>
      <c r="B108" s="191" t="s">
        <v>5</v>
      </c>
      <c r="C108" s="191" t="str">
        <f>IF(D108="","All",D108&amp;" "&amp;E108)</f>
        <v>Small business without CL</v>
      </c>
      <c r="D108" s="191" t="s">
        <v>14</v>
      </c>
      <c r="E108" s="191" t="s">
        <v>136</v>
      </c>
      <c r="F108" s="191" t="s">
        <v>21</v>
      </c>
      <c r="G108" s="191" t="s">
        <v>69</v>
      </c>
      <c r="H108" s="191" t="s">
        <v>43</v>
      </c>
      <c r="I108" s="296">
        <v>0.11799999999999999</v>
      </c>
      <c r="J108" s="296">
        <v>0.1</v>
      </c>
      <c r="K108" s="192" t="s">
        <v>29</v>
      </c>
      <c r="L108" s="193" t="s">
        <v>143</v>
      </c>
      <c r="M108" s="193" t="s">
        <v>143</v>
      </c>
      <c r="N108" s="242">
        <f>IFERROR(IF(K108="%",J108-I108,J108/I108-1),"")</f>
        <v>-1.7999999999999988E-2</v>
      </c>
    </row>
    <row r="109" spans="1:14" s="59" customFormat="1" x14ac:dyDescent="0.35">
      <c r="A109" s="204"/>
      <c r="B109" s="191" t="s">
        <v>5</v>
      </c>
      <c r="C109" s="191" t="s">
        <v>150</v>
      </c>
      <c r="D109" s="191" t="s">
        <v>6</v>
      </c>
      <c r="E109" s="191"/>
      <c r="F109" s="191"/>
      <c r="G109" s="191" t="s">
        <v>190</v>
      </c>
      <c r="H109" s="191" t="s">
        <v>42</v>
      </c>
      <c r="I109" s="287" t="s">
        <v>56</v>
      </c>
      <c r="J109" s="287">
        <v>133</v>
      </c>
      <c r="K109" s="192" t="s">
        <v>64</v>
      </c>
      <c r="L109" s="193" t="s">
        <v>56</v>
      </c>
      <c r="M109" s="193" t="s">
        <v>201</v>
      </c>
      <c r="N109" s="242" t="str">
        <f t="shared" si="15"/>
        <v/>
      </c>
    </row>
    <row r="110" spans="1:14" s="59" customFormat="1" x14ac:dyDescent="0.35">
      <c r="A110" s="204"/>
      <c r="B110" s="191" t="s">
        <v>5</v>
      </c>
      <c r="C110" s="191" t="s">
        <v>151</v>
      </c>
      <c r="D110" s="191" t="s">
        <v>6</v>
      </c>
      <c r="E110" s="191"/>
      <c r="F110" s="191"/>
      <c r="G110" s="191" t="s">
        <v>190</v>
      </c>
      <c r="H110" s="191" t="s">
        <v>42</v>
      </c>
      <c r="I110" s="287" t="s">
        <v>56</v>
      </c>
      <c r="J110" s="287">
        <v>133</v>
      </c>
      <c r="K110" s="192" t="s">
        <v>64</v>
      </c>
      <c r="L110" s="193" t="s">
        <v>56</v>
      </c>
      <c r="M110" s="193" t="s">
        <v>201</v>
      </c>
      <c r="N110" s="242" t="str">
        <f t="shared" si="15"/>
        <v/>
      </c>
    </row>
    <row r="111" spans="1:14" s="59" customFormat="1" ht="15" customHeight="1" x14ac:dyDescent="0.35">
      <c r="A111" s="204"/>
      <c r="B111" s="191" t="s">
        <v>5</v>
      </c>
      <c r="C111" s="191" t="s">
        <v>152</v>
      </c>
      <c r="D111" s="191" t="s">
        <v>14</v>
      </c>
      <c r="E111" s="191"/>
      <c r="F111" s="191"/>
      <c r="G111" s="191" t="s">
        <v>190</v>
      </c>
      <c r="H111" s="191" t="s">
        <v>42</v>
      </c>
      <c r="I111" s="287" t="s">
        <v>56</v>
      </c>
      <c r="J111" s="287">
        <v>153</v>
      </c>
      <c r="K111" s="192" t="s">
        <v>64</v>
      </c>
      <c r="L111" s="193" t="s">
        <v>56</v>
      </c>
      <c r="M111" s="203" t="s">
        <v>206</v>
      </c>
      <c r="N111" s="242" t="str">
        <f t="shared" si="15"/>
        <v/>
      </c>
    </row>
    <row r="112" spans="1:14" s="59" customFormat="1" x14ac:dyDescent="0.35">
      <c r="A112" s="204"/>
      <c r="B112" s="191" t="s">
        <v>5</v>
      </c>
      <c r="C112" s="191" t="s">
        <v>150</v>
      </c>
      <c r="D112" s="191" t="s">
        <v>6</v>
      </c>
      <c r="E112" s="191"/>
      <c r="F112" s="191"/>
      <c r="G112" s="191" t="s">
        <v>191</v>
      </c>
      <c r="H112" s="191" t="s">
        <v>42</v>
      </c>
      <c r="I112" s="287" t="s">
        <v>56</v>
      </c>
      <c r="J112" s="287">
        <v>24.28</v>
      </c>
      <c r="K112" s="192" t="s">
        <v>64</v>
      </c>
      <c r="L112" s="193" t="s">
        <v>56</v>
      </c>
      <c r="M112" s="193" t="s">
        <v>202</v>
      </c>
      <c r="N112" s="242" t="str">
        <f t="shared" si="15"/>
        <v/>
      </c>
    </row>
    <row r="113" spans="1:14" s="59" customFormat="1" x14ac:dyDescent="0.35">
      <c r="A113" s="204"/>
      <c r="B113" s="191" t="s">
        <v>5</v>
      </c>
      <c r="C113" s="191" t="s">
        <v>151</v>
      </c>
      <c r="D113" s="191" t="s">
        <v>6</v>
      </c>
      <c r="E113" s="191"/>
      <c r="F113" s="191"/>
      <c r="G113" s="191" t="s">
        <v>191</v>
      </c>
      <c r="H113" s="191" t="s">
        <v>42</v>
      </c>
      <c r="I113" s="287" t="s">
        <v>56</v>
      </c>
      <c r="J113" s="287">
        <v>24.28</v>
      </c>
      <c r="K113" s="192" t="s">
        <v>64</v>
      </c>
      <c r="L113" s="193" t="s">
        <v>56</v>
      </c>
      <c r="M113" s="193" t="s">
        <v>202</v>
      </c>
      <c r="N113" s="242" t="str">
        <f t="shared" si="15"/>
        <v/>
      </c>
    </row>
    <row r="114" spans="1:14" s="59" customFormat="1" x14ac:dyDescent="0.35">
      <c r="A114" s="204"/>
      <c r="B114" s="191" t="s">
        <v>5</v>
      </c>
      <c r="C114" s="191" t="s">
        <v>152</v>
      </c>
      <c r="D114" s="191" t="s">
        <v>14</v>
      </c>
      <c r="E114" s="191"/>
      <c r="F114" s="191"/>
      <c r="G114" s="191" t="s">
        <v>191</v>
      </c>
      <c r="H114" s="191" t="s">
        <v>42</v>
      </c>
      <c r="I114" s="287" t="s">
        <v>56</v>
      </c>
      <c r="J114" s="287">
        <v>5.98</v>
      </c>
      <c r="K114" s="192" t="s">
        <v>64</v>
      </c>
      <c r="L114" s="193" t="s">
        <v>56</v>
      </c>
      <c r="M114" s="193" t="s">
        <v>202</v>
      </c>
      <c r="N114" s="242" t="str">
        <f t="shared" si="15"/>
        <v/>
      </c>
    </row>
    <row r="115" spans="1:14" s="59" customFormat="1" x14ac:dyDescent="0.35">
      <c r="A115" s="204"/>
      <c r="B115" s="191" t="s">
        <v>5</v>
      </c>
      <c r="C115" s="191" t="str">
        <f t="shared" ref="C115" si="19">IF(D115="","All",D115&amp;" "&amp;E115)</f>
        <v>All</v>
      </c>
      <c r="D115" s="191"/>
      <c r="E115" s="191"/>
      <c r="F115" s="191"/>
      <c r="G115" s="191" t="s">
        <v>192</v>
      </c>
      <c r="H115" s="191" t="s">
        <v>42</v>
      </c>
      <c r="I115" s="287" t="s">
        <v>56</v>
      </c>
      <c r="J115" s="287">
        <v>25.714884256834605</v>
      </c>
      <c r="K115" s="192" t="s">
        <v>64</v>
      </c>
      <c r="L115" s="193" t="s">
        <v>56</v>
      </c>
      <c r="M115" s="193" t="s">
        <v>203</v>
      </c>
      <c r="N115" s="242" t="str">
        <f t="shared" si="15"/>
        <v/>
      </c>
    </row>
    <row r="116" spans="1:14" s="59" customFormat="1" x14ac:dyDescent="0.35">
      <c r="A116" s="204"/>
      <c r="B116" s="191" t="s">
        <v>2</v>
      </c>
      <c r="C116" s="191" t="str">
        <f t="shared" si="16"/>
        <v>Residential without CL</v>
      </c>
      <c r="D116" s="191" t="s">
        <v>6</v>
      </c>
      <c r="E116" s="191" t="s">
        <v>136</v>
      </c>
      <c r="F116" s="191" t="s">
        <v>21</v>
      </c>
      <c r="G116" s="191" t="s">
        <v>26</v>
      </c>
      <c r="H116" s="191"/>
      <c r="I116" s="239">
        <v>3900</v>
      </c>
      <c r="J116" s="239">
        <v>3900</v>
      </c>
      <c r="K116" s="192" t="s">
        <v>27</v>
      </c>
      <c r="L116" s="193" t="s">
        <v>183</v>
      </c>
      <c r="M116" s="193" t="s">
        <v>186</v>
      </c>
      <c r="N116" s="242"/>
    </row>
    <row r="117" spans="1:14" s="59" customFormat="1" x14ac:dyDescent="0.35">
      <c r="A117" s="204"/>
      <c r="B117" s="191" t="s">
        <v>4</v>
      </c>
      <c r="C117" s="191" t="str">
        <f t="shared" si="16"/>
        <v>Residential without CL</v>
      </c>
      <c r="D117" s="191" t="s">
        <v>6</v>
      </c>
      <c r="E117" s="191" t="s">
        <v>136</v>
      </c>
      <c r="F117" s="191" t="s">
        <v>21</v>
      </c>
      <c r="G117" s="191" t="s">
        <v>26</v>
      </c>
      <c r="H117" s="191"/>
      <c r="I117" s="239">
        <v>4900</v>
      </c>
      <c r="J117" s="239">
        <v>4900</v>
      </c>
      <c r="K117" s="192" t="s">
        <v>27</v>
      </c>
      <c r="L117" s="193" t="s">
        <v>183</v>
      </c>
      <c r="M117" s="193" t="s">
        <v>186</v>
      </c>
      <c r="N117" s="242"/>
    </row>
    <row r="118" spans="1:14" s="59" customFormat="1" x14ac:dyDescent="0.35">
      <c r="A118" s="204"/>
      <c r="B118" s="191" t="s">
        <v>0</v>
      </c>
      <c r="C118" s="191" t="str">
        <f t="shared" si="16"/>
        <v>Residential without CL</v>
      </c>
      <c r="D118" s="191" t="s">
        <v>6</v>
      </c>
      <c r="E118" s="191" t="s">
        <v>136</v>
      </c>
      <c r="F118" s="191" t="s">
        <v>21</v>
      </c>
      <c r="G118" s="191" t="s">
        <v>26</v>
      </c>
      <c r="H118" s="191"/>
      <c r="I118" s="239">
        <v>4600</v>
      </c>
      <c r="J118" s="239">
        <v>4600</v>
      </c>
      <c r="K118" s="192" t="s">
        <v>27</v>
      </c>
      <c r="L118" s="193" t="s">
        <v>183</v>
      </c>
      <c r="M118" s="193" t="s">
        <v>186</v>
      </c>
      <c r="N118" s="242"/>
    </row>
    <row r="119" spans="1:14" s="59" customFormat="1" x14ac:dyDescent="0.35">
      <c r="A119" s="204"/>
      <c r="B119" s="191" t="s">
        <v>3</v>
      </c>
      <c r="C119" s="191" t="str">
        <f t="shared" si="16"/>
        <v>Residential without CL</v>
      </c>
      <c r="D119" s="191" t="s">
        <v>6</v>
      </c>
      <c r="E119" s="191" t="s">
        <v>136</v>
      </c>
      <c r="F119" s="191" t="s">
        <v>21</v>
      </c>
      <c r="G119" s="191" t="s">
        <v>26</v>
      </c>
      <c r="H119" s="191"/>
      <c r="I119" s="239">
        <v>4600</v>
      </c>
      <c r="J119" s="239">
        <v>4600</v>
      </c>
      <c r="K119" s="192" t="s">
        <v>27</v>
      </c>
      <c r="L119" s="193" t="s">
        <v>183</v>
      </c>
      <c r="M119" s="193" t="s">
        <v>186</v>
      </c>
      <c r="N119" s="242"/>
    </row>
    <row r="120" spans="1:14" s="59" customFormat="1" x14ac:dyDescent="0.35">
      <c r="A120" s="204"/>
      <c r="B120" s="191" t="s">
        <v>5</v>
      </c>
      <c r="C120" s="191" t="str">
        <f t="shared" si="16"/>
        <v>Residential without CL</v>
      </c>
      <c r="D120" s="191" t="s">
        <v>6</v>
      </c>
      <c r="E120" s="191" t="s">
        <v>136</v>
      </c>
      <c r="F120" s="191" t="s">
        <v>21</v>
      </c>
      <c r="G120" s="191" t="s">
        <v>26</v>
      </c>
      <c r="H120" s="191"/>
      <c r="I120" s="239">
        <v>4000</v>
      </c>
      <c r="J120" s="239">
        <v>4000</v>
      </c>
      <c r="K120" s="192" t="s">
        <v>27</v>
      </c>
      <c r="L120" s="193" t="s">
        <v>183</v>
      </c>
      <c r="M120" s="193" t="s">
        <v>186</v>
      </c>
      <c r="N120" s="242"/>
    </row>
    <row r="121" spans="1:14" s="59" customFormat="1" x14ac:dyDescent="0.35">
      <c r="A121" s="204"/>
      <c r="B121" s="191" t="s">
        <v>2</v>
      </c>
      <c r="C121" s="191" t="str">
        <f t="shared" si="16"/>
        <v>Residential with CL</v>
      </c>
      <c r="D121" s="191" t="s">
        <v>6</v>
      </c>
      <c r="E121" s="191" t="s">
        <v>137</v>
      </c>
      <c r="F121" s="191" t="s">
        <v>21</v>
      </c>
      <c r="G121" s="191" t="s">
        <v>26</v>
      </c>
      <c r="H121" s="191"/>
      <c r="I121" s="239">
        <v>4800</v>
      </c>
      <c r="J121" s="239">
        <v>4800</v>
      </c>
      <c r="K121" s="192" t="s">
        <v>27</v>
      </c>
      <c r="L121" s="193" t="s">
        <v>183</v>
      </c>
      <c r="M121" s="193" t="s">
        <v>186</v>
      </c>
      <c r="N121" s="242"/>
    </row>
    <row r="122" spans="1:14" s="59" customFormat="1" x14ac:dyDescent="0.35">
      <c r="A122" s="204"/>
      <c r="B122" s="191" t="s">
        <v>4</v>
      </c>
      <c r="C122" s="191" t="str">
        <f t="shared" si="16"/>
        <v>Residential with CL</v>
      </c>
      <c r="D122" s="191" t="s">
        <v>6</v>
      </c>
      <c r="E122" s="191" t="s">
        <v>137</v>
      </c>
      <c r="F122" s="191" t="s">
        <v>21</v>
      </c>
      <c r="G122" s="191" t="s">
        <v>26</v>
      </c>
      <c r="H122" s="191"/>
      <c r="I122" s="239">
        <v>5200</v>
      </c>
      <c r="J122" s="239">
        <v>5200</v>
      </c>
      <c r="K122" s="192" t="s">
        <v>27</v>
      </c>
      <c r="L122" s="193" t="s">
        <v>183</v>
      </c>
      <c r="M122" s="193" t="s">
        <v>186</v>
      </c>
      <c r="N122" s="242"/>
    </row>
    <row r="123" spans="1:14" s="59" customFormat="1" x14ac:dyDescent="0.35">
      <c r="A123" s="204"/>
      <c r="B123" s="191" t="s">
        <v>0</v>
      </c>
      <c r="C123" s="191" t="str">
        <f t="shared" si="16"/>
        <v>Residential with CL</v>
      </c>
      <c r="D123" s="191" t="s">
        <v>6</v>
      </c>
      <c r="E123" s="191" t="s">
        <v>137</v>
      </c>
      <c r="F123" s="191" t="s">
        <v>21</v>
      </c>
      <c r="G123" s="191" t="s">
        <v>26</v>
      </c>
      <c r="H123" s="191"/>
      <c r="I123" s="239">
        <v>4400</v>
      </c>
      <c r="J123" s="239">
        <v>4400</v>
      </c>
      <c r="K123" s="192" t="s">
        <v>27</v>
      </c>
      <c r="L123" s="193" t="s">
        <v>183</v>
      </c>
      <c r="M123" s="193" t="s">
        <v>186</v>
      </c>
      <c r="N123" s="242"/>
    </row>
    <row r="124" spans="1:14" s="59" customFormat="1" x14ac:dyDescent="0.35">
      <c r="A124" s="204"/>
      <c r="B124" s="191" t="s">
        <v>3</v>
      </c>
      <c r="C124" s="191" t="str">
        <f t="shared" si="16"/>
        <v>Residential with CL</v>
      </c>
      <c r="D124" s="191" t="s">
        <v>6</v>
      </c>
      <c r="E124" s="191" t="s">
        <v>137</v>
      </c>
      <c r="F124" s="191" t="s">
        <v>21</v>
      </c>
      <c r="G124" s="191" t="s">
        <v>26</v>
      </c>
      <c r="H124" s="191"/>
      <c r="I124" s="239">
        <v>4600</v>
      </c>
      <c r="J124" s="239">
        <v>4600</v>
      </c>
      <c r="K124" s="192" t="s">
        <v>27</v>
      </c>
      <c r="L124" s="193" t="s">
        <v>183</v>
      </c>
      <c r="M124" s="193" t="s">
        <v>186</v>
      </c>
      <c r="N124" s="242"/>
    </row>
    <row r="125" spans="1:14" s="59" customFormat="1" x14ac:dyDescent="0.35">
      <c r="A125" s="204"/>
      <c r="B125" s="191" t="s">
        <v>5</v>
      </c>
      <c r="C125" s="191" t="str">
        <f t="shared" si="16"/>
        <v>Residential with CL</v>
      </c>
      <c r="D125" s="191" t="s">
        <v>6</v>
      </c>
      <c r="E125" s="191" t="s">
        <v>137</v>
      </c>
      <c r="F125" s="191" t="s">
        <v>21</v>
      </c>
      <c r="G125" s="191" t="s">
        <v>26</v>
      </c>
      <c r="H125" s="191"/>
      <c r="I125" s="239">
        <v>4200</v>
      </c>
      <c r="J125" s="239">
        <v>4200</v>
      </c>
      <c r="K125" s="192" t="s">
        <v>27</v>
      </c>
      <c r="L125" s="193" t="s">
        <v>183</v>
      </c>
      <c r="M125" s="193" t="s">
        <v>186</v>
      </c>
      <c r="N125" s="242"/>
    </row>
    <row r="126" spans="1:14" s="59" customFormat="1" x14ac:dyDescent="0.35">
      <c r="A126" s="204"/>
      <c r="B126" s="191" t="s">
        <v>2</v>
      </c>
      <c r="C126" s="191" t="str">
        <f t="shared" si="16"/>
        <v>Residential with CL</v>
      </c>
      <c r="D126" s="191" t="s">
        <v>6</v>
      </c>
      <c r="E126" s="191" t="s">
        <v>137</v>
      </c>
      <c r="F126" s="191" t="s">
        <v>17</v>
      </c>
      <c r="G126" s="191" t="s">
        <v>26</v>
      </c>
      <c r="H126" s="191"/>
      <c r="I126" s="239">
        <v>2000</v>
      </c>
      <c r="J126" s="239">
        <v>2000</v>
      </c>
      <c r="K126" s="192" t="s">
        <v>27</v>
      </c>
      <c r="L126" s="193" t="s">
        <v>183</v>
      </c>
      <c r="M126" s="193" t="s">
        <v>186</v>
      </c>
      <c r="N126" s="242"/>
    </row>
    <row r="127" spans="1:14" s="59" customFormat="1" x14ac:dyDescent="0.35">
      <c r="A127" s="204"/>
      <c r="B127" s="191" t="s">
        <v>4</v>
      </c>
      <c r="C127" s="191" t="str">
        <f t="shared" si="16"/>
        <v>Residential with CL</v>
      </c>
      <c r="D127" s="191" t="s">
        <v>6</v>
      </c>
      <c r="E127" s="191" t="s">
        <v>137</v>
      </c>
      <c r="F127" s="191" t="s">
        <v>17</v>
      </c>
      <c r="G127" s="191" t="s">
        <v>26</v>
      </c>
      <c r="H127" s="191"/>
      <c r="I127" s="239">
        <v>2200</v>
      </c>
      <c r="J127" s="239">
        <v>2200</v>
      </c>
      <c r="K127" s="192" t="s">
        <v>27</v>
      </c>
      <c r="L127" s="193" t="s">
        <v>183</v>
      </c>
      <c r="M127" s="193" t="s">
        <v>186</v>
      </c>
      <c r="N127" s="242"/>
    </row>
    <row r="128" spans="1:14" s="59" customFormat="1" x14ac:dyDescent="0.35">
      <c r="A128" s="204"/>
      <c r="B128" s="191" t="s">
        <v>0</v>
      </c>
      <c r="C128" s="191" t="str">
        <f t="shared" si="16"/>
        <v>Residential with CL</v>
      </c>
      <c r="D128" s="191" t="s">
        <v>6</v>
      </c>
      <c r="E128" s="191" t="s">
        <v>137</v>
      </c>
      <c r="F128" s="191" t="s">
        <v>17</v>
      </c>
      <c r="G128" s="191" t="s">
        <v>26</v>
      </c>
      <c r="H128" s="191"/>
      <c r="I128" s="239">
        <v>1900</v>
      </c>
      <c r="J128" s="239">
        <v>1900</v>
      </c>
      <c r="K128" s="192" t="s">
        <v>27</v>
      </c>
      <c r="L128" s="193" t="s">
        <v>183</v>
      </c>
      <c r="M128" s="193" t="s">
        <v>186</v>
      </c>
      <c r="N128" s="242"/>
    </row>
    <row r="129" spans="1:14" s="59" customFormat="1" x14ac:dyDescent="0.35">
      <c r="A129" s="204"/>
      <c r="B129" s="191" t="s">
        <v>3</v>
      </c>
      <c r="C129" s="191" t="str">
        <f t="shared" si="16"/>
        <v>Residential with CL</v>
      </c>
      <c r="D129" s="191" t="s">
        <v>6</v>
      </c>
      <c r="E129" s="191" t="s">
        <v>137</v>
      </c>
      <c r="F129" s="191" t="s">
        <v>17</v>
      </c>
      <c r="G129" s="191" t="s">
        <v>26</v>
      </c>
      <c r="H129" s="191"/>
      <c r="I129" s="239">
        <v>2000</v>
      </c>
      <c r="J129" s="239">
        <v>2000</v>
      </c>
      <c r="K129" s="192" t="s">
        <v>27</v>
      </c>
      <c r="L129" s="193" t="s">
        <v>183</v>
      </c>
      <c r="M129" s="193" t="s">
        <v>186</v>
      </c>
      <c r="N129" s="242"/>
    </row>
    <row r="130" spans="1:14" s="59" customFormat="1" x14ac:dyDescent="0.35">
      <c r="A130" s="204"/>
      <c r="B130" s="191" t="s">
        <v>5</v>
      </c>
      <c r="C130" s="191" t="str">
        <f t="shared" si="16"/>
        <v>Residential with CL</v>
      </c>
      <c r="D130" s="191" t="s">
        <v>6</v>
      </c>
      <c r="E130" s="191" t="s">
        <v>137</v>
      </c>
      <c r="F130" s="191" t="s">
        <v>17</v>
      </c>
      <c r="G130" s="191" t="s">
        <v>26</v>
      </c>
      <c r="H130" s="191"/>
      <c r="I130" s="239">
        <v>1800</v>
      </c>
      <c r="J130" s="239">
        <v>1800</v>
      </c>
      <c r="K130" s="192" t="s">
        <v>27</v>
      </c>
      <c r="L130" s="193" t="s">
        <v>183</v>
      </c>
      <c r="M130" s="193" t="s">
        <v>186</v>
      </c>
      <c r="N130" s="242"/>
    </row>
    <row r="131" spans="1:14" s="59" customFormat="1" x14ac:dyDescent="0.35">
      <c r="A131" s="204"/>
      <c r="B131" s="191" t="s">
        <v>2</v>
      </c>
      <c r="C131" s="191" t="str">
        <f t="shared" si="16"/>
        <v>Residential with CL</v>
      </c>
      <c r="D131" s="191" t="s">
        <v>6</v>
      </c>
      <c r="E131" s="191" t="s">
        <v>137</v>
      </c>
      <c r="F131" s="191" t="s">
        <v>17</v>
      </c>
      <c r="G131" s="191" t="s">
        <v>54</v>
      </c>
      <c r="H131" s="191"/>
      <c r="I131" s="240">
        <v>0.67</v>
      </c>
      <c r="J131" s="240">
        <v>0.67</v>
      </c>
      <c r="K131" s="192" t="s">
        <v>29</v>
      </c>
      <c r="L131" s="193" t="s">
        <v>183</v>
      </c>
      <c r="M131" s="193" t="s">
        <v>186</v>
      </c>
      <c r="N131" s="242"/>
    </row>
    <row r="132" spans="1:14" s="195" customFormat="1" x14ac:dyDescent="0.35">
      <c r="B132" s="191" t="s">
        <v>4</v>
      </c>
      <c r="C132" s="191" t="str">
        <f t="shared" si="16"/>
        <v>Residential with CL</v>
      </c>
      <c r="D132" s="191" t="s">
        <v>6</v>
      </c>
      <c r="E132" s="191" t="s">
        <v>137</v>
      </c>
      <c r="F132" s="191" t="s">
        <v>17</v>
      </c>
      <c r="G132" s="191" t="s">
        <v>54</v>
      </c>
      <c r="H132" s="191"/>
      <c r="I132" s="240">
        <v>0.67</v>
      </c>
      <c r="J132" s="240">
        <v>0.67</v>
      </c>
      <c r="K132" s="192" t="s">
        <v>29</v>
      </c>
      <c r="L132" s="193" t="s">
        <v>183</v>
      </c>
      <c r="M132" s="193" t="s">
        <v>186</v>
      </c>
      <c r="N132" s="242"/>
    </row>
    <row r="133" spans="1:14" s="195" customFormat="1" x14ac:dyDescent="0.35">
      <c r="B133" s="191" t="s">
        <v>0</v>
      </c>
      <c r="C133" s="191" t="str">
        <f t="shared" si="16"/>
        <v>Residential with CL</v>
      </c>
      <c r="D133" s="191" t="s">
        <v>6</v>
      </c>
      <c r="E133" s="191" t="s">
        <v>137</v>
      </c>
      <c r="F133" s="191" t="s">
        <v>17</v>
      </c>
      <c r="G133" s="191" t="s">
        <v>54</v>
      </c>
      <c r="H133" s="191"/>
      <c r="I133" s="240">
        <v>0.28999999999999998</v>
      </c>
      <c r="J133" s="240">
        <v>0.28999999999999998</v>
      </c>
      <c r="K133" s="192" t="s">
        <v>29</v>
      </c>
      <c r="L133" s="193" t="s">
        <v>183</v>
      </c>
      <c r="M133" s="193" t="s">
        <v>186</v>
      </c>
      <c r="N133" s="242"/>
    </row>
    <row r="134" spans="1:14" s="195" customFormat="1" x14ac:dyDescent="0.35">
      <c r="B134" s="191" t="s">
        <v>3</v>
      </c>
      <c r="C134" s="191" t="str">
        <f t="shared" si="16"/>
        <v>Residential with CL</v>
      </c>
      <c r="D134" s="191" t="s">
        <v>6</v>
      </c>
      <c r="E134" s="191" t="s">
        <v>137</v>
      </c>
      <c r="F134" s="191" t="s">
        <v>17</v>
      </c>
      <c r="G134" s="191" t="s">
        <v>54</v>
      </c>
      <c r="H134" s="191"/>
      <c r="I134" s="240">
        <v>0.77</v>
      </c>
      <c r="J134" s="240">
        <v>0.77</v>
      </c>
      <c r="K134" s="192" t="s">
        <v>29</v>
      </c>
      <c r="L134" s="193" t="s">
        <v>183</v>
      </c>
      <c r="M134" s="193" t="s">
        <v>186</v>
      </c>
      <c r="N134" s="242"/>
    </row>
    <row r="135" spans="1:14" s="195" customFormat="1" x14ac:dyDescent="0.35">
      <c r="B135" s="191" t="s">
        <v>5</v>
      </c>
      <c r="C135" s="191" t="str">
        <f t="shared" si="16"/>
        <v>Residential with CL</v>
      </c>
      <c r="D135" s="191" t="s">
        <v>6</v>
      </c>
      <c r="E135" s="191" t="s">
        <v>137</v>
      </c>
      <c r="F135" s="191" t="s">
        <v>17</v>
      </c>
      <c r="G135" s="191" t="s">
        <v>54</v>
      </c>
      <c r="H135" s="191"/>
      <c r="I135" s="240">
        <v>1</v>
      </c>
      <c r="J135" s="240">
        <v>1</v>
      </c>
      <c r="K135" s="192" t="s">
        <v>29</v>
      </c>
      <c r="L135" s="193" t="s">
        <v>183</v>
      </c>
      <c r="M135" s="193" t="s">
        <v>186</v>
      </c>
      <c r="N135" s="242"/>
    </row>
    <row r="136" spans="1:14" s="59" customFormat="1" x14ac:dyDescent="0.35">
      <c r="A136" s="204"/>
      <c r="B136" s="191" t="s">
        <v>2</v>
      </c>
      <c r="C136" s="191" t="str">
        <f t="shared" si="16"/>
        <v>Small business without CL</v>
      </c>
      <c r="D136" s="191" t="s">
        <v>14</v>
      </c>
      <c r="E136" s="191" t="s">
        <v>136</v>
      </c>
      <c r="F136" s="191" t="s">
        <v>21</v>
      </c>
      <c r="G136" s="191" t="s">
        <v>26</v>
      </c>
      <c r="H136" s="191"/>
      <c r="I136" s="239">
        <v>20000</v>
      </c>
      <c r="J136" s="239">
        <v>10000</v>
      </c>
      <c r="K136" s="192" t="s">
        <v>27</v>
      </c>
      <c r="L136" s="193" t="s">
        <v>183</v>
      </c>
      <c r="M136" s="193" t="s">
        <v>186</v>
      </c>
      <c r="N136" s="242"/>
    </row>
    <row r="137" spans="1:14" s="59" customFormat="1" x14ac:dyDescent="0.35">
      <c r="A137" s="204"/>
      <c r="B137" s="191" t="s">
        <v>4</v>
      </c>
      <c r="C137" s="191" t="str">
        <f t="shared" si="16"/>
        <v>Small business without CL</v>
      </c>
      <c r="D137" s="191" t="s">
        <v>14</v>
      </c>
      <c r="E137" s="191" t="s">
        <v>136</v>
      </c>
      <c r="F137" s="191" t="s">
        <v>21</v>
      </c>
      <c r="G137" s="191" t="s">
        <v>26</v>
      </c>
      <c r="H137" s="191"/>
      <c r="I137" s="239">
        <v>20000</v>
      </c>
      <c r="J137" s="239">
        <v>10000</v>
      </c>
      <c r="K137" s="192" t="s">
        <v>27</v>
      </c>
      <c r="L137" s="193" t="s">
        <v>183</v>
      </c>
      <c r="M137" s="193" t="s">
        <v>186</v>
      </c>
      <c r="N137" s="242"/>
    </row>
    <row r="138" spans="1:14" s="59" customFormat="1" x14ac:dyDescent="0.35">
      <c r="A138" s="204"/>
      <c r="B138" s="191" t="s">
        <v>0</v>
      </c>
      <c r="C138" s="191" t="str">
        <f t="shared" si="16"/>
        <v>Small business without CL</v>
      </c>
      <c r="D138" s="191" t="s">
        <v>14</v>
      </c>
      <c r="E138" s="191" t="s">
        <v>136</v>
      </c>
      <c r="F138" s="191" t="s">
        <v>21</v>
      </c>
      <c r="G138" s="191" t="s">
        <v>26</v>
      </c>
      <c r="H138" s="191"/>
      <c r="I138" s="239">
        <v>20000</v>
      </c>
      <c r="J138" s="239">
        <v>10000</v>
      </c>
      <c r="K138" s="192" t="s">
        <v>27</v>
      </c>
      <c r="L138" s="193" t="s">
        <v>183</v>
      </c>
      <c r="M138" s="193" t="s">
        <v>186</v>
      </c>
      <c r="N138" s="242"/>
    </row>
    <row r="139" spans="1:14" s="59" customFormat="1" x14ac:dyDescent="0.35">
      <c r="A139" s="204"/>
      <c r="B139" s="191" t="s">
        <v>3</v>
      </c>
      <c r="C139" s="191" t="str">
        <f t="shared" si="16"/>
        <v>Small business without CL</v>
      </c>
      <c r="D139" s="191" t="s">
        <v>14</v>
      </c>
      <c r="E139" s="191" t="s">
        <v>136</v>
      </c>
      <c r="F139" s="191" t="s">
        <v>21</v>
      </c>
      <c r="G139" s="191" t="s">
        <v>26</v>
      </c>
      <c r="H139" s="191"/>
      <c r="I139" s="239">
        <v>20000</v>
      </c>
      <c r="J139" s="239">
        <v>10000</v>
      </c>
      <c r="K139" s="192" t="s">
        <v>27</v>
      </c>
      <c r="L139" s="193" t="s">
        <v>183</v>
      </c>
      <c r="M139" s="193" t="s">
        <v>186</v>
      </c>
      <c r="N139" s="242"/>
    </row>
    <row r="140" spans="1:14" s="59" customFormat="1" x14ac:dyDescent="0.35">
      <c r="A140" s="204"/>
      <c r="B140" s="191" t="s">
        <v>5</v>
      </c>
      <c r="C140" s="191" t="str">
        <f t="shared" si="16"/>
        <v>Small business without CL</v>
      </c>
      <c r="D140" s="191" t="s">
        <v>14</v>
      </c>
      <c r="E140" s="191" t="s">
        <v>136</v>
      </c>
      <c r="F140" s="191" t="s">
        <v>21</v>
      </c>
      <c r="G140" s="191" t="s">
        <v>26</v>
      </c>
      <c r="H140" s="191"/>
      <c r="I140" s="239">
        <v>20000</v>
      </c>
      <c r="J140" s="239">
        <v>10000</v>
      </c>
      <c r="K140" s="192" t="s">
        <v>27</v>
      </c>
      <c r="L140" s="193" t="s">
        <v>183</v>
      </c>
      <c r="M140" s="193" t="s">
        <v>186</v>
      </c>
      <c r="N140" s="242"/>
    </row>
    <row r="141" spans="1:14" s="59" customFormat="1" x14ac:dyDescent="0.35">
      <c r="A141" s="204"/>
      <c r="B141" s="191" t="s">
        <v>4</v>
      </c>
      <c r="C141" s="191" t="str">
        <f t="shared" si="16"/>
        <v>Residential without CL</v>
      </c>
      <c r="D141" s="191" t="s">
        <v>6</v>
      </c>
      <c r="E141" s="191" t="s">
        <v>136</v>
      </c>
      <c r="F141" s="191" t="s">
        <v>21</v>
      </c>
      <c r="G141" s="191" t="s">
        <v>26</v>
      </c>
      <c r="H141" s="191"/>
      <c r="I141" s="239">
        <v>4000</v>
      </c>
      <c r="J141" s="239">
        <v>4000</v>
      </c>
      <c r="K141" s="192" t="s">
        <v>27</v>
      </c>
      <c r="L141" s="193" t="s">
        <v>183</v>
      </c>
      <c r="M141" s="193" t="s">
        <v>186</v>
      </c>
      <c r="N141" s="242"/>
    </row>
    <row r="142" spans="1:14" s="59" customFormat="1" x14ac:dyDescent="0.35">
      <c r="A142" s="204"/>
      <c r="B142" s="191" t="s">
        <v>4</v>
      </c>
      <c r="C142" s="191" t="str">
        <f t="shared" si="16"/>
        <v>Residential with CL</v>
      </c>
      <c r="D142" s="191" t="s">
        <v>6</v>
      </c>
      <c r="E142" s="191" t="s">
        <v>137</v>
      </c>
      <c r="F142" s="191" t="s">
        <v>21</v>
      </c>
      <c r="G142" s="191" t="s">
        <v>26</v>
      </c>
      <c r="H142" s="191"/>
      <c r="I142" s="239">
        <v>4000</v>
      </c>
      <c r="J142" s="239">
        <v>4000</v>
      </c>
      <c r="K142" s="192" t="s">
        <v>27</v>
      </c>
      <c r="L142" s="193" t="s">
        <v>183</v>
      </c>
      <c r="M142" s="193" t="s">
        <v>186</v>
      </c>
      <c r="N142" s="242"/>
    </row>
    <row r="143" spans="1:14" s="59" customFormat="1" x14ac:dyDescent="0.35">
      <c r="A143" s="204"/>
      <c r="B143" s="191" t="s">
        <v>5</v>
      </c>
      <c r="C143" s="191" t="str">
        <f t="shared" si="16"/>
        <v>Residential without CL</v>
      </c>
      <c r="D143" s="191" t="s">
        <v>6</v>
      </c>
      <c r="E143" s="191" t="s">
        <v>136</v>
      </c>
      <c r="F143" s="191" t="s">
        <v>21</v>
      </c>
      <c r="G143" s="191" t="s">
        <v>26</v>
      </c>
      <c r="H143" s="191"/>
      <c r="I143" s="239">
        <v>4000</v>
      </c>
      <c r="J143" s="239">
        <v>4000</v>
      </c>
      <c r="K143" s="192" t="s">
        <v>27</v>
      </c>
      <c r="L143" s="193" t="s">
        <v>183</v>
      </c>
      <c r="M143" s="193" t="s">
        <v>186</v>
      </c>
      <c r="N143" s="242"/>
    </row>
    <row r="144" spans="1:14" s="59" customFormat="1" x14ac:dyDescent="0.35">
      <c r="A144" s="204"/>
      <c r="B144" s="191" t="s">
        <v>5</v>
      </c>
      <c r="C144" s="191" t="str">
        <f t="shared" si="16"/>
        <v>Residential with CL</v>
      </c>
      <c r="D144" s="191" t="s">
        <v>6</v>
      </c>
      <c r="E144" s="191" t="s">
        <v>137</v>
      </c>
      <c r="F144" s="191" t="s">
        <v>21</v>
      </c>
      <c r="G144" s="191" t="s">
        <v>26</v>
      </c>
      <c r="H144" s="191"/>
      <c r="I144" s="239">
        <v>4000</v>
      </c>
      <c r="J144" s="239">
        <v>4000</v>
      </c>
      <c r="K144" s="192" t="s">
        <v>27</v>
      </c>
      <c r="L144" s="193" t="s">
        <v>183</v>
      </c>
      <c r="M144" s="193" t="s">
        <v>186</v>
      </c>
      <c r="N144" s="242"/>
    </row>
    <row r="145" spans="1:14" s="59" customFormat="1" x14ac:dyDescent="0.35">
      <c r="A145" s="204"/>
      <c r="B145" s="191" t="s">
        <v>2</v>
      </c>
      <c r="C145" s="191" t="str">
        <f t="shared" si="16"/>
        <v>Residential without CL</v>
      </c>
      <c r="D145" s="191" t="s">
        <v>6</v>
      </c>
      <c r="E145" s="191" t="s">
        <v>136</v>
      </c>
      <c r="F145" s="191"/>
      <c r="G145" s="191" t="s">
        <v>63</v>
      </c>
      <c r="H145" s="191"/>
      <c r="I145" s="241">
        <v>1393</v>
      </c>
      <c r="J145" s="241"/>
      <c r="K145" s="192" t="s">
        <v>64</v>
      </c>
      <c r="L145" s="193" t="s">
        <v>183</v>
      </c>
      <c r="M145" s="193" t="s">
        <v>56</v>
      </c>
      <c r="N145" s="242"/>
    </row>
    <row r="146" spans="1:14" s="59" customFormat="1" x14ac:dyDescent="0.35">
      <c r="A146" s="204"/>
      <c r="B146" s="191" t="s">
        <v>4</v>
      </c>
      <c r="C146" s="191" t="str">
        <f t="shared" si="16"/>
        <v>Residential without CL</v>
      </c>
      <c r="D146" s="191" t="s">
        <v>6</v>
      </c>
      <c r="E146" s="191" t="s">
        <v>136</v>
      </c>
      <c r="F146" s="191"/>
      <c r="G146" s="191" t="s">
        <v>63</v>
      </c>
      <c r="H146" s="191"/>
      <c r="I146" s="241">
        <v>1609</v>
      </c>
      <c r="J146" s="241"/>
      <c r="K146" s="192" t="s">
        <v>64</v>
      </c>
      <c r="L146" s="193" t="s">
        <v>183</v>
      </c>
      <c r="M146" s="193" t="s">
        <v>56</v>
      </c>
      <c r="N146" s="242"/>
    </row>
    <row r="147" spans="1:14" s="59" customFormat="1" x14ac:dyDescent="0.35">
      <c r="A147" s="204"/>
      <c r="B147" s="191" t="s">
        <v>0</v>
      </c>
      <c r="C147" s="191" t="str">
        <f t="shared" si="16"/>
        <v>Residential without CL</v>
      </c>
      <c r="D147" s="191" t="s">
        <v>6</v>
      </c>
      <c r="E147" s="191" t="s">
        <v>136</v>
      </c>
      <c r="F147" s="191"/>
      <c r="G147" s="191" t="s">
        <v>63</v>
      </c>
      <c r="H147" s="191"/>
      <c r="I147" s="241">
        <v>1455</v>
      </c>
      <c r="J147" s="241"/>
      <c r="K147" s="192" t="s">
        <v>64</v>
      </c>
      <c r="L147" s="193" t="s">
        <v>183</v>
      </c>
      <c r="M147" s="193" t="s">
        <v>56</v>
      </c>
      <c r="N147" s="242"/>
    </row>
    <row r="148" spans="1:14" s="59" customFormat="1" x14ac:dyDescent="0.35">
      <c r="A148" s="204"/>
      <c r="B148" s="191" t="s">
        <v>3</v>
      </c>
      <c r="C148" s="191" t="str">
        <f t="shared" si="16"/>
        <v>Residential without CL</v>
      </c>
      <c r="D148" s="191" t="s">
        <v>6</v>
      </c>
      <c r="E148" s="191" t="s">
        <v>136</v>
      </c>
      <c r="F148" s="191"/>
      <c r="G148" s="191" t="s">
        <v>63</v>
      </c>
      <c r="H148" s="191"/>
      <c r="I148" s="241">
        <v>1907</v>
      </c>
      <c r="J148" s="241"/>
      <c r="K148" s="192" t="s">
        <v>64</v>
      </c>
      <c r="L148" s="193" t="s">
        <v>183</v>
      </c>
      <c r="M148" s="193" t="s">
        <v>56</v>
      </c>
      <c r="N148" s="242"/>
    </row>
    <row r="149" spans="1:14" s="59" customFormat="1" x14ac:dyDescent="0.35">
      <c r="A149" s="204"/>
      <c r="B149" s="191" t="s">
        <v>5</v>
      </c>
      <c r="C149" s="191" t="str">
        <f t="shared" si="16"/>
        <v>Residential without CL</v>
      </c>
      <c r="D149" s="191" t="s">
        <v>6</v>
      </c>
      <c r="E149" s="191" t="s">
        <v>136</v>
      </c>
      <c r="F149" s="191"/>
      <c r="G149" s="191" t="s">
        <v>63</v>
      </c>
      <c r="H149" s="191"/>
      <c r="I149" s="241">
        <v>1716</v>
      </c>
      <c r="J149" s="241"/>
      <c r="K149" s="192" t="s">
        <v>64</v>
      </c>
      <c r="L149" s="193" t="s">
        <v>183</v>
      </c>
      <c r="M149" s="193" t="s">
        <v>56</v>
      </c>
      <c r="N149" s="242"/>
    </row>
    <row r="150" spans="1:14" s="59" customFormat="1" x14ac:dyDescent="0.35">
      <c r="A150" s="204"/>
      <c r="B150" s="191" t="s">
        <v>2</v>
      </c>
      <c r="C150" s="191" t="str">
        <f t="shared" si="16"/>
        <v>Residential with CL</v>
      </c>
      <c r="D150" s="191" t="s">
        <v>6</v>
      </c>
      <c r="E150" s="191" t="s">
        <v>137</v>
      </c>
      <c r="F150" s="191"/>
      <c r="G150" s="191" t="s">
        <v>63</v>
      </c>
      <c r="H150" s="191"/>
      <c r="I150" s="241">
        <v>1912</v>
      </c>
      <c r="J150" s="241"/>
      <c r="K150" s="192" t="s">
        <v>64</v>
      </c>
      <c r="L150" s="193" t="s">
        <v>183</v>
      </c>
      <c r="M150" s="193" t="s">
        <v>56</v>
      </c>
      <c r="N150" s="242"/>
    </row>
    <row r="151" spans="1:14" s="59" customFormat="1" x14ac:dyDescent="0.35">
      <c r="A151" s="204"/>
      <c r="B151" s="191" t="s">
        <v>4</v>
      </c>
      <c r="C151" s="191" t="str">
        <f t="shared" si="16"/>
        <v>Residential with CL</v>
      </c>
      <c r="D151" s="191" t="s">
        <v>6</v>
      </c>
      <c r="E151" s="191" t="s">
        <v>137</v>
      </c>
      <c r="F151" s="191"/>
      <c r="G151" s="191" t="s">
        <v>63</v>
      </c>
      <c r="H151" s="191"/>
      <c r="I151" s="241">
        <v>2014</v>
      </c>
      <c r="J151" s="241"/>
      <c r="K151" s="192" t="s">
        <v>64</v>
      </c>
      <c r="L151" s="193" t="s">
        <v>183</v>
      </c>
      <c r="M151" s="193" t="s">
        <v>56</v>
      </c>
      <c r="N151" s="242"/>
    </row>
    <row r="152" spans="1:14" s="59" customFormat="1" x14ac:dyDescent="0.35">
      <c r="A152" s="204"/>
      <c r="B152" s="191" t="s">
        <v>0</v>
      </c>
      <c r="C152" s="191" t="str">
        <f t="shared" si="16"/>
        <v>Residential with CL</v>
      </c>
      <c r="D152" s="191" t="s">
        <v>6</v>
      </c>
      <c r="E152" s="191" t="s">
        <v>137</v>
      </c>
      <c r="F152" s="191"/>
      <c r="G152" s="191" t="s">
        <v>63</v>
      </c>
      <c r="H152" s="191"/>
      <c r="I152" s="241">
        <v>1741</v>
      </c>
      <c r="J152" s="241"/>
      <c r="K152" s="192" t="s">
        <v>64</v>
      </c>
      <c r="L152" s="193" t="s">
        <v>183</v>
      </c>
      <c r="M152" s="193" t="s">
        <v>56</v>
      </c>
      <c r="N152" s="242"/>
    </row>
    <row r="153" spans="1:14" s="59" customFormat="1" x14ac:dyDescent="0.35">
      <c r="A153" s="204"/>
      <c r="B153" s="191" t="s">
        <v>3</v>
      </c>
      <c r="C153" s="191" t="str">
        <f t="shared" si="16"/>
        <v>Residential with CL</v>
      </c>
      <c r="D153" s="191" t="s">
        <v>6</v>
      </c>
      <c r="E153" s="191" t="s">
        <v>137</v>
      </c>
      <c r="F153" s="191"/>
      <c r="G153" s="191" t="s">
        <v>63</v>
      </c>
      <c r="H153" s="191"/>
      <c r="I153" s="241">
        <v>2271</v>
      </c>
      <c r="J153" s="241"/>
      <c r="K153" s="192" t="s">
        <v>64</v>
      </c>
      <c r="L153" s="193" t="s">
        <v>183</v>
      </c>
      <c r="M153" s="193" t="s">
        <v>56</v>
      </c>
      <c r="N153" s="242"/>
    </row>
    <row r="154" spans="1:14" s="59" customFormat="1" x14ac:dyDescent="0.35">
      <c r="A154" s="204"/>
      <c r="B154" s="191" t="s">
        <v>5</v>
      </c>
      <c r="C154" s="191" t="str">
        <f t="shared" si="16"/>
        <v>Residential with CL</v>
      </c>
      <c r="D154" s="191" t="s">
        <v>6</v>
      </c>
      <c r="E154" s="191" t="s">
        <v>137</v>
      </c>
      <c r="F154" s="191"/>
      <c r="G154" s="191" t="s">
        <v>63</v>
      </c>
      <c r="H154" s="191"/>
      <c r="I154" s="241">
        <v>2077</v>
      </c>
      <c r="J154" s="241"/>
      <c r="K154" s="192" t="s">
        <v>64</v>
      </c>
      <c r="L154" s="193" t="s">
        <v>183</v>
      </c>
      <c r="M154" s="193" t="s">
        <v>56</v>
      </c>
      <c r="N154" s="242"/>
    </row>
    <row r="155" spans="1:14" s="59" customFormat="1" x14ac:dyDescent="0.35">
      <c r="A155" s="204"/>
      <c r="B155" s="191" t="s">
        <v>2</v>
      </c>
      <c r="C155" s="191" t="str">
        <f t="shared" si="16"/>
        <v>Small business without CL</v>
      </c>
      <c r="D155" s="191" t="s">
        <v>14</v>
      </c>
      <c r="E155" s="191" t="s">
        <v>136</v>
      </c>
      <c r="F155" s="191"/>
      <c r="G155" s="191" t="s">
        <v>63</v>
      </c>
      <c r="H155" s="191"/>
      <c r="I155" s="241">
        <v>6900</v>
      </c>
      <c r="J155" s="241"/>
      <c r="K155" s="192" t="s">
        <v>64</v>
      </c>
      <c r="L155" s="193" t="s">
        <v>183</v>
      </c>
      <c r="M155" s="193" t="s">
        <v>56</v>
      </c>
      <c r="N155" s="242"/>
    </row>
    <row r="156" spans="1:14" s="59" customFormat="1" x14ac:dyDescent="0.35">
      <c r="A156" s="204"/>
      <c r="B156" s="191" t="s">
        <v>4</v>
      </c>
      <c r="C156" s="191" t="str">
        <f t="shared" si="16"/>
        <v>Small business without CL</v>
      </c>
      <c r="D156" s="191" t="s">
        <v>14</v>
      </c>
      <c r="E156" s="191" t="s">
        <v>136</v>
      </c>
      <c r="F156" s="191"/>
      <c r="G156" s="191" t="s">
        <v>63</v>
      </c>
      <c r="H156" s="191"/>
      <c r="I156" s="241">
        <v>5736</v>
      </c>
      <c r="J156" s="241"/>
      <c r="K156" s="192" t="s">
        <v>64</v>
      </c>
      <c r="L156" s="193" t="s">
        <v>183</v>
      </c>
      <c r="M156" s="193" t="s">
        <v>56</v>
      </c>
      <c r="N156" s="242"/>
    </row>
    <row r="157" spans="1:14" s="59" customFormat="1" x14ac:dyDescent="0.35">
      <c r="A157" s="204"/>
      <c r="B157" s="191" t="s">
        <v>0</v>
      </c>
      <c r="C157" s="191" t="str">
        <f t="shared" si="16"/>
        <v>Small business without CL</v>
      </c>
      <c r="D157" s="191" t="s">
        <v>14</v>
      </c>
      <c r="E157" s="191" t="s">
        <v>136</v>
      </c>
      <c r="F157" s="191"/>
      <c r="G157" s="191" t="s">
        <v>63</v>
      </c>
      <c r="H157" s="191"/>
      <c r="I157" s="241">
        <v>5517</v>
      </c>
      <c r="J157" s="241"/>
      <c r="K157" s="192" t="s">
        <v>64</v>
      </c>
      <c r="L157" s="193" t="s">
        <v>183</v>
      </c>
      <c r="M157" s="193" t="s">
        <v>56</v>
      </c>
      <c r="N157" s="242"/>
    </row>
    <row r="158" spans="1:14" s="59" customFormat="1" x14ac:dyDescent="0.35">
      <c r="A158" s="204"/>
      <c r="B158" s="191" t="s">
        <v>3</v>
      </c>
      <c r="C158" s="191" t="str">
        <f t="shared" si="16"/>
        <v>Small business without CL</v>
      </c>
      <c r="D158" s="191" t="s">
        <v>14</v>
      </c>
      <c r="E158" s="191" t="s">
        <v>136</v>
      </c>
      <c r="F158" s="191"/>
      <c r="G158" s="191" t="s">
        <v>63</v>
      </c>
      <c r="H158" s="191"/>
      <c r="I158" s="241">
        <v>7791</v>
      </c>
      <c r="J158" s="241"/>
      <c r="K158" s="192" t="s">
        <v>64</v>
      </c>
      <c r="L158" s="193" t="s">
        <v>183</v>
      </c>
      <c r="M158" s="193" t="s">
        <v>56</v>
      </c>
      <c r="N158" s="242"/>
    </row>
    <row r="159" spans="1:14" s="59" customFormat="1" x14ac:dyDescent="0.35">
      <c r="A159" s="204"/>
      <c r="B159" s="191" t="s">
        <v>5</v>
      </c>
      <c r="C159" s="191" t="str">
        <f t="shared" si="16"/>
        <v>Small business without CL</v>
      </c>
      <c r="D159" s="191" t="s">
        <v>14</v>
      </c>
      <c r="E159" s="191" t="s">
        <v>136</v>
      </c>
      <c r="F159" s="191"/>
      <c r="G159" s="191" t="s">
        <v>63</v>
      </c>
      <c r="H159" s="191"/>
      <c r="I159" s="241">
        <v>8033</v>
      </c>
      <c r="J159" s="241"/>
      <c r="K159" s="192" t="s">
        <v>64</v>
      </c>
      <c r="L159" s="193" t="s">
        <v>183</v>
      </c>
      <c r="M159" s="193" t="s">
        <v>56</v>
      </c>
      <c r="N159" s="242"/>
    </row>
    <row r="160" spans="1:14" x14ac:dyDescent="0.35">
      <c r="A160" s="204"/>
      <c r="B160" s="297" t="s">
        <v>2</v>
      </c>
      <c r="C160" s="191" t="str">
        <f t="shared" ref="C160:C174" si="20">IF(D160="","All",D160&amp;" "&amp;E160)</f>
        <v>Residential without CL</v>
      </c>
      <c r="D160" s="191" t="s">
        <v>6</v>
      </c>
      <c r="E160" s="191" t="s">
        <v>136</v>
      </c>
      <c r="F160" s="191"/>
      <c r="G160" s="191" t="s">
        <v>195</v>
      </c>
      <c r="H160" s="191"/>
      <c r="I160" s="241" t="s">
        <v>56</v>
      </c>
      <c r="J160" s="298">
        <v>0.1</v>
      </c>
      <c r="K160" s="192" t="s">
        <v>29</v>
      </c>
      <c r="L160" s="193" t="s">
        <v>56</v>
      </c>
      <c r="M160" s="193" t="s">
        <v>186</v>
      </c>
      <c r="N160" s="242"/>
    </row>
    <row r="161" spans="1:14" x14ac:dyDescent="0.35">
      <c r="A161" s="204"/>
      <c r="B161" s="297" t="s">
        <v>2</v>
      </c>
      <c r="C161" s="191" t="str">
        <f t="shared" si="20"/>
        <v>Residential with CL</v>
      </c>
      <c r="D161" s="191" t="s">
        <v>6</v>
      </c>
      <c r="E161" s="191" t="s">
        <v>137</v>
      </c>
      <c r="F161" s="191"/>
      <c r="G161" s="191" t="s">
        <v>195</v>
      </c>
      <c r="H161" s="191"/>
      <c r="I161" s="241" t="s">
        <v>56</v>
      </c>
      <c r="J161" s="298">
        <v>0.1</v>
      </c>
      <c r="K161" s="192" t="s">
        <v>29</v>
      </c>
      <c r="L161" s="193" t="s">
        <v>56</v>
      </c>
      <c r="M161" s="193" t="s">
        <v>186</v>
      </c>
      <c r="N161" s="242"/>
    </row>
    <row r="162" spans="1:14" x14ac:dyDescent="0.35">
      <c r="A162" s="204"/>
      <c r="B162" s="297" t="s">
        <v>2</v>
      </c>
      <c r="C162" s="191" t="str">
        <f t="shared" si="20"/>
        <v>Small business without CL</v>
      </c>
      <c r="D162" s="191" t="s">
        <v>14</v>
      </c>
      <c r="E162" s="191" t="s">
        <v>136</v>
      </c>
      <c r="F162" s="191"/>
      <c r="G162" s="191" t="s">
        <v>195</v>
      </c>
      <c r="H162" s="191"/>
      <c r="I162" s="241" t="s">
        <v>56</v>
      </c>
      <c r="J162" s="298">
        <v>0.25</v>
      </c>
      <c r="K162" s="192" t="s">
        <v>29</v>
      </c>
      <c r="L162" s="193" t="s">
        <v>56</v>
      </c>
      <c r="M162" s="193" t="s">
        <v>186</v>
      </c>
      <c r="N162" s="242"/>
    </row>
    <row r="163" spans="1:14" x14ac:dyDescent="0.35">
      <c r="A163" s="204"/>
      <c r="B163" s="297" t="s">
        <v>4</v>
      </c>
      <c r="C163" s="191" t="str">
        <f t="shared" si="20"/>
        <v>Residential without CL</v>
      </c>
      <c r="D163" s="191" t="s">
        <v>6</v>
      </c>
      <c r="E163" s="191" t="s">
        <v>136</v>
      </c>
      <c r="F163" s="191"/>
      <c r="G163" s="191" t="s">
        <v>195</v>
      </c>
      <c r="H163" s="191"/>
      <c r="I163" s="241" t="s">
        <v>56</v>
      </c>
      <c r="J163" s="298">
        <v>0.1</v>
      </c>
      <c r="K163" s="192" t="s">
        <v>29</v>
      </c>
      <c r="L163" s="193" t="s">
        <v>56</v>
      </c>
      <c r="M163" s="193" t="s">
        <v>186</v>
      </c>
      <c r="N163" s="242"/>
    </row>
    <row r="164" spans="1:14" x14ac:dyDescent="0.35">
      <c r="A164" s="204"/>
      <c r="B164" s="297" t="s">
        <v>4</v>
      </c>
      <c r="C164" s="191" t="str">
        <f t="shared" si="20"/>
        <v>Residential with CL</v>
      </c>
      <c r="D164" s="191" t="s">
        <v>6</v>
      </c>
      <c r="E164" s="191" t="s">
        <v>137</v>
      </c>
      <c r="F164" s="191"/>
      <c r="G164" s="191" t="s">
        <v>195</v>
      </c>
      <c r="H164" s="191"/>
      <c r="I164" s="241" t="s">
        <v>56</v>
      </c>
      <c r="J164" s="298">
        <v>0.1</v>
      </c>
      <c r="K164" s="192" t="s">
        <v>29</v>
      </c>
      <c r="L164" s="193" t="s">
        <v>56</v>
      </c>
      <c r="M164" s="193" t="s">
        <v>186</v>
      </c>
      <c r="N164" s="242"/>
    </row>
    <row r="165" spans="1:14" x14ac:dyDescent="0.35">
      <c r="A165" s="204"/>
      <c r="B165" s="297" t="s">
        <v>4</v>
      </c>
      <c r="C165" s="191" t="str">
        <f t="shared" si="20"/>
        <v>Small business without CL</v>
      </c>
      <c r="D165" s="191" t="s">
        <v>14</v>
      </c>
      <c r="E165" s="191" t="s">
        <v>136</v>
      </c>
      <c r="F165" s="191"/>
      <c r="G165" s="191" t="s">
        <v>195</v>
      </c>
      <c r="H165" s="191"/>
      <c r="I165" s="241" t="s">
        <v>56</v>
      </c>
      <c r="J165" s="298">
        <v>0.16600000000000001</v>
      </c>
      <c r="K165" s="192" t="s">
        <v>29</v>
      </c>
      <c r="L165" s="193" t="s">
        <v>56</v>
      </c>
      <c r="M165" s="193" t="s">
        <v>186</v>
      </c>
      <c r="N165" s="242"/>
    </row>
    <row r="166" spans="1:14" x14ac:dyDescent="0.35">
      <c r="A166" s="204"/>
      <c r="B166" s="297" t="s">
        <v>3</v>
      </c>
      <c r="C166" s="191" t="str">
        <f t="shared" si="20"/>
        <v>Residential without CL</v>
      </c>
      <c r="D166" s="191" t="s">
        <v>6</v>
      </c>
      <c r="E166" s="191" t="s">
        <v>136</v>
      </c>
      <c r="F166" s="191"/>
      <c r="G166" s="191" t="s">
        <v>195</v>
      </c>
      <c r="H166" s="191"/>
      <c r="I166" s="241" t="s">
        <v>56</v>
      </c>
      <c r="J166" s="298">
        <v>0.1</v>
      </c>
      <c r="K166" s="192" t="s">
        <v>29</v>
      </c>
      <c r="L166" s="193" t="s">
        <v>56</v>
      </c>
      <c r="M166" s="193" t="s">
        <v>186</v>
      </c>
      <c r="N166" s="242"/>
    </row>
    <row r="167" spans="1:14" x14ac:dyDescent="0.35">
      <c r="A167" s="204"/>
      <c r="B167" s="297" t="s">
        <v>3</v>
      </c>
      <c r="C167" s="191" t="str">
        <f t="shared" si="20"/>
        <v>Residential with CL</v>
      </c>
      <c r="D167" s="191" t="s">
        <v>6</v>
      </c>
      <c r="E167" s="191" t="s">
        <v>137</v>
      </c>
      <c r="F167" s="191"/>
      <c r="G167" s="191" t="s">
        <v>195</v>
      </c>
      <c r="H167" s="191"/>
      <c r="I167" s="241" t="s">
        <v>56</v>
      </c>
      <c r="J167" s="298">
        <v>0.1</v>
      </c>
      <c r="K167" s="192" t="s">
        <v>29</v>
      </c>
      <c r="L167" s="193" t="s">
        <v>56</v>
      </c>
      <c r="M167" s="193" t="s">
        <v>186</v>
      </c>
      <c r="N167" s="242"/>
    </row>
    <row r="168" spans="1:14" x14ac:dyDescent="0.35">
      <c r="A168" s="204"/>
      <c r="B168" s="297" t="s">
        <v>3</v>
      </c>
      <c r="C168" s="191" t="str">
        <f t="shared" si="20"/>
        <v>Small business without CL</v>
      </c>
      <c r="D168" s="191" t="s">
        <v>14</v>
      </c>
      <c r="E168" s="191" t="s">
        <v>136</v>
      </c>
      <c r="F168" s="191"/>
      <c r="G168" s="191" t="s">
        <v>195</v>
      </c>
      <c r="H168" s="191"/>
      <c r="I168" s="241" t="s">
        <v>56</v>
      </c>
      <c r="J168" s="298">
        <v>0.20300000000000001</v>
      </c>
      <c r="K168" s="192" t="s">
        <v>29</v>
      </c>
      <c r="L168" s="193" t="s">
        <v>56</v>
      </c>
      <c r="M168" s="193" t="s">
        <v>186</v>
      </c>
      <c r="N168" s="242"/>
    </row>
    <row r="169" spans="1:14" x14ac:dyDescent="0.35">
      <c r="A169" s="204"/>
      <c r="B169" s="297" t="s">
        <v>0</v>
      </c>
      <c r="C169" s="191" t="str">
        <f t="shared" si="20"/>
        <v>Residential without CL</v>
      </c>
      <c r="D169" s="191" t="s">
        <v>6</v>
      </c>
      <c r="E169" s="191" t="s">
        <v>136</v>
      </c>
      <c r="F169" s="191"/>
      <c r="G169" s="191" t="s">
        <v>195</v>
      </c>
      <c r="H169" s="191"/>
      <c r="I169" s="241" t="s">
        <v>56</v>
      </c>
      <c r="J169" s="298">
        <v>8.4000000000000005E-2</v>
      </c>
      <c r="K169" s="192" t="s">
        <v>29</v>
      </c>
      <c r="L169" s="193" t="s">
        <v>56</v>
      </c>
      <c r="M169" s="193" t="s">
        <v>186</v>
      </c>
      <c r="N169" s="242"/>
    </row>
    <row r="170" spans="1:14" x14ac:dyDescent="0.35">
      <c r="A170" s="204"/>
      <c r="B170" s="297" t="s">
        <v>0</v>
      </c>
      <c r="C170" s="191" t="str">
        <f t="shared" si="20"/>
        <v>Residential with CL</v>
      </c>
      <c r="D170" s="191" t="s">
        <v>6</v>
      </c>
      <c r="E170" s="191" t="s">
        <v>137</v>
      </c>
      <c r="F170" s="191"/>
      <c r="G170" s="191" t="s">
        <v>195</v>
      </c>
      <c r="H170" s="191"/>
      <c r="I170" s="241" t="s">
        <v>56</v>
      </c>
      <c r="J170" s="298">
        <v>0.1</v>
      </c>
      <c r="K170" s="192" t="s">
        <v>29</v>
      </c>
      <c r="L170" s="193" t="s">
        <v>56</v>
      </c>
      <c r="M170" s="193" t="s">
        <v>186</v>
      </c>
      <c r="N170" s="242"/>
    </row>
    <row r="171" spans="1:14" x14ac:dyDescent="0.35">
      <c r="A171" s="204"/>
      <c r="B171" s="297" t="s">
        <v>0</v>
      </c>
      <c r="C171" s="191" t="str">
        <f t="shared" si="20"/>
        <v>Small business without CL</v>
      </c>
      <c r="D171" s="191" t="s">
        <v>14</v>
      </c>
      <c r="E171" s="191" t="s">
        <v>136</v>
      </c>
      <c r="F171" s="191"/>
      <c r="G171" s="191" t="s">
        <v>195</v>
      </c>
      <c r="H171" s="191"/>
      <c r="I171" s="241" t="s">
        <v>56</v>
      </c>
      <c r="J171" s="298">
        <v>0.17</v>
      </c>
      <c r="K171" s="192" t="s">
        <v>29</v>
      </c>
      <c r="L171" s="193" t="s">
        <v>56</v>
      </c>
      <c r="M171" s="193" t="s">
        <v>186</v>
      </c>
      <c r="N171" s="242"/>
    </row>
    <row r="172" spans="1:14" x14ac:dyDescent="0.35">
      <c r="A172" s="204"/>
      <c r="B172" s="297" t="s">
        <v>5</v>
      </c>
      <c r="C172" s="191" t="str">
        <f t="shared" si="20"/>
        <v>Residential without CL</v>
      </c>
      <c r="D172" s="191" t="s">
        <v>6</v>
      </c>
      <c r="E172" s="191" t="s">
        <v>136</v>
      </c>
      <c r="F172" s="191"/>
      <c r="G172" s="191" t="s">
        <v>195</v>
      </c>
      <c r="H172" s="191"/>
      <c r="I172" s="241" t="s">
        <v>56</v>
      </c>
      <c r="J172" s="298">
        <v>0.06</v>
      </c>
      <c r="K172" s="192" t="s">
        <v>29</v>
      </c>
      <c r="L172" s="193" t="s">
        <v>56</v>
      </c>
      <c r="M172" s="193" t="s">
        <v>186</v>
      </c>
      <c r="N172" s="242"/>
    </row>
    <row r="173" spans="1:14" x14ac:dyDescent="0.35">
      <c r="A173" s="204"/>
      <c r="B173" s="297" t="s">
        <v>5</v>
      </c>
      <c r="C173" s="191" t="str">
        <f t="shared" si="20"/>
        <v>Residential with CL</v>
      </c>
      <c r="D173" s="191" t="s">
        <v>6</v>
      </c>
      <c r="E173" s="191" t="s">
        <v>137</v>
      </c>
      <c r="F173" s="191"/>
      <c r="G173" s="191" t="s">
        <v>195</v>
      </c>
      <c r="H173" s="191"/>
      <c r="I173" s="241" t="s">
        <v>56</v>
      </c>
      <c r="J173" s="298">
        <v>0.06</v>
      </c>
      <c r="K173" s="192" t="s">
        <v>29</v>
      </c>
      <c r="L173" s="193" t="s">
        <v>56</v>
      </c>
      <c r="M173" s="193" t="s">
        <v>186</v>
      </c>
      <c r="N173" s="242"/>
    </row>
    <row r="174" spans="1:14" x14ac:dyDescent="0.35">
      <c r="A174" s="204"/>
      <c r="B174" s="297" t="s">
        <v>5</v>
      </c>
      <c r="C174" s="191" t="str">
        <f t="shared" si="20"/>
        <v>Small business without CL</v>
      </c>
      <c r="D174" s="191" t="s">
        <v>14</v>
      </c>
      <c r="E174" s="191" t="s">
        <v>136</v>
      </c>
      <c r="F174" s="191"/>
      <c r="G174" s="191" t="s">
        <v>195</v>
      </c>
      <c r="H174" s="191"/>
      <c r="I174" s="241" t="s">
        <v>56</v>
      </c>
      <c r="J174" s="298">
        <v>0.15</v>
      </c>
      <c r="K174" s="192" t="s">
        <v>29</v>
      </c>
      <c r="L174" s="193" t="s">
        <v>56</v>
      </c>
      <c r="M174" s="193" t="s">
        <v>186</v>
      </c>
      <c r="N174" s="242"/>
    </row>
    <row r="175" spans="1:14" x14ac:dyDescent="0.35">
      <c r="A175" s="204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 t="str">
        <f t="shared" ref="N175:N193" si="21">IFERROR(IF(K175="%",J175-I175,J175/I175-1),"")</f>
        <v/>
      </c>
    </row>
    <row r="176" spans="1:14" x14ac:dyDescent="0.35">
      <c r="A176" s="204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 t="str">
        <f t="shared" si="21"/>
        <v/>
      </c>
    </row>
    <row r="177" spans="1:14" x14ac:dyDescent="0.35">
      <c r="A177" s="204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 t="str">
        <f t="shared" si="21"/>
        <v/>
      </c>
    </row>
    <row r="178" spans="1:14" x14ac:dyDescent="0.35">
      <c r="A178" s="204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 t="str">
        <f t="shared" si="21"/>
        <v/>
      </c>
    </row>
    <row r="179" spans="1:14" x14ac:dyDescent="0.35">
      <c r="A179" s="204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 t="str">
        <f t="shared" si="21"/>
        <v/>
      </c>
    </row>
    <row r="180" spans="1:14" x14ac:dyDescent="0.35">
      <c r="A180" s="204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 t="str">
        <f t="shared" si="21"/>
        <v/>
      </c>
    </row>
    <row r="181" spans="1:14" x14ac:dyDescent="0.35">
      <c r="A181" s="204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 t="str">
        <f t="shared" si="21"/>
        <v/>
      </c>
    </row>
    <row r="182" spans="1:14" x14ac:dyDescent="0.35">
      <c r="A182" s="204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 t="str">
        <f t="shared" si="21"/>
        <v/>
      </c>
    </row>
    <row r="183" spans="1:14" x14ac:dyDescent="0.35">
      <c r="A183" s="204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 t="str">
        <f t="shared" si="21"/>
        <v/>
      </c>
    </row>
    <row r="184" spans="1:14" x14ac:dyDescent="0.35">
      <c r="A184" s="204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 t="str">
        <f t="shared" si="21"/>
        <v/>
      </c>
    </row>
    <row r="185" spans="1:14" x14ac:dyDescent="0.35">
      <c r="A185" s="204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 t="str">
        <f t="shared" si="21"/>
        <v/>
      </c>
    </row>
    <row r="186" spans="1:14" x14ac:dyDescent="0.35">
      <c r="A186" s="204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 t="str">
        <f t="shared" si="21"/>
        <v/>
      </c>
    </row>
    <row r="187" spans="1:14" x14ac:dyDescent="0.35">
      <c r="A187" s="204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 t="str">
        <f t="shared" si="21"/>
        <v/>
      </c>
    </row>
    <row r="188" spans="1:14" x14ac:dyDescent="0.35">
      <c r="A188" s="204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 t="str">
        <f t="shared" si="21"/>
        <v/>
      </c>
    </row>
    <row r="189" spans="1:14" x14ac:dyDescent="0.35">
      <c r="A189" s="204"/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 t="str">
        <f t="shared" si="21"/>
        <v/>
      </c>
    </row>
    <row r="190" spans="1:14" x14ac:dyDescent="0.35">
      <c r="A190" s="204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 t="str">
        <f t="shared" si="21"/>
        <v/>
      </c>
    </row>
    <row r="191" spans="1:14" x14ac:dyDescent="0.35">
      <c r="A191" s="204"/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 t="str">
        <f t="shared" si="21"/>
        <v/>
      </c>
    </row>
    <row r="192" spans="1:14" x14ac:dyDescent="0.35">
      <c r="A192" s="204"/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 t="str">
        <f t="shared" si="21"/>
        <v/>
      </c>
    </row>
    <row r="193" spans="1:14" x14ac:dyDescent="0.35">
      <c r="A193" s="204"/>
      <c r="B193" s="191"/>
      <c r="C193" s="191"/>
      <c r="D193" s="191"/>
      <c r="E193" s="191"/>
      <c r="F193" s="191"/>
      <c r="G193" s="191"/>
      <c r="H193" s="191"/>
      <c r="I193" s="299"/>
      <c r="J193" s="299"/>
      <c r="K193" s="192"/>
      <c r="L193" s="193"/>
      <c r="M193" s="193"/>
      <c r="N193" s="300" t="str">
        <f t="shared" si="21"/>
        <v/>
      </c>
    </row>
    <row r="194" spans="1:14" x14ac:dyDescent="0.35">
      <c r="A194" s="204"/>
      <c r="B194" s="191"/>
      <c r="C194" s="191"/>
      <c r="D194" s="191"/>
      <c r="E194" s="191"/>
      <c r="F194" s="191"/>
      <c r="G194" s="191"/>
      <c r="H194" s="191"/>
      <c r="I194" s="299"/>
      <c r="J194" s="299"/>
      <c r="K194" s="192"/>
      <c r="L194" s="193"/>
      <c r="M194" s="193"/>
      <c r="N194" s="301" t="str">
        <f t="shared" ref="N194:N211" si="22">IF(OR(I194="",J194="",I194=0),"",J194/I194-1)</f>
        <v/>
      </c>
    </row>
    <row r="195" spans="1:14" x14ac:dyDescent="0.35">
      <c r="A195" s="204"/>
      <c r="B195" s="191"/>
      <c r="C195" s="191"/>
      <c r="D195" s="191"/>
      <c r="E195" s="191"/>
      <c r="F195" s="191"/>
      <c r="G195" s="191"/>
      <c r="H195" s="191"/>
      <c r="I195" s="299"/>
      <c r="J195" s="299"/>
      <c r="K195" s="192"/>
      <c r="L195" s="193"/>
      <c r="M195" s="193"/>
      <c r="N195" s="301" t="str">
        <f t="shared" si="22"/>
        <v/>
      </c>
    </row>
    <row r="196" spans="1:14" x14ac:dyDescent="0.35">
      <c r="A196" s="204"/>
      <c r="B196" s="191"/>
      <c r="C196" s="191"/>
      <c r="D196" s="191"/>
      <c r="E196" s="191"/>
      <c r="F196" s="191"/>
      <c r="G196" s="191"/>
      <c r="H196" s="191"/>
      <c r="I196" s="299"/>
      <c r="J196" s="299"/>
      <c r="K196" s="192"/>
      <c r="L196" s="193"/>
      <c r="M196" s="193"/>
      <c r="N196" s="301" t="str">
        <f t="shared" si="22"/>
        <v/>
      </c>
    </row>
    <row r="197" spans="1:14" x14ac:dyDescent="0.35">
      <c r="A197" s="204"/>
      <c r="B197" s="191"/>
      <c r="C197" s="191"/>
      <c r="D197" s="191"/>
      <c r="E197" s="191"/>
      <c r="F197" s="191"/>
      <c r="G197" s="191"/>
      <c r="H197" s="191"/>
      <c r="I197" s="299"/>
      <c r="J197" s="299"/>
      <c r="K197" s="192"/>
      <c r="L197" s="193"/>
      <c r="M197" s="193"/>
      <c r="N197" s="301" t="str">
        <f t="shared" si="22"/>
        <v/>
      </c>
    </row>
    <row r="198" spans="1:14" x14ac:dyDescent="0.35">
      <c r="A198" s="204"/>
      <c r="B198" s="191"/>
      <c r="C198" s="191"/>
      <c r="D198" s="191"/>
      <c r="E198" s="191"/>
      <c r="F198" s="191"/>
      <c r="G198" s="191"/>
      <c r="H198" s="191"/>
      <c r="I198" s="299"/>
      <c r="J198" s="299"/>
      <c r="K198" s="192"/>
      <c r="L198" s="193"/>
      <c r="M198" s="193"/>
      <c r="N198" s="301" t="str">
        <f t="shared" si="22"/>
        <v/>
      </c>
    </row>
    <row r="199" spans="1:14" x14ac:dyDescent="0.35">
      <c r="A199" s="204"/>
      <c r="B199" s="191"/>
      <c r="C199" s="191"/>
      <c r="D199" s="191"/>
      <c r="E199" s="191"/>
      <c r="F199" s="191"/>
      <c r="G199" s="191"/>
      <c r="H199" s="191"/>
      <c r="I199" s="299"/>
      <c r="J199" s="299"/>
      <c r="K199" s="192"/>
      <c r="L199" s="193"/>
      <c r="M199" s="193"/>
      <c r="N199" s="301" t="str">
        <f t="shared" si="22"/>
        <v/>
      </c>
    </row>
    <row r="200" spans="1:14" x14ac:dyDescent="0.35">
      <c r="A200" s="204"/>
      <c r="B200" s="191"/>
      <c r="C200" s="191"/>
      <c r="D200" s="191"/>
      <c r="E200" s="191"/>
      <c r="F200" s="191"/>
      <c r="G200" s="191"/>
      <c r="H200" s="191"/>
      <c r="I200" s="299"/>
      <c r="J200" s="299"/>
      <c r="K200" s="192"/>
      <c r="L200" s="193"/>
      <c r="M200" s="193"/>
      <c r="N200" s="301" t="str">
        <f t="shared" si="22"/>
        <v/>
      </c>
    </row>
    <row r="201" spans="1:14" x14ac:dyDescent="0.35">
      <c r="A201" s="204"/>
      <c r="B201" s="191"/>
      <c r="C201" s="191"/>
      <c r="D201" s="191"/>
      <c r="E201" s="191"/>
      <c r="F201" s="191"/>
      <c r="G201" s="191"/>
      <c r="H201" s="191"/>
      <c r="I201" s="299"/>
      <c r="J201" s="299"/>
      <c r="K201" s="192"/>
      <c r="L201" s="193"/>
      <c r="M201" s="193"/>
      <c r="N201" s="301" t="str">
        <f t="shared" si="22"/>
        <v/>
      </c>
    </row>
    <row r="202" spans="1:14" x14ac:dyDescent="0.35">
      <c r="A202" s="204"/>
      <c r="B202" s="191"/>
      <c r="C202" s="191"/>
      <c r="D202" s="191"/>
      <c r="E202" s="191"/>
      <c r="F202" s="191"/>
      <c r="G202" s="191"/>
      <c r="H202" s="191"/>
      <c r="I202" s="299"/>
      <c r="J202" s="299"/>
      <c r="K202" s="192"/>
      <c r="L202" s="193"/>
      <c r="M202" s="193"/>
      <c r="N202" s="301" t="str">
        <f t="shared" si="22"/>
        <v/>
      </c>
    </row>
    <row r="203" spans="1:14" x14ac:dyDescent="0.35">
      <c r="A203" s="204"/>
      <c r="B203" s="191"/>
      <c r="C203" s="191"/>
      <c r="D203" s="191"/>
      <c r="E203" s="191"/>
      <c r="F203" s="191"/>
      <c r="G203" s="191"/>
      <c r="H203" s="191"/>
      <c r="I203" s="299"/>
      <c r="J203" s="299"/>
      <c r="K203" s="192"/>
      <c r="L203" s="193"/>
      <c r="M203" s="193"/>
      <c r="N203" s="301" t="str">
        <f t="shared" si="22"/>
        <v/>
      </c>
    </row>
    <row r="204" spans="1:14" x14ac:dyDescent="0.35">
      <c r="A204" s="204"/>
      <c r="B204" s="191"/>
      <c r="C204" s="191"/>
      <c r="D204" s="191"/>
      <c r="E204" s="191"/>
      <c r="F204" s="191"/>
      <c r="G204" s="191"/>
      <c r="H204" s="191"/>
      <c r="I204" s="299"/>
      <c r="J204" s="299"/>
      <c r="K204" s="192"/>
      <c r="L204" s="193"/>
      <c r="M204" s="193"/>
      <c r="N204" s="301" t="str">
        <f t="shared" si="22"/>
        <v/>
      </c>
    </row>
    <row r="205" spans="1:14" x14ac:dyDescent="0.35">
      <c r="A205" s="204"/>
      <c r="B205" s="191"/>
      <c r="C205" s="191"/>
      <c r="D205" s="191"/>
      <c r="E205" s="191"/>
      <c r="F205" s="191"/>
      <c r="G205" s="191"/>
      <c r="H205" s="191"/>
      <c r="I205" s="299"/>
      <c r="J205" s="299"/>
      <c r="K205" s="192"/>
      <c r="L205" s="193"/>
      <c r="M205" s="193"/>
      <c r="N205" s="301" t="str">
        <f t="shared" si="22"/>
        <v/>
      </c>
    </row>
    <row r="206" spans="1:14" x14ac:dyDescent="0.35">
      <c r="A206" s="204"/>
      <c r="B206" s="191"/>
      <c r="C206" s="191"/>
      <c r="D206" s="191"/>
      <c r="E206" s="191"/>
      <c r="F206" s="191"/>
      <c r="G206" s="191"/>
      <c r="H206" s="191"/>
      <c r="I206" s="299"/>
      <c r="J206" s="299"/>
      <c r="K206" s="192"/>
      <c r="L206" s="193"/>
      <c r="M206" s="193"/>
      <c r="N206" s="301" t="str">
        <f t="shared" si="22"/>
        <v/>
      </c>
    </row>
    <row r="207" spans="1:14" x14ac:dyDescent="0.35">
      <c r="A207" s="204"/>
      <c r="B207" s="191"/>
      <c r="C207" s="191"/>
      <c r="D207" s="191"/>
      <c r="E207" s="191"/>
      <c r="F207" s="191"/>
      <c r="G207" s="191"/>
      <c r="H207" s="191"/>
      <c r="I207" s="299"/>
      <c r="J207" s="299"/>
      <c r="K207" s="192"/>
      <c r="L207" s="193"/>
      <c r="M207" s="193"/>
      <c r="N207" s="301" t="str">
        <f t="shared" si="22"/>
        <v/>
      </c>
    </row>
    <row r="208" spans="1:14" x14ac:dyDescent="0.35">
      <c r="A208" s="204"/>
      <c r="B208" s="191"/>
      <c r="C208" s="191"/>
      <c r="D208" s="191"/>
      <c r="E208" s="191"/>
      <c r="F208" s="191"/>
      <c r="G208" s="191"/>
      <c r="H208" s="191"/>
      <c r="I208" s="299"/>
      <c r="J208" s="299"/>
      <c r="K208" s="192"/>
      <c r="L208" s="193"/>
      <c r="M208" s="193"/>
      <c r="N208" s="301" t="str">
        <f t="shared" si="22"/>
        <v/>
      </c>
    </row>
    <row r="209" spans="1:14" x14ac:dyDescent="0.35">
      <c r="A209" s="204"/>
      <c r="B209" s="191"/>
      <c r="C209" s="191"/>
      <c r="D209" s="191"/>
      <c r="E209" s="191"/>
      <c r="F209" s="191"/>
      <c r="G209" s="191"/>
      <c r="H209" s="191"/>
      <c r="I209" s="299"/>
      <c r="J209" s="299"/>
      <c r="K209" s="192"/>
      <c r="L209" s="193"/>
      <c r="M209" s="193"/>
      <c r="N209" s="301" t="str">
        <f t="shared" si="22"/>
        <v/>
      </c>
    </row>
    <row r="210" spans="1:14" x14ac:dyDescent="0.35">
      <c r="A210" s="204"/>
      <c r="B210" s="191"/>
      <c r="C210" s="191"/>
      <c r="D210" s="191"/>
      <c r="E210" s="191"/>
      <c r="F210" s="191"/>
      <c r="G210" s="191"/>
      <c r="H210" s="191"/>
      <c r="I210" s="299"/>
      <c r="J210" s="299"/>
      <c r="K210" s="192"/>
      <c r="L210" s="193"/>
      <c r="M210" s="193"/>
      <c r="N210" s="301" t="str">
        <f t="shared" si="22"/>
        <v/>
      </c>
    </row>
    <row r="211" spans="1:14" x14ac:dyDescent="0.35">
      <c r="A211" s="204"/>
      <c r="B211" s="191"/>
      <c r="C211" s="191"/>
      <c r="D211" s="191"/>
      <c r="E211" s="191"/>
      <c r="F211" s="191"/>
      <c r="G211" s="191"/>
      <c r="H211" s="191"/>
      <c r="I211" s="299"/>
      <c r="J211" s="299"/>
      <c r="K211" s="192"/>
      <c r="L211" s="193"/>
      <c r="M211" s="193"/>
      <c r="N211" s="301" t="str">
        <f t="shared" si="22"/>
        <v/>
      </c>
    </row>
    <row r="212" spans="1:14" x14ac:dyDescent="0.35">
      <c r="A212" s="204"/>
      <c r="B212" s="191"/>
      <c r="C212" s="191"/>
      <c r="D212" s="191"/>
      <c r="E212" s="191"/>
      <c r="F212" s="191"/>
      <c r="G212" s="191"/>
      <c r="H212" s="191"/>
      <c r="I212" s="299"/>
      <c r="J212" s="299"/>
      <c r="K212" s="192"/>
      <c r="L212" s="193"/>
      <c r="M212" s="193"/>
      <c r="N212" s="301" t="str">
        <f t="shared" ref="N212:N243" si="23">IF(OR(I212="",J212="",I212=0),"",J212/I212-1)</f>
        <v/>
      </c>
    </row>
    <row r="213" spans="1:14" x14ac:dyDescent="0.35">
      <c r="A213" s="204"/>
      <c r="B213" s="191"/>
      <c r="C213" s="191"/>
      <c r="D213" s="191"/>
      <c r="E213" s="191"/>
      <c r="F213" s="191"/>
      <c r="G213" s="191"/>
      <c r="H213" s="191"/>
      <c r="I213" s="299"/>
      <c r="J213" s="299"/>
      <c r="K213" s="192"/>
      <c r="L213" s="193"/>
      <c r="M213" s="193"/>
      <c r="N213" s="301" t="str">
        <f t="shared" si="23"/>
        <v/>
      </c>
    </row>
    <row r="214" spans="1:14" x14ac:dyDescent="0.35">
      <c r="A214" s="204"/>
      <c r="B214" s="191"/>
      <c r="C214" s="191"/>
      <c r="D214" s="191"/>
      <c r="E214" s="191"/>
      <c r="F214" s="191"/>
      <c r="G214" s="191"/>
      <c r="H214" s="191"/>
      <c r="I214" s="299"/>
      <c r="J214" s="299"/>
      <c r="K214" s="192"/>
      <c r="L214" s="193"/>
      <c r="M214" s="193"/>
      <c r="N214" s="301" t="str">
        <f t="shared" si="23"/>
        <v/>
      </c>
    </row>
    <row r="215" spans="1:14" x14ac:dyDescent="0.35">
      <c r="A215" s="204"/>
      <c r="B215" s="191"/>
      <c r="C215" s="191"/>
      <c r="D215" s="191"/>
      <c r="E215" s="191"/>
      <c r="F215" s="191"/>
      <c r="G215" s="191"/>
      <c r="H215" s="191"/>
      <c r="I215" s="299"/>
      <c r="J215" s="299"/>
      <c r="K215" s="192"/>
      <c r="L215" s="193"/>
      <c r="M215" s="193"/>
      <c r="N215" s="301" t="str">
        <f t="shared" si="23"/>
        <v/>
      </c>
    </row>
    <row r="216" spans="1:14" x14ac:dyDescent="0.35">
      <c r="A216" s="204"/>
      <c r="B216" s="191"/>
      <c r="C216" s="191"/>
      <c r="D216" s="191"/>
      <c r="E216" s="191"/>
      <c r="F216" s="191"/>
      <c r="G216" s="191"/>
      <c r="H216" s="191"/>
      <c r="I216" s="299"/>
      <c r="J216" s="299"/>
      <c r="K216" s="192"/>
      <c r="L216" s="193"/>
      <c r="M216" s="193"/>
      <c r="N216" s="301" t="str">
        <f t="shared" si="23"/>
        <v/>
      </c>
    </row>
    <row r="217" spans="1:14" x14ac:dyDescent="0.35">
      <c r="A217" s="204"/>
      <c r="B217" s="191"/>
      <c r="C217" s="191"/>
      <c r="D217" s="191"/>
      <c r="E217" s="191"/>
      <c r="F217" s="191"/>
      <c r="G217" s="191"/>
      <c r="H217" s="191"/>
      <c r="I217" s="299"/>
      <c r="J217" s="299"/>
      <c r="K217" s="192"/>
      <c r="L217" s="193"/>
      <c r="M217" s="193"/>
      <c r="N217" s="301" t="str">
        <f t="shared" si="23"/>
        <v/>
      </c>
    </row>
    <row r="218" spans="1:14" x14ac:dyDescent="0.35">
      <c r="A218" s="204"/>
      <c r="B218" s="191"/>
      <c r="C218" s="191"/>
      <c r="D218" s="191"/>
      <c r="E218" s="191"/>
      <c r="F218" s="191"/>
      <c r="G218" s="191"/>
      <c r="H218" s="191"/>
      <c r="I218" s="299"/>
      <c r="J218" s="299"/>
      <c r="K218" s="192"/>
      <c r="L218" s="193"/>
      <c r="M218" s="193"/>
      <c r="N218" s="301" t="str">
        <f t="shared" si="23"/>
        <v/>
      </c>
    </row>
    <row r="219" spans="1:14" x14ac:dyDescent="0.35">
      <c r="A219" s="204"/>
      <c r="B219" s="191"/>
      <c r="C219" s="191"/>
      <c r="D219" s="191"/>
      <c r="E219" s="191"/>
      <c r="F219" s="191"/>
      <c r="G219" s="191"/>
      <c r="H219" s="191"/>
      <c r="I219" s="299"/>
      <c r="J219" s="299"/>
      <c r="K219" s="192"/>
      <c r="L219" s="193"/>
      <c r="M219" s="193"/>
      <c r="N219" s="301" t="str">
        <f t="shared" si="23"/>
        <v/>
      </c>
    </row>
    <row r="220" spans="1:14" x14ac:dyDescent="0.35">
      <c r="A220" s="204"/>
      <c r="B220" s="191"/>
      <c r="C220" s="191"/>
      <c r="D220" s="191"/>
      <c r="E220" s="191"/>
      <c r="F220" s="191"/>
      <c r="G220" s="191"/>
      <c r="H220" s="191"/>
      <c r="I220" s="299"/>
      <c r="J220" s="299"/>
      <c r="K220" s="192"/>
      <c r="L220" s="193"/>
      <c r="M220" s="193"/>
      <c r="N220" s="301" t="str">
        <f t="shared" si="23"/>
        <v/>
      </c>
    </row>
    <row r="221" spans="1:14" x14ac:dyDescent="0.35">
      <c r="A221" s="204"/>
      <c r="B221" s="191"/>
      <c r="C221" s="191"/>
      <c r="D221" s="191"/>
      <c r="E221" s="191"/>
      <c r="F221" s="191"/>
      <c r="G221" s="191"/>
      <c r="H221" s="191"/>
      <c r="I221" s="299"/>
      <c r="J221" s="299"/>
      <c r="K221" s="192"/>
      <c r="L221" s="193"/>
      <c r="M221" s="193"/>
      <c r="N221" s="301" t="str">
        <f t="shared" si="23"/>
        <v/>
      </c>
    </row>
    <row r="222" spans="1:14" x14ac:dyDescent="0.35">
      <c r="A222" s="204"/>
      <c r="B222" s="191"/>
      <c r="C222" s="191"/>
      <c r="D222" s="191"/>
      <c r="E222" s="191"/>
      <c r="F222" s="191"/>
      <c r="G222" s="191"/>
      <c r="H222" s="191"/>
      <c r="I222" s="299"/>
      <c r="J222" s="299"/>
      <c r="K222" s="192"/>
      <c r="L222" s="193"/>
      <c r="M222" s="193"/>
      <c r="N222" s="301" t="str">
        <f t="shared" si="23"/>
        <v/>
      </c>
    </row>
    <row r="223" spans="1:14" x14ac:dyDescent="0.35">
      <c r="A223" s="204"/>
      <c r="B223" s="191"/>
      <c r="C223" s="191"/>
      <c r="D223" s="191"/>
      <c r="E223" s="191"/>
      <c r="F223" s="191"/>
      <c r="G223" s="191"/>
      <c r="H223" s="191"/>
      <c r="I223" s="299"/>
      <c r="J223" s="299"/>
      <c r="K223" s="192"/>
      <c r="L223" s="193"/>
      <c r="M223" s="193"/>
      <c r="N223" s="301" t="str">
        <f t="shared" si="23"/>
        <v/>
      </c>
    </row>
    <row r="224" spans="1:14" x14ac:dyDescent="0.35">
      <c r="A224" s="204"/>
      <c r="B224" s="191"/>
      <c r="C224" s="191"/>
      <c r="D224" s="191"/>
      <c r="E224" s="191"/>
      <c r="F224" s="191"/>
      <c r="G224" s="191"/>
      <c r="H224" s="191"/>
      <c r="I224" s="299"/>
      <c r="J224" s="299"/>
      <c r="K224" s="192"/>
      <c r="L224" s="193"/>
      <c r="M224" s="193"/>
      <c r="N224" s="301" t="str">
        <f t="shared" si="23"/>
        <v/>
      </c>
    </row>
    <row r="225" spans="1:14" x14ac:dyDescent="0.35">
      <c r="A225" s="204"/>
      <c r="B225" s="191"/>
      <c r="C225" s="191"/>
      <c r="D225" s="191"/>
      <c r="E225" s="191"/>
      <c r="F225" s="191"/>
      <c r="G225" s="191"/>
      <c r="H225" s="191"/>
      <c r="I225" s="299"/>
      <c r="J225" s="299"/>
      <c r="K225" s="192"/>
      <c r="L225" s="193"/>
      <c r="M225" s="193"/>
      <c r="N225" s="301" t="str">
        <f t="shared" si="23"/>
        <v/>
      </c>
    </row>
    <row r="226" spans="1:14" x14ac:dyDescent="0.35">
      <c r="A226" s="204"/>
      <c r="B226" s="191"/>
      <c r="C226" s="191"/>
      <c r="D226" s="191"/>
      <c r="E226" s="191"/>
      <c r="F226" s="191"/>
      <c r="G226" s="191"/>
      <c r="H226" s="191"/>
      <c r="I226" s="299"/>
      <c r="J226" s="299"/>
      <c r="K226" s="192"/>
      <c r="L226" s="193"/>
      <c r="M226" s="193"/>
      <c r="N226" s="301" t="str">
        <f t="shared" si="23"/>
        <v/>
      </c>
    </row>
    <row r="227" spans="1:14" x14ac:dyDescent="0.35">
      <c r="A227" s="204"/>
      <c r="B227" s="191"/>
      <c r="C227" s="191"/>
      <c r="D227" s="191"/>
      <c r="E227" s="191"/>
      <c r="F227" s="191"/>
      <c r="G227" s="191"/>
      <c r="H227" s="191"/>
      <c r="I227" s="299"/>
      <c r="J227" s="299"/>
      <c r="K227" s="192"/>
      <c r="L227" s="193"/>
      <c r="M227" s="193"/>
      <c r="N227" s="301" t="str">
        <f t="shared" si="23"/>
        <v/>
      </c>
    </row>
    <row r="228" spans="1:14" x14ac:dyDescent="0.35">
      <c r="A228" s="204"/>
      <c r="B228" s="191"/>
      <c r="C228" s="191"/>
      <c r="D228" s="191"/>
      <c r="E228" s="191"/>
      <c r="F228" s="191"/>
      <c r="G228" s="191"/>
      <c r="H228" s="191"/>
      <c r="I228" s="299"/>
      <c r="J228" s="299"/>
      <c r="K228" s="192"/>
      <c r="L228" s="193"/>
      <c r="M228" s="193"/>
      <c r="N228" s="301" t="str">
        <f t="shared" si="23"/>
        <v/>
      </c>
    </row>
    <row r="229" spans="1:14" x14ac:dyDescent="0.35">
      <c r="A229" s="204"/>
      <c r="B229" s="191"/>
      <c r="C229" s="191"/>
      <c r="D229" s="191"/>
      <c r="E229" s="191"/>
      <c r="F229" s="191"/>
      <c r="G229" s="191"/>
      <c r="H229" s="191"/>
      <c r="I229" s="299"/>
      <c r="J229" s="299"/>
      <c r="K229" s="192"/>
      <c r="L229" s="193"/>
      <c r="M229" s="193"/>
      <c r="N229" s="301" t="str">
        <f t="shared" si="23"/>
        <v/>
      </c>
    </row>
    <row r="230" spans="1:14" x14ac:dyDescent="0.35">
      <c r="A230" s="204"/>
      <c r="B230" s="191"/>
      <c r="C230" s="191"/>
      <c r="D230" s="191"/>
      <c r="E230" s="191"/>
      <c r="F230" s="191"/>
      <c r="G230" s="191"/>
      <c r="H230" s="191"/>
      <c r="I230" s="299"/>
      <c r="J230" s="299"/>
      <c r="K230" s="192"/>
      <c r="L230" s="193"/>
      <c r="M230" s="193"/>
      <c r="N230" s="301" t="str">
        <f t="shared" si="23"/>
        <v/>
      </c>
    </row>
    <row r="231" spans="1:14" x14ac:dyDescent="0.35">
      <c r="A231" s="204"/>
      <c r="B231" s="191"/>
      <c r="C231" s="191"/>
      <c r="D231" s="191"/>
      <c r="E231" s="191"/>
      <c r="F231" s="191"/>
      <c r="G231" s="191"/>
      <c r="H231" s="191"/>
      <c r="I231" s="299"/>
      <c r="J231" s="299"/>
      <c r="K231" s="192"/>
      <c r="L231" s="193"/>
      <c r="M231" s="193"/>
      <c r="N231" s="301" t="str">
        <f t="shared" si="23"/>
        <v/>
      </c>
    </row>
    <row r="232" spans="1:14" x14ac:dyDescent="0.35">
      <c r="A232" s="204"/>
      <c r="B232" s="191"/>
      <c r="C232" s="191"/>
      <c r="D232" s="191"/>
      <c r="E232" s="191"/>
      <c r="F232" s="191"/>
      <c r="G232" s="191"/>
      <c r="H232" s="191"/>
      <c r="I232" s="299"/>
      <c r="J232" s="299"/>
      <c r="K232" s="192"/>
      <c r="L232" s="193"/>
      <c r="M232" s="193"/>
      <c r="N232" s="301" t="str">
        <f t="shared" si="23"/>
        <v/>
      </c>
    </row>
    <row r="233" spans="1:14" x14ac:dyDescent="0.35">
      <c r="A233" s="204"/>
      <c r="B233" s="191"/>
      <c r="C233" s="191"/>
      <c r="D233" s="191"/>
      <c r="E233" s="191"/>
      <c r="F233" s="191"/>
      <c r="G233" s="191"/>
      <c r="H233" s="191"/>
      <c r="I233" s="299"/>
      <c r="J233" s="299"/>
      <c r="K233" s="192"/>
      <c r="L233" s="193"/>
      <c r="M233" s="193"/>
      <c r="N233" s="301" t="str">
        <f t="shared" si="23"/>
        <v/>
      </c>
    </row>
    <row r="234" spans="1:14" x14ac:dyDescent="0.35">
      <c r="A234" s="204"/>
      <c r="B234" s="191"/>
      <c r="C234" s="191"/>
      <c r="D234" s="191"/>
      <c r="E234" s="191"/>
      <c r="F234" s="191"/>
      <c r="G234" s="191"/>
      <c r="H234" s="191"/>
      <c r="I234" s="299"/>
      <c r="J234" s="299"/>
      <c r="K234" s="192"/>
      <c r="L234" s="193"/>
      <c r="M234" s="193"/>
      <c r="N234" s="301" t="str">
        <f t="shared" si="23"/>
        <v/>
      </c>
    </row>
    <row r="235" spans="1:14" x14ac:dyDescent="0.35">
      <c r="A235" s="204"/>
      <c r="B235" s="191"/>
      <c r="C235" s="191"/>
      <c r="D235" s="191"/>
      <c r="E235" s="191"/>
      <c r="F235" s="191"/>
      <c r="G235" s="191"/>
      <c r="H235" s="191"/>
      <c r="I235" s="299"/>
      <c r="J235" s="299"/>
      <c r="K235" s="192"/>
      <c r="L235" s="193"/>
      <c r="M235" s="193"/>
      <c r="N235" s="301" t="str">
        <f t="shared" si="23"/>
        <v/>
      </c>
    </row>
    <row r="236" spans="1:14" x14ac:dyDescent="0.35">
      <c r="A236" s="204"/>
      <c r="B236" s="191"/>
      <c r="C236" s="191"/>
      <c r="D236" s="191"/>
      <c r="E236" s="191"/>
      <c r="F236" s="191"/>
      <c r="G236" s="191"/>
      <c r="H236" s="191"/>
      <c r="I236" s="299"/>
      <c r="J236" s="299"/>
      <c r="K236" s="192"/>
      <c r="L236" s="193"/>
      <c r="M236" s="193"/>
      <c r="N236" s="301" t="str">
        <f t="shared" si="23"/>
        <v/>
      </c>
    </row>
    <row r="237" spans="1:14" x14ac:dyDescent="0.35">
      <c r="A237" s="204"/>
      <c r="B237" s="191"/>
      <c r="C237" s="191"/>
      <c r="D237" s="191"/>
      <c r="E237" s="191"/>
      <c r="F237" s="191"/>
      <c r="G237" s="191"/>
      <c r="H237" s="191"/>
      <c r="I237" s="299"/>
      <c r="J237" s="299"/>
      <c r="K237" s="192"/>
      <c r="L237" s="193"/>
      <c r="M237" s="193"/>
      <c r="N237" s="301" t="str">
        <f t="shared" si="23"/>
        <v/>
      </c>
    </row>
    <row r="238" spans="1:14" x14ac:dyDescent="0.35">
      <c r="A238" s="204"/>
      <c r="B238" s="191"/>
      <c r="C238" s="191"/>
      <c r="D238" s="191"/>
      <c r="E238" s="191"/>
      <c r="F238" s="191"/>
      <c r="G238" s="191"/>
      <c r="H238" s="191"/>
      <c r="I238" s="299"/>
      <c r="J238" s="299"/>
      <c r="K238" s="192"/>
      <c r="L238" s="193"/>
      <c r="M238" s="193"/>
      <c r="N238" s="301" t="str">
        <f t="shared" si="23"/>
        <v/>
      </c>
    </row>
    <row r="239" spans="1:14" x14ac:dyDescent="0.35">
      <c r="A239" s="204"/>
      <c r="B239" s="191"/>
      <c r="C239" s="191"/>
      <c r="D239" s="191"/>
      <c r="E239" s="191"/>
      <c r="F239" s="191"/>
      <c r="G239" s="191"/>
      <c r="H239" s="191"/>
      <c r="I239" s="299"/>
      <c r="J239" s="299"/>
      <c r="K239" s="192"/>
      <c r="L239" s="193"/>
      <c r="M239" s="193"/>
      <c r="N239" s="301" t="str">
        <f t="shared" si="23"/>
        <v/>
      </c>
    </row>
    <row r="240" spans="1:14" x14ac:dyDescent="0.35">
      <c r="A240" s="204"/>
      <c r="B240" s="191"/>
      <c r="C240" s="191"/>
      <c r="D240" s="191"/>
      <c r="E240" s="191"/>
      <c r="F240" s="191"/>
      <c r="G240" s="191"/>
      <c r="H240" s="191"/>
      <c r="I240" s="299"/>
      <c r="J240" s="299"/>
      <c r="K240" s="192"/>
      <c r="L240" s="193"/>
      <c r="M240" s="193"/>
      <c r="N240" s="301" t="str">
        <f t="shared" si="23"/>
        <v/>
      </c>
    </row>
    <row r="241" spans="1:14" x14ac:dyDescent="0.35">
      <c r="A241" s="204"/>
      <c r="B241" s="191"/>
      <c r="C241" s="191"/>
      <c r="D241" s="191"/>
      <c r="E241" s="191"/>
      <c r="F241" s="191"/>
      <c r="G241" s="191"/>
      <c r="H241" s="191"/>
      <c r="I241" s="299"/>
      <c r="J241" s="299"/>
      <c r="K241" s="192"/>
      <c r="L241" s="193"/>
      <c r="M241" s="193"/>
      <c r="N241" s="301" t="str">
        <f t="shared" si="23"/>
        <v/>
      </c>
    </row>
    <row r="242" spans="1:14" x14ac:dyDescent="0.35">
      <c r="A242" s="204"/>
      <c r="B242" s="191"/>
      <c r="C242" s="191"/>
      <c r="D242" s="191"/>
      <c r="E242" s="191"/>
      <c r="F242" s="191"/>
      <c r="G242" s="191"/>
      <c r="H242" s="191"/>
      <c r="I242" s="299"/>
      <c r="J242" s="299"/>
      <c r="K242" s="192"/>
      <c r="L242" s="193"/>
      <c r="M242" s="193"/>
      <c r="N242" s="301" t="str">
        <f t="shared" si="23"/>
        <v/>
      </c>
    </row>
    <row r="243" spans="1:14" x14ac:dyDescent="0.35">
      <c r="A243" s="204"/>
      <c r="B243" s="191"/>
      <c r="C243" s="191"/>
      <c r="D243" s="191"/>
      <c r="E243" s="191"/>
      <c r="F243" s="191"/>
      <c r="G243" s="191"/>
      <c r="H243" s="191"/>
      <c r="I243" s="299"/>
      <c r="J243" s="299"/>
      <c r="K243" s="192"/>
      <c r="L243" s="193"/>
      <c r="M243" s="193"/>
      <c r="N243" s="301" t="str">
        <f t="shared" si="23"/>
        <v/>
      </c>
    </row>
    <row r="244" spans="1:14" x14ac:dyDescent="0.35">
      <c r="A244" s="204"/>
      <c r="B244" s="191"/>
      <c r="C244" s="191"/>
      <c r="D244" s="191"/>
      <c r="E244" s="191"/>
      <c r="F244" s="191"/>
      <c r="G244" s="191"/>
      <c r="H244" s="191"/>
      <c r="I244" s="299"/>
      <c r="J244" s="299"/>
      <c r="K244" s="192"/>
      <c r="L244" s="193"/>
      <c r="M244" s="193"/>
      <c r="N244" s="301" t="str">
        <f t="shared" ref="N244:N254" si="24">IF(OR(I244="",J244=""),"",J244/I244-1)</f>
        <v/>
      </c>
    </row>
    <row r="245" spans="1:14" x14ac:dyDescent="0.35">
      <c r="A245" s="204"/>
      <c r="B245" s="191"/>
      <c r="C245" s="191"/>
      <c r="D245" s="191"/>
      <c r="E245" s="191"/>
      <c r="F245" s="191"/>
      <c r="G245" s="191"/>
      <c r="H245" s="191"/>
      <c r="I245" s="299"/>
      <c r="J245" s="299"/>
      <c r="K245" s="192"/>
      <c r="L245" s="193"/>
      <c r="M245" s="193"/>
      <c r="N245" s="301" t="str">
        <f t="shared" si="24"/>
        <v/>
      </c>
    </row>
    <row r="246" spans="1:14" x14ac:dyDescent="0.35">
      <c r="A246" s="204"/>
      <c r="B246" s="191"/>
      <c r="C246" s="191"/>
      <c r="D246" s="191"/>
      <c r="E246" s="191"/>
      <c r="F246" s="191"/>
      <c r="G246" s="191"/>
      <c r="H246" s="191"/>
      <c r="I246" s="299"/>
      <c r="J246" s="299"/>
      <c r="K246" s="192"/>
      <c r="L246" s="193"/>
      <c r="M246" s="193"/>
      <c r="N246" s="301" t="str">
        <f t="shared" si="24"/>
        <v/>
      </c>
    </row>
    <row r="247" spans="1:14" x14ac:dyDescent="0.35">
      <c r="A247" s="204"/>
      <c r="B247" s="191"/>
      <c r="C247" s="191"/>
      <c r="D247" s="191"/>
      <c r="E247" s="191"/>
      <c r="F247" s="191"/>
      <c r="G247" s="191"/>
      <c r="H247" s="191"/>
      <c r="I247" s="299"/>
      <c r="J247" s="299"/>
      <c r="K247" s="192"/>
      <c r="L247" s="193"/>
      <c r="M247" s="193"/>
      <c r="N247" s="301" t="str">
        <f t="shared" si="24"/>
        <v/>
      </c>
    </row>
    <row r="248" spans="1:14" x14ac:dyDescent="0.35">
      <c r="A248" s="204"/>
      <c r="B248" s="191"/>
      <c r="C248" s="191"/>
      <c r="D248" s="191"/>
      <c r="E248" s="191"/>
      <c r="F248" s="191"/>
      <c r="G248" s="191"/>
      <c r="H248" s="191"/>
      <c r="I248" s="299"/>
      <c r="J248" s="299"/>
      <c r="K248" s="192"/>
      <c r="L248" s="193"/>
      <c r="M248" s="193"/>
      <c r="N248" s="301" t="str">
        <f t="shared" si="24"/>
        <v/>
      </c>
    </row>
    <row r="249" spans="1:14" x14ac:dyDescent="0.35">
      <c r="A249" s="204"/>
      <c r="B249" s="191"/>
      <c r="C249" s="191"/>
      <c r="D249" s="191"/>
      <c r="E249" s="191"/>
      <c r="F249" s="191"/>
      <c r="G249" s="191"/>
      <c r="H249" s="191"/>
      <c r="I249" s="299"/>
      <c r="J249" s="299"/>
      <c r="K249" s="192"/>
      <c r="L249" s="193"/>
      <c r="M249" s="193"/>
      <c r="N249" s="301" t="str">
        <f t="shared" si="24"/>
        <v/>
      </c>
    </row>
    <row r="250" spans="1:14" x14ac:dyDescent="0.35">
      <c r="A250" s="204"/>
      <c r="B250" s="191"/>
      <c r="C250" s="191"/>
      <c r="D250" s="191"/>
      <c r="E250" s="191"/>
      <c r="F250" s="191"/>
      <c r="G250" s="191"/>
      <c r="H250" s="191"/>
      <c r="I250" s="299"/>
      <c r="J250" s="299"/>
      <c r="K250" s="192"/>
      <c r="L250" s="193"/>
      <c r="M250" s="193"/>
      <c r="N250" s="301" t="str">
        <f t="shared" si="24"/>
        <v/>
      </c>
    </row>
    <row r="251" spans="1:14" x14ac:dyDescent="0.35">
      <c r="A251" s="204"/>
      <c r="B251" s="191"/>
      <c r="C251" s="191"/>
      <c r="D251" s="191"/>
      <c r="E251" s="191"/>
      <c r="F251" s="191"/>
      <c r="G251" s="191"/>
      <c r="H251" s="191"/>
      <c r="I251" s="299"/>
      <c r="J251" s="299"/>
      <c r="K251" s="192"/>
      <c r="L251" s="193"/>
      <c r="M251" s="193"/>
      <c r="N251" s="301" t="str">
        <f t="shared" si="24"/>
        <v/>
      </c>
    </row>
    <row r="252" spans="1:14" x14ac:dyDescent="0.35">
      <c r="A252" s="204"/>
      <c r="B252" s="191"/>
      <c r="C252" s="191"/>
      <c r="D252" s="191"/>
      <c r="E252" s="191"/>
      <c r="F252" s="191"/>
      <c r="G252" s="191"/>
      <c r="H252" s="191"/>
      <c r="I252" s="299"/>
      <c r="J252" s="299"/>
      <c r="K252" s="192"/>
      <c r="L252" s="193"/>
      <c r="M252" s="193"/>
      <c r="N252" s="301" t="str">
        <f t="shared" si="24"/>
        <v/>
      </c>
    </row>
    <row r="253" spans="1:14" x14ac:dyDescent="0.35">
      <c r="A253" s="204"/>
      <c r="B253" s="191"/>
      <c r="C253" s="191"/>
      <c r="D253" s="191"/>
      <c r="E253" s="191"/>
      <c r="F253" s="191"/>
      <c r="G253" s="191"/>
      <c r="H253" s="191"/>
      <c r="I253" s="299"/>
      <c r="J253" s="299"/>
      <c r="K253" s="192"/>
      <c r="L253" s="193"/>
      <c r="M253" s="193"/>
      <c r="N253" s="301" t="str">
        <f t="shared" si="24"/>
        <v/>
      </c>
    </row>
    <row r="254" spans="1:14" x14ac:dyDescent="0.35">
      <c r="A254" s="204"/>
      <c r="B254" s="191"/>
      <c r="C254" s="191"/>
      <c r="D254" s="191"/>
      <c r="E254" s="191"/>
      <c r="F254" s="191"/>
      <c r="G254" s="191"/>
      <c r="H254" s="191"/>
      <c r="I254" s="299"/>
      <c r="J254" s="299"/>
      <c r="K254" s="192"/>
      <c r="L254" s="193"/>
      <c r="M254" s="193"/>
      <c r="N254" s="301" t="str">
        <f t="shared" si="24"/>
        <v/>
      </c>
    </row>
    <row r="255" spans="1:14" x14ac:dyDescent="0.35">
      <c r="A255" s="204"/>
      <c r="B255" s="191"/>
      <c r="C255" s="191"/>
      <c r="D255" s="191"/>
      <c r="E255" s="191"/>
      <c r="F255" s="191"/>
      <c r="G255" s="191"/>
      <c r="H255" s="191"/>
      <c r="I255" s="299"/>
      <c r="J255" s="299"/>
      <c r="K255" s="192"/>
      <c r="L255" s="193"/>
      <c r="M255" s="193"/>
      <c r="N255" s="301" t="str">
        <f t="shared" ref="N255:N270" si="25">IF(OR(I255="",J255=""),"",J255/I255-1)</f>
        <v/>
      </c>
    </row>
    <row r="256" spans="1:14" x14ac:dyDescent="0.35">
      <c r="A256" s="204"/>
      <c r="B256" s="191"/>
      <c r="C256" s="191"/>
      <c r="D256" s="191"/>
      <c r="E256" s="191"/>
      <c r="F256" s="191"/>
      <c r="G256" s="191"/>
      <c r="H256" s="191"/>
      <c r="I256" s="299"/>
      <c r="J256" s="299"/>
      <c r="K256" s="192"/>
      <c r="L256" s="193"/>
      <c r="M256" s="193"/>
      <c r="N256" s="301" t="str">
        <f t="shared" si="25"/>
        <v/>
      </c>
    </row>
    <row r="257" spans="1:14" x14ac:dyDescent="0.35">
      <c r="A257" s="204"/>
      <c r="B257" s="191"/>
      <c r="C257" s="191"/>
      <c r="D257" s="191"/>
      <c r="E257" s="191"/>
      <c r="F257" s="191"/>
      <c r="G257" s="191"/>
      <c r="H257" s="191"/>
      <c r="I257" s="299"/>
      <c r="J257" s="299"/>
      <c r="K257" s="192"/>
      <c r="L257" s="193"/>
      <c r="M257" s="193"/>
      <c r="N257" s="301" t="str">
        <f t="shared" si="25"/>
        <v/>
      </c>
    </row>
    <row r="258" spans="1:14" x14ac:dyDescent="0.35">
      <c r="A258" s="204"/>
      <c r="B258" s="191"/>
      <c r="C258" s="191"/>
      <c r="D258" s="191"/>
      <c r="E258" s="191"/>
      <c r="F258" s="191"/>
      <c r="G258" s="191"/>
      <c r="H258" s="191"/>
      <c r="I258" s="299"/>
      <c r="J258" s="299"/>
      <c r="K258" s="192"/>
      <c r="L258" s="193"/>
      <c r="M258" s="193"/>
      <c r="N258" s="301" t="str">
        <f t="shared" si="25"/>
        <v/>
      </c>
    </row>
    <row r="259" spans="1:14" x14ac:dyDescent="0.35">
      <c r="A259" s="204"/>
      <c r="B259" s="191"/>
      <c r="C259" s="191"/>
      <c r="D259" s="191"/>
      <c r="E259" s="191"/>
      <c r="F259" s="191"/>
      <c r="G259" s="191"/>
      <c r="H259" s="191"/>
      <c r="I259" s="299"/>
      <c r="J259" s="299"/>
      <c r="K259" s="192"/>
      <c r="L259" s="193"/>
      <c r="M259" s="193"/>
      <c r="N259" s="301" t="str">
        <f t="shared" si="25"/>
        <v/>
      </c>
    </row>
    <row r="260" spans="1:14" x14ac:dyDescent="0.35">
      <c r="A260" s="204"/>
      <c r="B260" s="191"/>
      <c r="C260" s="191"/>
      <c r="D260" s="191"/>
      <c r="E260" s="191"/>
      <c r="F260" s="191"/>
      <c r="G260" s="191"/>
      <c r="H260" s="191"/>
      <c r="I260" s="299"/>
      <c r="J260" s="299"/>
      <c r="K260" s="192"/>
      <c r="L260" s="193"/>
      <c r="M260" s="193"/>
      <c r="N260" s="301" t="str">
        <f t="shared" si="25"/>
        <v/>
      </c>
    </row>
    <row r="261" spans="1:14" x14ac:dyDescent="0.35">
      <c r="A261" s="204"/>
      <c r="B261" s="191"/>
      <c r="C261" s="191"/>
      <c r="D261" s="191"/>
      <c r="E261" s="191"/>
      <c r="F261" s="191"/>
      <c r="G261" s="191"/>
      <c r="H261" s="191"/>
      <c r="I261" s="299"/>
      <c r="J261" s="299"/>
      <c r="K261" s="192"/>
      <c r="L261" s="193"/>
      <c r="M261" s="193"/>
      <c r="N261" s="301" t="str">
        <f t="shared" si="25"/>
        <v/>
      </c>
    </row>
    <row r="262" spans="1:14" x14ac:dyDescent="0.35">
      <c r="A262" s="204"/>
      <c r="B262" s="191"/>
      <c r="C262" s="191"/>
      <c r="D262" s="191"/>
      <c r="E262" s="191"/>
      <c r="F262" s="191"/>
      <c r="G262" s="191"/>
      <c r="H262" s="191"/>
      <c r="I262" s="299"/>
      <c r="J262" s="299"/>
      <c r="K262" s="192"/>
      <c r="L262" s="193"/>
      <c r="M262" s="193"/>
      <c r="N262" s="301" t="str">
        <f t="shared" si="25"/>
        <v/>
      </c>
    </row>
    <row r="263" spans="1:14" x14ac:dyDescent="0.35">
      <c r="A263" s="204"/>
      <c r="B263" s="191"/>
      <c r="C263" s="191"/>
      <c r="D263" s="191"/>
      <c r="E263" s="191"/>
      <c r="F263" s="191"/>
      <c r="G263" s="191"/>
      <c r="H263" s="191"/>
      <c r="I263" s="299"/>
      <c r="J263" s="299"/>
      <c r="K263" s="192"/>
      <c r="L263" s="193"/>
      <c r="M263" s="193"/>
      <c r="N263" s="301" t="str">
        <f t="shared" si="25"/>
        <v/>
      </c>
    </row>
    <row r="264" spans="1:14" x14ac:dyDescent="0.35">
      <c r="A264" s="204"/>
      <c r="B264" s="191"/>
      <c r="C264" s="191"/>
      <c r="D264" s="191"/>
      <c r="E264" s="191"/>
      <c r="F264" s="191"/>
      <c r="G264" s="191"/>
      <c r="H264" s="191"/>
      <c r="I264" s="299"/>
      <c r="J264" s="299"/>
      <c r="K264" s="192"/>
      <c r="L264" s="193"/>
      <c r="M264" s="193"/>
      <c r="N264" s="301" t="str">
        <f t="shared" si="25"/>
        <v/>
      </c>
    </row>
    <row r="265" spans="1:14" x14ac:dyDescent="0.35">
      <c r="A265" s="204"/>
      <c r="B265" s="191"/>
      <c r="C265" s="191"/>
      <c r="D265" s="191"/>
      <c r="E265" s="191"/>
      <c r="F265" s="191"/>
      <c r="G265" s="191"/>
      <c r="H265" s="191"/>
      <c r="I265" s="299"/>
      <c r="J265" s="299"/>
      <c r="K265" s="192"/>
      <c r="L265" s="193"/>
      <c r="M265" s="193"/>
      <c r="N265" s="301" t="str">
        <f t="shared" si="25"/>
        <v/>
      </c>
    </row>
    <row r="266" spans="1:14" x14ac:dyDescent="0.35">
      <c r="A266" s="204"/>
      <c r="B266" s="191"/>
      <c r="C266" s="191"/>
      <c r="D266" s="191"/>
      <c r="E266" s="191"/>
      <c r="F266" s="191"/>
      <c r="G266" s="191"/>
      <c r="H266" s="191"/>
      <c r="I266" s="299"/>
      <c r="J266" s="299"/>
      <c r="K266" s="192"/>
      <c r="L266" s="193"/>
      <c r="M266" s="193"/>
      <c r="N266" s="301" t="str">
        <f t="shared" si="25"/>
        <v/>
      </c>
    </row>
    <row r="267" spans="1:14" x14ac:dyDescent="0.35">
      <c r="A267" s="204"/>
      <c r="B267" s="191"/>
      <c r="C267" s="191"/>
      <c r="D267" s="191"/>
      <c r="E267" s="191"/>
      <c r="F267" s="191"/>
      <c r="G267" s="191"/>
      <c r="H267" s="191"/>
      <c r="I267" s="299"/>
      <c r="J267" s="299"/>
      <c r="K267" s="192"/>
      <c r="L267" s="193"/>
      <c r="M267" s="193"/>
      <c r="N267" s="301" t="str">
        <f t="shared" si="25"/>
        <v/>
      </c>
    </row>
    <row r="268" spans="1:14" x14ac:dyDescent="0.35">
      <c r="A268" s="204"/>
      <c r="B268" s="191"/>
      <c r="C268" s="191"/>
      <c r="D268" s="191"/>
      <c r="E268" s="191"/>
      <c r="F268" s="191"/>
      <c r="G268" s="191"/>
      <c r="H268" s="191"/>
      <c r="I268" s="299"/>
      <c r="J268" s="299"/>
      <c r="K268" s="192"/>
      <c r="L268" s="193"/>
      <c r="M268" s="193"/>
      <c r="N268" s="301" t="str">
        <f t="shared" si="25"/>
        <v/>
      </c>
    </row>
    <row r="269" spans="1:14" x14ac:dyDescent="0.35">
      <c r="A269" s="204"/>
      <c r="B269" s="191"/>
      <c r="C269" s="191"/>
      <c r="D269" s="191"/>
      <c r="E269" s="191"/>
      <c r="F269" s="191"/>
      <c r="G269" s="191"/>
      <c r="H269" s="191"/>
      <c r="I269" s="299"/>
      <c r="J269" s="299"/>
      <c r="K269" s="192"/>
      <c r="L269" s="193"/>
      <c r="M269" s="193"/>
      <c r="N269" s="301" t="str">
        <f t="shared" si="25"/>
        <v/>
      </c>
    </row>
    <row r="270" spans="1:14" x14ac:dyDescent="0.35">
      <c r="A270" s="204"/>
      <c r="B270" s="191"/>
      <c r="C270" s="191"/>
      <c r="D270" s="191"/>
      <c r="E270" s="191"/>
      <c r="F270" s="191"/>
      <c r="G270" s="191"/>
      <c r="H270" s="191"/>
      <c r="I270" s="299"/>
      <c r="J270" s="299"/>
      <c r="K270" s="192"/>
      <c r="L270" s="193"/>
      <c r="M270" s="193"/>
      <c r="N270" s="301" t="str">
        <f t="shared" si="25"/>
        <v/>
      </c>
    </row>
  </sheetData>
  <autoFilter ref="B3:N270" xr:uid="{00000000-0009-0000-0000-000017000000}"/>
  <mergeCells count="1">
    <mergeCell ref="A1:B1"/>
  </mergeCells>
  <phoneticPr fontId="64" type="noConversion"/>
  <conditionalFormatting sqref="B193:N193 K4:N19 K106:M108 B106:H108 B27:H42 B50:H65 B73:H86 B94:H104 B116:H159 B109:B115 B87:B93 B66:B72 B43:B49 K27:N42 K50:M65 K73:M86 K94:M104 C160:C174 B4:H19 L160:M174 N43:N174 J116:M159">
    <cfRule type="expression" dxfId="170" priority="278">
      <formula>MOD(ROW(),2)=0</formula>
    </cfRule>
  </conditionalFormatting>
  <conditionalFormatting sqref="I116:I135 I141:I159">
    <cfRule type="expression" dxfId="169" priority="241">
      <formula>MOD(ROW(),2)=0</formula>
    </cfRule>
  </conditionalFormatting>
  <conditionalFormatting sqref="B105:H105 K105:M105">
    <cfRule type="expression" dxfId="168" priority="235">
      <formula>MOD(ROW(),2)=0</formula>
    </cfRule>
  </conditionalFormatting>
  <conditionalFormatting sqref="B20:H20 J20 M20:N20 M21">
    <cfRule type="expression" dxfId="167" priority="233">
      <formula>MOD(ROW(),2)=0</formula>
    </cfRule>
  </conditionalFormatting>
  <conditionalFormatting sqref="B25 J25 E25:H25 N25">
    <cfRule type="expression" dxfId="166" priority="231">
      <formula>MOD(ROW(),2)=0</formula>
    </cfRule>
  </conditionalFormatting>
  <conditionalFormatting sqref="B26:H26 J26 M26:N26">
    <cfRule type="expression" dxfId="165" priority="229">
      <formula>MOD(ROW(),2)=0</formula>
    </cfRule>
  </conditionalFormatting>
  <conditionalFormatting sqref="K20 K25:K26">
    <cfRule type="expression" dxfId="164" priority="227">
      <formula>MOD(ROW(),2)=0</formula>
    </cfRule>
  </conditionalFormatting>
  <conditionalFormatting sqref="B21:H21 J21 N21">
    <cfRule type="expression" dxfId="163" priority="226">
      <formula>MOD(ROW(),2)=0</formula>
    </cfRule>
  </conditionalFormatting>
  <conditionalFormatting sqref="K21">
    <cfRule type="expression" dxfId="162" priority="224">
      <formula>MOD(ROW(),2)=0</formula>
    </cfRule>
  </conditionalFormatting>
  <conditionalFormatting sqref="B22:H22 J22 M22:N22">
    <cfRule type="expression" dxfId="161" priority="223">
      <formula>MOD(ROW(),2)=0</formula>
    </cfRule>
  </conditionalFormatting>
  <conditionalFormatting sqref="K22">
    <cfRule type="expression" dxfId="160" priority="221">
      <formula>MOD(ROW(),2)=0</formula>
    </cfRule>
  </conditionalFormatting>
  <conditionalFormatting sqref="C43 E43:H43">
    <cfRule type="expression" dxfId="159" priority="220">
      <formula>MOD(ROW(),2)=0</formula>
    </cfRule>
  </conditionalFormatting>
  <conditionalFormatting sqref="C49:H49">
    <cfRule type="expression" dxfId="158" priority="216">
      <formula>MOD(ROW(),2)=0</formula>
    </cfRule>
  </conditionalFormatting>
  <conditionalFormatting sqref="K43 K49">
    <cfRule type="expression" dxfId="157" priority="214">
      <formula>MOD(ROW(),2)=0</formula>
    </cfRule>
  </conditionalFormatting>
  <conditionalFormatting sqref="C44 E44:H44">
    <cfRule type="expression" dxfId="156" priority="213">
      <formula>MOD(ROW(),2)=0</formula>
    </cfRule>
  </conditionalFormatting>
  <conditionalFormatting sqref="K44">
    <cfRule type="expression" dxfId="155" priority="211">
      <formula>MOD(ROW(),2)=0</formula>
    </cfRule>
  </conditionalFormatting>
  <conditionalFormatting sqref="C45 E45:H45">
    <cfRule type="expression" dxfId="154" priority="210">
      <formula>MOD(ROW(),2)=0</formula>
    </cfRule>
  </conditionalFormatting>
  <conditionalFormatting sqref="K45">
    <cfRule type="expression" dxfId="153" priority="208">
      <formula>MOD(ROW(),2)=0</formula>
    </cfRule>
  </conditionalFormatting>
  <conditionalFormatting sqref="C66 E66:H66">
    <cfRule type="expression" dxfId="152" priority="207">
      <formula>MOD(ROW(),2)=0</formula>
    </cfRule>
  </conditionalFormatting>
  <conditionalFormatting sqref="C72:H72">
    <cfRule type="expression" dxfId="151" priority="203">
      <formula>MOD(ROW(),2)=0</formula>
    </cfRule>
  </conditionalFormatting>
  <conditionalFormatting sqref="K66 K72">
    <cfRule type="expression" dxfId="150" priority="201">
      <formula>MOD(ROW(),2)=0</formula>
    </cfRule>
  </conditionalFormatting>
  <conditionalFormatting sqref="C67 E67:H67">
    <cfRule type="expression" dxfId="149" priority="200">
      <formula>MOD(ROW(),2)=0</formula>
    </cfRule>
  </conditionalFormatting>
  <conditionalFormatting sqref="K67">
    <cfRule type="expression" dxfId="148" priority="198">
      <formula>MOD(ROW(),2)=0</formula>
    </cfRule>
  </conditionalFormatting>
  <conditionalFormatting sqref="C68 E68:H68">
    <cfRule type="expression" dxfId="147" priority="197">
      <formula>MOD(ROW(),2)=0</formula>
    </cfRule>
  </conditionalFormatting>
  <conditionalFormatting sqref="K68">
    <cfRule type="expression" dxfId="146" priority="195">
      <formula>MOD(ROW(),2)=0</formula>
    </cfRule>
  </conditionalFormatting>
  <conditionalFormatting sqref="C87 E87:H87">
    <cfRule type="expression" dxfId="145" priority="194">
      <formula>MOD(ROW(),2)=0</formula>
    </cfRule>
  </conditionalFormatting>
  <conditionalFormatting sqref="C93:H93">
    <cfRule type="expression" dxfId="144" priority="190">
      <formula>MOD(ROW(),2)=0</formula>
    </cfRule>
  </conditionalFormatting>
  <conditionalFormatting sqref="K87 K93">
    <cfRule type="expression" dxfId="143" priority="188">
      <formula>MOD(ROW(),2)=0</formula>
    </cfRule>
  </conditionalFormatting>
  <conditionalFormatting sqref="C88 E88:H88">
    <cfRule type="expression" dxfId="142" priority="187">
      <formula>MOD(ROW(),2)=0</formula>
    </cfRule>
  </conditionalFormatting>
  <conditionalFormatting sqref="K88">
    <cfRule type="expression" dxfId="141" priority="185">
      <formula>MOD(ROW(),2)=0</formula>
    </cfRule>
  </conditionalFormatting>
  <conditionalFormatting sqref="C89 E89:H89">
    <cfRule type="expression" dxfId="140" priority="184">
      <formula>MOD(ROW(),2)=0</formula>
    </cfRule>
  </conditionalFormatting>
  <conditionalFormatting sqref="K89">
    <cfRule type="expression" dxfId="139" priority="182">
      <formula>MOD(ROW(),2)=0</formula>
    </cfRule>
  </conditionalFormatting>
  <conditionalFormatting sqref="C109 E109:H109 L109:L115">
    <cfRule type="expression" dxfId="138" priority="181">
      <formula>MOD(ROW(),2)=0</formula>
    </cfRule>
  </conditionalFormatting>
  <conditionalFormatting sqref="I109:I115">
    <cfRule type="expression" dxfId="137" priority="180">
      <formula>MOD(ROW(),2)=0</formula>
    </cfRule>
  </conditionalFormatting>
  <conditionalFormatting sqref="C115:H115">
    <cfRule type="expression" dxfId="136" priority="177">
      <formula>MOD(ROW(),2)=0</formula>
    </cfRule>
  </conditionalFormatting>
  <conditionalFormatting sqref="K109 K115">
    <cfRule type="expression" dxfId="135" priority="175">
      <formula>MOD(ROW(),2)=0</formula>
    </cfRule>
  </conditionalFormatting>
  <conditionalFormatting sqref="C110 E110:H110">
    <cfRule type="expression" dxfId="134" priority="174">
      <formula>MOD(ROW(),2)=0</formula>
    </cfRule>
  </conditionalFormatting>
  <conditionalFormatting sqref="K110">
    <cfRule type="expression" dxfId="133" priority="172">
      <formula>MOD(ROW(),2)=0</formula>
    </cfRule>
  </conditionalFormatting>
  <conditionalFormatting sqref="C111 E111:H111">
    <cfRule type="expression" dxfId="132" priority="171">
      <formula>MOD(ROW(),2)=0</formula>
    </cfRule>
  </conditionalFormatting>
  <conditionalFormatting sqref="K111">
    <cfRule type="expression" dxfId="131" priority="169">
      <formula>MOD(ROW(),2)=0</formula>
    </cfRule>
  </conditionalFormatting>
  <conditionalFormatting sqref="J66">
    <cfRule type="expression" dxfId="130" priority="168">
      <formula>MOD(ROW(),2)=0</formula>
    </cfRule>
  </conditionalFormatting>
  <conditionalFormatting sqref="J67">
    <cfRule type="expression" dxfId="129" priority="165">
      <formula>MOD(ROW(),2)=0</formula>
    </cfRule>
  </conditionalFormatting>
  <conditionalFormatting sqref="J68">
    <cfRule type="expression" dxfId="128" priority="164">
      <formula>MOD(ROW(),2)=0</formula>
    </cfRule>
  </conditionalFormatting>
  <conditionalFormatting sqref="J109">
    <cfRule type="expression" dxfId="127" priority="158">
      <formula>MOD(ROW(),2)=0</formula>
    </cfRule>
  </conditionalFormatting>
  <conditionalFormatting sqref="J110">
    <cfRule type="expression" dxfId="126" priority="155">
      <formula>MOD(ROW(),2)=0</formula>
    </cfRule>
  </conditionalFormatting>
  <conditionalFormatting sqref="J111">
    <cfRule type="expression" dxfId="125" priority="154">
      <formula>MOD(ROW(),2)=0</formula>
    </cfRule>
  </conditionalFormatting>
  <conditionalFormatting sqref="D43">
    <cfRule type="expression" dxfId="124" priority="153">
      <formula>MOD(ROW(),2)=0</formula>
    </cfRule>
  </conditionalFormatting>
  <conditionalFormatting sqref="D44">
    <cfRule type="expression" dxfId="123" priority="152">
      <formula>MOD(ROW(),2)=0</formula>
    </cfRule>
  </conditionalFormatting>
  <conditionalFormatting sqref="D45">
    <cfRule type="expression" dxfId="122" priority="151">
      <formula>MOD(ROW(),2)=0</formula>
    </cfRule>
  </conditionalFormatting>
  <conditionalFormatting sqref="D66">
    <cfRule type="expression" dxfId="121" priority="150">
      <formula>MOD(ROW(),2)=0</formula>
    </cfRule>
  </conditionalFormatting>
  <conditionalFormatting sqref="D67">
    <cfRule type="expression" dxfId="120" priority="149">
      <formula>MOD(ROW(),2)=0</formula>
    </cfRule>
  </conditionalFormatting>
  <conditionalFormatting sqref="D68">
    <cfRule type="expression" dxfId="119" priority="148">
      <formula>MOD(ROW(),2)=0</formula>
    </cfRule>
  </conditionalFormatting>
  <conditionalFormatting sqref="D111">
    <cfRule type="expression" dxfId="118" priority="142">
      <formula>MOD(ROW(),2)=0</formula>
    </cfRule>
  </conditionalFormatting>
  <conditionalFormatting sqref="D87">
    <cfRule type="expression" dxfId="117" priority="147">
      <formula>MOD(ROW(),2)=0</formula>
    </cfRule>
  </conditionalFormatting>
  <conditionalFormatting sqref="D88">
    <cfRule type="expression" dxfId="116" priority="146">
      <formula>MOD(ROW(),2)=0</formula>
    </cfRule>
  </conditionalFormatting>
  <conditionalFormatting sqref="D89">
    <cfRule type="expression" dxfId="115" priority="145">
      <formula>MOD(ROW(),2)=0</formula>
    </cfRule>
  </conditionalFormatting>
  <conditionalFormatting sqref="D109">
    <cfRule type="expression" dxfId="114" priority="144">
      <formula>MOD(ROW(),2)=0</formula>
    </cfRule>
  </conditionalFormatting>
  <conditionalFormatting sqref="D110">
    <cfRule type="expression" dxfId="113" priority="143">
      <formula>MOD(ROW(),2)=0</formula>
    </cfRule>
  </conditionalFormatting>
  <conditionalFormatting sqref="B24 E24:H24 N24">
    <cfRule type="expression" dxfId="112" priority="141">
      <formula>MOD(ROW(),2)=0</formula>
    </cfRule>
  </conditionalFormatting>
  <conditionalFormatting sqref="K24">
    <cfRule type="expression" dxfId="111" priority="139">
      <formula>MOD(ROW(),2)=0</formula>
    </cfRule>
  </conditionalFormatting>
  <conditionalFormatting sqref="B23 J23 M23:N23 E23:H23 M24:M25">
    <cfRule type="expression" dxfId="110" priority="138">
      <formula>MOD(ROW(),2)=0</formula>
    </cfRule>
  </conditionalFormatting>
  <conditionalFormatting sqref="K23">
    <cfRule type="expression" dxfId="109" priority="136">
      <formula>MOD(ROW(),2)=0</formula>
    </cfRule>
  </conditionalFormatting>
  <conditionalFormatting sqref="C23:D23">
    <cfRule type="expression" dxfId="108" priority="135">
      <formula>MOD(ROW(),2)=0</formula>
    </cfRule>
  </conditionalFormatting>
  <conditionalFormatting sqref="C24:D24">
    <cfRule type="expression" dxfId="107" priority="134">
      <formula>MOD(ROW(),2)=0</formula>
    </cfRule>
  </conditionalFormatting>
  <conditionalFormatting sqref="C25:D25">
    <cfRule type="expression" dxfId="106" priority="133">
      <formula>MOD(ROW(),2)=0</formula>
    </cfRule>
  </conditionalFormatting>
  <conditionalFormatting sqref="E48:H48">
    <cfRule type="expression" dxfId="105" priority="132">
      <formula>MOD(ROW(),2)=0</formula>
    </cfRule>
  </conditionalFormatting>
  <conditionalFormatting sqref="K48">
    <cfRule type="expression" dxfId="104" priority="130">
      <formula>MOD(ROW(),2)=0</formula>
    </cfRule>
  </conditionalFormatting>
  <conditionalFormatting sqref="E47:H47">
    <cfRule type="expression" dxfId="103" priority="129">
      <formula>MOD(ROW(),2)=0</formula>
    </cfRule>
  </conditionalFormatting>
  <conditionalFormatting sqref="K47">
    <cfRule type="expression" dxfId="102" priority="127">
      <formula>MOD(ROW(),2)=0</formula>
    </cfRule>
  </conditionalFormatting>
  <conditionalFormatting sqref="E46:H46">
    <cfRule type="expression" dxfId="101" priority="126">
      <formula>MOD(ROW(),2)=0</formula>
    </cfRule>
  </conditionalFormatting>
  <conditionalFormatting sqref="K46">
    <cfRule type="expression" dxfId="100" priority="124">
      <formula>MOD(ROW(),2)=0</formula>
    </cfRule>
  </conditionalFormatting>
  <conditionalFormatting sqref="C46:D46">
    <cfRule type="expression" dxfId="99" priority="123">
      <formula>MOD(ROW(),2)=0</formula>
    </cfRule>
  </conditionalFormatting>
  <conditionalFormatting sqref="C47:D47">
    <cfRule type="expression" dxfId="98" priority="122">
      <formula>MOD(ROW(),2)=0</formula>
    </cfRule>
  </conditionalFormatting>
  <conditionalFormatting sqref="C48:D48">
    <cfRule type="expression" dxfId="97" priority="121">
      <formula>MOD(ROW(),2)=0</formula>
    </cfRule>
  </conditionalFormatting>
  <conditionalFormatting sqref="J71 E71:H71">
    <cfRule type="expression" dxfId="96" priority="120">
      <formula>MOD(ROW(),2)=0</formula>
    </cfRule>
  </conditionalFormatting>
  <conditionalFormatting sqref="K71">
    <cfRule type="expression" dxfId="95" priority="118">
      <formula>MOD(ROW(),2)=0</formula>
    </cfRule>
  </conditionalFormatting>
  <conditionalFormatting sqref="E70:H70">
    <cfRule type="expression" dxfId="94" priority="117">
      <formula>MOD(ROW(),2)=0</formula>
    </cfRule>
  </conditionalFormatting>
  <conditionalFormatting sqref="K70">
    <cfRule type="expression" dxfId="93" priority="115">
      <formula>MOD(ROW(),2)=0</formula>
    </cfRule>
  </conditionalFormatting>
  <conditionalFormatting sqref="J69 E69:H69">
    <cfRule type="expression" dxfId="92" priority="114">
      <formula>MOD(ROW(),2)=0</formula>
    </cfRule>
  </conditionalFormatting>
  <conditionalFormatting sqref="K69">
    <cfRule type="expression" dxfId="91" priority="112">
      <formula>MOD(ROW(),2)=0</formula>
    </cfRule>
  </conditionalFormatting>
  <conditionalFormatting sqref="C69:D69">
    <cfRule type="expression" dxfId="90" priority="111">
      <formula>MOD(ROW(),2)=0</formula>
    </cfRule>
  </conditionalFormatting>
  <conditionalFormatting sqref="C70:D70">
    <cfRule type="expression" dxfId="89" priority="110">
      <formula>MOD(ROW(),2)=0</formula>
    </cfRule>
  </conditionalFormatting>
  <conditionalFormatting sqref="C71:D71">
    <cfRule type="expression" dxfId="88" priority="109">
      <formula>MOD(ROW(),2)=0</formula>
    </cfRule>
  </conditionalFormatting>
  <conditionalFormatting sqref="E92:H92">
    <cfRule type="expression" dxfId="87" priority="108">
      <formula>MOD(ROW(),2)=0</formula>
    </cfRule>
  </conditionalFormatting>
  <conditionalFormatting sqref="K92">
    <cfRule type="expression" dxfId="86" priority="106">
      <formula>MOD(ROW(),2)=0</formula>
    </cfRule>
  </conditionalFormatting>
  <conditionalFormatting sqref="E91:H91">
    <cfRule type="expression" dxfId="85" priority="105">
      <formula>MOD(ROW(),2)=0</formula>
    </cfRule>
  </conditionalFormatting>
  <conditionalFormatting sqref="K91">
    <cfRule type="expression" dxfId="84" priority="103">
      <formula>MOD(ROW(),2)=0</formula>
    </cfRule>
  </conditionalFormatting>
  <conditionalFormatting sqref="E90:H90">
    <cfRule type="expression" dxfId="83" priority="102">
      <formula>MOD(ROW(),2)=0</formula>
    </cfRule>
  </conditionalFormatting>
  <conditionalFormatting sqref="K90">
    <cfRule type="expression" dxfId="82" priority="100">
      <formula>MOD(ROW(),2)=0</formula>
    </cfRule>
  </conditionalFormatting>
  <conditionalFormatting sqref="C90:D90">
    <cfRule type="expression" dxfId="81" priority="99">
      <formula>MOD(ROW(),2)=0</formula>
    </cfRule>
  </conditionalFormatting>
  <conditionalFormatting sqref="C91:D91">
    <cfRule type="expression" dxfId="80" priority="98">
      <formula>MOD(ROW(),2)=0</formula>
    </cfRule>
  </conditionalFormatting>
  <conditionalFormatting sqref="C92:D92">
    <cfRule type="expression" dxfId="79" priority="97">
      <formula>MOD(ROW(),2)=0</formula>
    </cfRule>
  </conditionalFormatting>
  <conditionalFormatting sqref="J114 E114:H114">
    <cfRule type="expression" dxfId="78" priority="96">
      <formula>MOD(ROW(),2)=0</formula>
    </cfRule>
  </conditionalFormatting>
  <conditionalFormatting sqref="K114">
    <cfRule type="expression" dxfId="77" priority="94">
      <formula>MOD(ROW(),2)=0</formula>
    </cfRule>
  </conditionalFormatting>
  <conditionalFormatting sqref="E113:H113">
    <cfRule type="expression" dxfId="76" priority="93">
      <formula>MOD(ROW(),2)=0</formula>
    </cfRule>
  </conditionalFormatting>
  <conditionalFormatting sqref="K113">
    <cfRule type="expression" dxfId="75" priority="91">
      <formula>MOD(ROW(),2)=0</formula>
    </cfRule>
  </conditionalFormatting>
  <conditionalFormatting sqref="J112 E112:H112">
    <cfRule type="expression" dxfId="74" priority="90">
      <formula>MOD(ROW(),2)=0</formula>
    </cfRule>
  </conditionalFormatting>
  <conditionalFormatting sqref="K112">
    <cfRule type="expression" dxfId="73" priority="88">
      <formula>MOD(ROW(),2)=0</formula>
    </cfRule>
  </conditionalFormatting>
  <conditionalFormatting sqref="C112:D112">
    <cfRule type="expression" dxfId="72" priority="87">
      <formula>MOD(ROW(),2)=0</formula>
    </cfRule>
  </conditionalFormatting>
  <conditionalFormatting sqref="C113:D113">
    <cfRule type="expression" dxfId="71" priority="86">
      <formula>MOD(ROW(),2)=0</formula>
    </cfRule>
  </conditionalFormatting>
  <conditionalFormatting sqref="C114:D114">
    <cfRule type="expression" dxfId="70" priority="85">
      <formula>MOD(ROW(),2)=0</formula>
    </cfRule>
  </conditionalFormatting>
  <conditionalFormatting sqref="J24">
    <cfRule type="expression" dxfId="69" priority="84">
      <formula>MOD(ROW(),2)=0</formula>
    </cfRule>
  </conditionalFormatting>
  <conditionalFormatting sqref="J70">
    <cfRule type="expression" dxfId="68" priority="82">
      <formula>MOD(ROW(),2)=0</formula>
    </cfRule>
  </conditionalFormatting>
  <conditionalFormatting sqref="J113">
    <cfRule type="expression" dxfId="67" priority="80">
      <formula>MOD(ROW(),2)=0</formula>
    </cfRule>
  </conditionalFormatting>
  <conditionalFormatting sqref="J72">
    <cfRule type="expression" dxfId="66" priority="78">
      <formula>MOD(ROW(),2)=0</formula>
    </cfRule>
  </conditionalFormatting>
  <conditionalFormatting sqref="J115">
    <cfRule type="expression" dxfId="65" priority="76">
      <formula>MOD(ROW(),2)=0</formula>
    </cfRule>
  </conditionalFormatting>
  <conditionalFormatting sqref="I136">
    <cfRule type="expression" dxfId="64" priority="74">
      <formula>MOD(ROW(),2)=0</formula>
    </cfRule>
  </conditionalFormatting>
  <conditionalFormatting sqref="I137">
    <cfRule type="expression" dxfId="63" priority="73">
      <formula>MOD(ROW(),2)=0</formula>
    </cfRule>
  </conditionalFormatting>
  <conditionalFormatting sqref="I138">
    <cfRule type="expression" dxfId="62" priority="72">
      <formula>MOD(ROW(),2)=0</formula>
    </cfRule>
  </conditionalFormatting>
  <conditionalFormatting sqref="I139">
    <cfRule type="expression" dxfId="61" priority="71">
      <formula>MOD(ROW(),2)=0</formula>
    </cfRule>
  </conditionalFormatting>
  <conditionalFormatting sqref="I140">
    <cfRule type="expression" dxfId="60" priority="70">
      <formula>MOD(ROW(),2)=0</formula>
    </cfRule>
  </conditionalFormatting>
  <conditionalFormatting sqref="B160:B174 D160:H174 J160:K174">
    <cfRule type="expression" dxfId="59" priority="69">
      <formula>MOD(ROW(),2)=0</formula>
    </cfRule>
  </conditionalFormatting>
  <conditionalFormatting sqref="I160:I174">
    <cfRule type="expression" dxfId="58" priority="68">
      <formula>MOD(ROW(),2)=0</formula>
    </cfRule>
  </conditionalFormatting>
  <conditionalFormatting sqref="M43:M44">
    <cfRule type="expression" dxfId="57" priority="55">
      <formula>MOD(ROW(),2)=0</formula>
    </cfRule>
  </conditionalFormatting>
  <conditionalFormatting sqref="M49">
    <cfRule type="expression" dxfId="56" priority="54">
      <formula>MOD(ROW(),2)=0</formula>
    </cfRule>
  </conditionalFormatting>
  <conditionalFormatting sqref="M45">
    <cfRule type="expression" dxfId="55" priority="53">
      <formula>MOD(ROW(),2)=0</formula>
    </cfRule>
  </conditionalFormatting>
  <conditionalFormatting sqref="M46:M48">
    <cfRule type="expression" dxfId="54" priority="52">
      <formula>MOD(ROW(),2)=0</formula>
    </cfRule>
  </conditionalFormatting>
  <conditionalFormatting sqref="M87:M88">
    <cfRule type="expression" dxfId="53" priority="59">
      <formula>MOD(ROW(),2)=0</formula>
    </cfRule>
  </conditionalFormatting>
  <conditionalFormatting sqref="M93">
    <cfRule type="expression" dxfId="52" priority="58">
      <formula>MOD(ROW(),2)=0</formula>
    </cfRule>
  </conditionalFormatting>
  <conditionalFormatting sqref="M89">
    <cfRule type="expression" dxfId="51" priority="57">
      <formula>MOD(ROW(),2)=0</formula>
    </cfRule>
  </conditionalFormatting>
  <conditionalFormatting sqref="M90:M92">
    <cfRule type="expression" dxfId="50" priority="56">
      <formula>MOD(ROW(),2)=0</formula>
    </cfRule>
  </conditionalFormatting>
  <conditionalFormatting sqref="M66:M67">
    <cfRule type="expression" dxfId="49" priority="51">
      <formula>MOD(ROW(),2)=0</formula>
    </cfRule>
  </conditionalFormatting>
  <conditionalFormatting sqref="M72">
    <cfRule type="expression" dxfId="48" priority="50">
      <formula>MOD(ROW(),2)=0</formula>
    </cfRule>
  </conditionalFormatting>
  <conditionalFormatting sqref="M68">
    <cfRule type="expression" dxfId="47" priority="49">
      <formula>MOD(ROW(),2)=0</formula>
    </cfRule>
  </conditionalFormatting>
  <conditionalFormatting sqref="M69:M71">
    <cfRule type="expression" dxfId="46" priority="48">
      <formula>MOD(ROW(),2)=0</formula>
    </cfRule>
  </conditionalFormatting>
  <conditionalFormatting sqref="M109:M110">
    <cfRule type="expression" dxfId="45" priority="47">
      <formula>MOD(ROW(),2)=0</formula>
    </cfRule>
  </conditionalFormatting>
  <conditionalFormatting sqref="M115">
    <cfRule type="expression" dxfId="44" priority="46">
      <formula>MOD(ROW(),2)=0</formula>
    </cfRule>
  </conditionalFormatting>
  <conditionalFormatting sqref="M111">
    <cfRule type="expression" dxfId="43" priority="45">
      <formula>MOD(ROW(),2)=0</formula>
    </cfRule>
  </conditionalFormatting>
  <conditionalFormatting sqref="M112:M114">
    <cfRule type="expression" dxfId="42" priority="44">
      <formula>MOD(ROW(),2)=0</formula>
    </cfRule>
  </conditionalFormatting>
  <conditionalFormatting sqref="L87:L93">
    <cfRule type="expression" dxfId="41" priority="43">
      <formula>MOD(ROW(),2)=0</formula>
    </cfRule>
  </conditionalFormatting>
  <conditionalFormatting sqref="L66:L72">
    <cfRule type="expression" dxfId="40" priority="42">
      <formula>MOD(ROW(),2)=0</formula>
    </cfRule>
  </conditionalFormatting>
  <conditionalFormatting sqref="L43:L49">
    <cfRule type="expression" dxfId="39" priority="41">
      <formula>MOD(ROW(),2)=0</formula>
    </cfRule>
  </conditionalFormatting>
  <conditionalFormatting sqref="L20:L26">
    <cfRule type="expression" dxfId="38" priority="40">
      <formula>MOD(ROW(),2)=0</formula>
    </cfRule>
  </conditionalFormatting>
  <conditionalFormatting sqref="I87:I93">
    <cfRule type="expression" dxfId="37" priority="39">
      <formula>MOD(ROW(),2)=0</formula>
    </cfRule>
  </conditionalFormatting>
  <conditionalFormatting sqref="I66:I72">
    <cfRule type="expression" dxfId="36" priority="38">
      <formula>MOD(ROW(),2)=0</formula>
    </cfRule>
  </conditionalFormatting>
  <conditionalFormatting sqref="I43:I49">
    <cfRule type="expression" dxfId="35" priority="37">
      <formula>MOD(ROW(),2)=0</formula>
    </cfRule>
  </conditionalFormatting>
  <conditionalFormatting sqref="I20:I26">
    <cfRule type="expression" dxfId="34" priority="35">
      <formula>MOD(ROW(),2)=0</formula>
    </cfRule>
  </conditionalFormatting>
  <conditionalFormatting sqref="J4:J15 I4:I19">
    <cfRule type="expression" dxfId="33" priority="34">
      <formula>MOD(ROW(),2)=0</formula>
    </cfRule>
  </conditionalFormatting>
  <conditionalFormatting sqref="J16:J19">
    <cfRule type="expression" dxfId="32" priority="33">
      <formula>MOD(ROW(),2)=0</formula>
    </cfRule>
  </conditionalFormatting>
  <conditionalFormatting sqref="J27:J34 J37:J38">
    <cfRule type="expression" dxfId="31" priority="32">
      <formula>MOD(ROW(),2)=0</formula>
    </cfRule>
  </conditionalFormatting>
  <conditionalFormatting sqref="J39:J42 I27:I34 I37:I42">
    <cfRule type="expression" dxfId="30" priority="31">
      <formula>MOD(ROW(),2)=0</formula>
    </cfRule>
  </conditionalFormatting>
  <conditionalFormatting sqref="I35:J36">
    <cfRule type="expression" dxfId="29" priority="30">
      <formula>MOD(ROW(),2)=0</formula>
    </cfRule>
  </conditionalFormatting>
  <conditionalFormatting sqref="J43">
    <cfRule type="expression" dxfId="28" priority="29">
      <formula>MOD(ROW(),2)=0</formula>
    </cfRule>
  </conditionalFormatting>
  <conditionalFormatting sqref="J44">
    <cfRule type="expression" dxfId="27" priority="28">
      <formula>MOD(ROW(),2)=0</formula>
    </cfRule>
  </conditionalFormatting>
  <conditionalFormatting sqref="J45">
    <cfRule type="expression" dxfId="26" priority="27">
      <formula>MOD(ROW(),2)=0</formula>
    </cfRule>
  </conditionalFormatting>
  <conditionalFormatting sqref="J48">
    <cfRule type="expression" dxfId="25" priority="26">
      <formula>MOD(ROW(),2)=0</formula>
    </cfRule>
  </conditionalFormatting>
  <conditionalFormatting sqref="J46">
    <cfRule type="expression" dxfId="24" priority="25">
      <formula>MOD(ROW(),2)=0</formula>
    </cfRule>
  </conditionalFormatting>
  <conditionalFormatting sqref="J47">
    <cfRule type="expression" dxfId="23" priority="24">
      <formula>MOD(ROW(),2)=0</formula>
    </cfRule>
  </conditionalFormatting>
  <conditionalFormatting sqref="J49">
    <cfRule type="expression" dxfId="22" priority="23">
      <formula>MOD(ROW(),2)=0</formula>
    </cfRule>
  </conditionalFormatting>
  <conditionalFormatting sqref="J50:J57 J60:J61">
    <cfRule type="expression" dxfId="21" priority="22">
      <formula>MOD(ROW(),2)=0</formula>
    </cfRule>
  </conditionalFormatting>
  <conditionalFormatting sqref="I50:I57 I60:I65">
    <cfRule type="expression" dxfId="20" priority="21">
      <formula>MOD(ROW(),2)=0</formula>
    </cfRule>
  </conditionalFormatting>
  <conditionalFormatting sqref="I58:J59">
    <cfRule type="expression" dxfId="19" priority="20">
      <formula>MOD(ROW(),2)=0</formula>
    </cfRule>
  </conditionalFormatting>
  <conditionalFormatting sqref="J62:J65">
    <cfRule type="expression" dxfId="18" priority="19">
      <formula>MOD(ROW(),2)=0</formula>
    </cfRule>
  </conditionalFormatting>
  <conditionalFormatting sqref="J73:J80">
    <cfRule type="expression" dxfId="17" priority="18">
      <formula>MOD(ROW(),2)=0</formula>
    </cfRule>
  </conditionalFormatting>
  <conditionalFormatting sqref="I73:I80 I83:I86">
    <cfRule type="expression" dxfId="16" priority="17">
      <formula>MOD(ROW(),2)=0</formula>
    </cfRule>
  </conditionalFormatting>
  <conditionalFormatting sqref="I81:J82">
    <cfRule type="expression" dxfId="15" priority="16">
      <formula>MOD(ROW(),2)=0</formula>
    </cfRule>
  </conditionalFormatting>
  <conditionalFormatting sqref="J83:J86">
    <cfRule type="expression" dxfId="14" priority="15">
      <formula>MOD(ROW(),2)=0</formula>
    </cfRule>
  </conditionalFormatting>
  <conditionalFormatting sqref="J87">
    <cfRule type="expression" dxfId="13" priority="14">
      <formula>MOD(ROW(),2)=0</formula>
    </cfRule>
  </conditionalFormatting>
  <conditionalFormatting sqref="J88">
    <cfRule type="expression" dxfId="12" priority="13">
      <formula>MOD(ROW(),2)=0</formula>
    </cfRule>
  </conditionalFormatting>
  <conditionalFormatting sqref="J89">
    <cfRule type="expression" dxfId="11" priority="12">
      <formula>MOD(ROW(),2)=0</formula>
    </cfRule>
  </conditionalFormatting>
  <conditionalFormatting sqref="J92">
    <cfRule type="expression" dxfId="10" priority="11">
      <formula>MOD(ROW(),2)=0</formula>
    </cfRule>
  </conditionalFormatting>
  <conditionalFormatting sqref="J90">
    <cfRule type="expression" dxfId="9" priority="10">
      <formula>MOD(ROW(),2)=0</formula>
    </cfRule>
  </conditionalFormatting>
  <conditionalFormatting sqref="J91">
    <cfRule type="expression" dxfId="8" priority="9">
      <formula>MOD(ROW(),2)=0</formula>
    </cfRule>
  </conditionalFormatting>
  <conditionalFormatting sqref="J93">
    <cfRule type="expression" dxfId="7" priority="8">
      <formula>MOD(ROW(),2)=0</formula>
    </cfRule>
  </conditionalFormatting>
  <conditionalFormatting sqref="J94:J100 J103:J104">
    <cfRule type="expression" dxfId="6" priority="7">
      <formula>MOD(ROW(),2)=0</formula>
    </cfRule>
  </conditionalFormatting>
  <conditionalFormatting sqref="I94:I100 I103:I104">
    <cfRule type="expression" dxfId="5" priority="6">
      <formula>MOD(ROW(),2)=0</formula>
    </cfRule>
  </conditionalFormatting>
  <conditionalFormatting sqref="J105">
    <cfRule type="expression" dxfId="4" priority="5">
      <formula>MOD(ROW(),2)=0</formula>
    </cfRule>
  </conditionalFormatting>
  <conditionalFormatting sqref="I105">
    <cfRule type="expression" dxfId="3" priority="4">
      <formula>MOD(ROW(),2)=0</formula>
    </cfRule>
  </conditionalFormatting>
  <conditionalFormatting sqref="I101:J102">
    <cfRule type="expression" dxfId="2" priority="3">
      <formula>MOD(ROW(),2)=0</formula>
    </cfRule>
  </conditionalFormatting>
  <conditionalFormatting sqref="I106:I108">
    <cfRule type="expression" dxfId="1" priority="2">
      <formula>MOD(ROW(),2)=0</formula>
    </cfRule>
  </conditionalFormatting>
  <conditionalFormatting sqref="J106:J108">
    <cfRule type="expression" dxfId="0" priority="1">
      <formula>MOD(ROW(),2)=0</formula>
    </cfRule>
  </conditionalFormatting>
  <hyperlinks>
    <hyperlink ref="A1" location="Index!A1" display="&lt;&lt;Back to Index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5</vt:i4>
      </vt:variant>
    </vt:vector>
  </HeadingPairs>
  <TitlesOfParts>
    <vt:vector size="28" baseType="lpstr">
      <vt:lpstr>Cover</vt:lpstr>
      <vt:lpstr>Index</vt:lpstr>
      <vt:lpstr>OVERVIEW -&gt;</vt:lpstr>
      <vt:lpstr>Structure</vt:lpstr>
      <vt:lpstr>Summary</vt:lpstr>
      <vt:lpstr>CHARTS -&gt;</vt:lpstr>
      <vt:lpstr>Res wo CL</vt:lpstr>
      <vt:lpstr>Res w CL</vt:lpstr>
      <vt:lpstr>DMO Zone prices -&gt;</vt:lpstr>
      <vt:lpstr>Ausgrid</vt:lpstr>
      <vt:lpstr>Endeavour</vt:lpstr>
      <vt:lpstr>Essential</vt:lpstr>
      <vt:lpstr>Energex</vt:lpstr>
      <vt:lpstr>SAPN</vt:lpstr>
      <vt:lpstr>COST CALCS -&gt;</vt:lpstr>
      <vt:lpstr>Network cost</vt:lpstr>
      <vt:lpstr>Wholesale cost</vt:lpstr>
      <vt:lpstr>Environmental cost</vt:lpstr>
      <vt:lpstr>Retail cost</vt:lpstr>
      <vt:lpstr>INPUTS -&gt;</vt:lpstr>
      <vt:lpstr>Key inputs</vt:lpstr>
      <vt:lpstr>Usage</vt:lpstr>
      <vt:lpstr>Detail inputs</vt:lpstr>
      <vt:lpstr>CPI</vt:lpstr>
      <vt:lpstr>Days</vt:lpstr>
      <vt:lpstr>FY</vt:lpstr>
      <vt:lpstr>GST</vt:lpstr>
      <vt:lpstr>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2016-12-13T23:55:07Z</dcterms:created>
  <dcterms:modified xsi:type="dcterms:W3CDTF">2022-05-25T06:59:15Z</dcterms:modified>
</cp:coreProperties>
</file>