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6_{360F1D3D-BB7A-4612-BC26-5F5C9938EAE2}" xr6:coauthVersionLast="47" xr6:coauthVersionMax="47" xr10:uidLastSave="{00000000-0000-0000-0000-000000000000}"/>
  <bookViews>
    <workbookView xWindow="-120" yWindow="-120" windowWidth="29040" windowHeight="15840" tabRatio="877" activeTab="8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FY19 Capex" sheetId="16" r:id="rId4"/>
    <sheet name="FY20 Capex" sheetId="14" r:id="rId5"/>
    <sheet name="Input | Reported Capex" sheetId="3" r:id="rId6"/>
    <sheet name="Calc | CESS Revenue Increments" sheetId="4" r:id="rId7"/>
    <sheet name="Output | Models" sheetId="10" r:id="rId8"/>
    <sheet name="Output| CESS true-up" sheetId="15" r:id="rId9"/>
  </sheets>
  <definedNames>
    <definedName name="A10remlife">#REF!</definedName>
    <definedName name="A10stdlife">#REF!</definedName>
    <definedName name="A10taxremlife">#REF!</definedName>
    <definedName name="A10taxstdlife">#REF!</definedName>
    <definedName name="A10taxvalue">#REF!</definedName>
    <definedName name="A10value">#REF!</definedName>
    <definedName name="A11remlife">#REF!</definedName>
    <definedName name="A11stdlife">#REF!</definedName>
    <definedName name="A11taxremlife">#REF!</definedName>
    <definedName name="A11taxstdlife">#REF!</definedName>
    <definedName name="A11taxvalue">#REF!</definedName>
    <definedName name="A11value">#REF!</definedName>
    <definedName name="A12remlife">#REF!</definedName>
    <definedName name="A12stdlife">#REF!</definedName>
    <definedName name="A12taxremlife">#REF!</definedName>
    <definedName name="A12taxstdlife">#REF!</definedName>
    <definedName name="A12taxvalue">#REF!</definedName>
    <definedName name="A12value">#REF!</definedName>
    <definedName name="A13remlife">#REF!</definedName>
    <definedName name="A13stdlife">#REF!</definedName>
    <definedName name="A13taxremlife">#REF!</definedName>
    <definedName name="A13taxstdlife">#REF!</definedName>
    <definedName name="A13taxvalue">#REF!</definedName>
    <definedName name="A13value">#REF!</definedName>
    <definedName name="A14remlife">#REF!</definedName>
    <definedName name="A14stdlife">#REF!</definedName>
    <definedName name="A14taxremlife">#REF!</definedName>
    <definedName name="A14taxstdlife">#REF!</definedName>
    <definedName name="A14taxvalue">#REF!</definedName>
    <definedName name="A14value">#REF!</definedName>
    <definedName name="A15remlife">#REF!</definedName>
    <definedName name="A15stdlife">#REF!</definedName>
    <definedName name="A15taxremlife">#REF!</definedName>
    <definedName name="A15taxstdlife">#REF!</definedName>
    <definedName name="A15taxvalue">#REF!</definedName>
    <definedName name="A15value">#REF!</definedName>
    <definedName name="A16remlife">#REF!</definedName>
    <definedName name="A16stdlife">#REF!</definedName>
    <definedName name="A16taxremlife">#REF!</definedName>
    <definedName name="A16taxstdlife">#REF!</definedName>
    <definedName name="A16taxvalue">#REF!</definedName>
    <definedName name="A16value">#REF!</definedName>
    <definedName name="A17remlife">#REF!</definedName>
    <definedName name="A17stdlife">#REF!</definedName>
    <definedName name="A17taxremlife">#REF!</definedName>
    <definedName name="A17taxstdlife">#REF!</definedName>
    <definedName name="A17taxvalue">#REF!</definedName>
    <definedName name="A17value">#REF!</definedName>
    <definedName name="A18remlife">#REF!</definedName>
    <definedName name="A18stdlife">#REF!</definedName>
    <definedName name="A18taxremlife">#REF!</definedName>
    <definedName name="A18taxstdlife">#REF!</definedName>
    <definedName name="A18taxvalue">#REF!</definedName>
    <definedName name="A18value">#REF!</definedName>
    <definedName name="A19remlife">#REF!</definedName>
    <definedName name="A19stdlife">#REF!</definedName>
    <definedName name="A19taxremlife">#REF!</definedName>
    <definedName name="A19taxstdlife">#REF!</definedName>
    <definedName name="A19taxvalue">#REF!</definedName>
    <definedName name="A19value">#REF!</definedName>
    <definedName name="A1remlife">#REF!</definedName>
    <definedName name="A1stdlife">#REF!</definedName>
    <definedName name="A1taxremlife">#REF!</definedName>
    <definedName name="A1taxstdlife">#REF!</definedName>
    <definedName name="A1taxvalue">#REF!</definedName>
    <definedName name="A1value">#REF!</definedName>
    <definedName name="A20remlife">#REF!</definedName>
    <definedName name="A20stdlife">#REF!</definedName>
    <definedName name="A20taxremlife">#REF!</definedName>
    <definedName name="A20taxstdlife">#REF!</definedName>
    <definedName name="A20taxvalue">#REF!</definedName>
    <definedName name="A20value">#REF!</definedName>
    <definedName name="A21remlife">#REF!</definedName>
    <definedName name="A21stdlife">#REF!</definedName>
    <definedName name="A21taxremlife">#REF!</definedName>
    <definedName name="A21taxstdlife">#REF!</definedName>
    <definedName name="A21taxvalue">#REF!</definedName>
    <definedName name="A21value">#REF!</definedName>
    <definedName name="A22remlife">#REF!</definedName>
    <definedName name="A22stdlife">#REF!</definedName>
    <definedName name="A22taxremlife">#REF!</definedName>
    <definedName name="A22taxstdlife">#REF!</definedName>
    <definedName name="A22taxvalue">#REF!</definedName>
    <definedName name="A22value">#REF!</definedName>
    <definedName name="A23remlife">#REF!</definedName>
    <definedName name="A23stdlife">#REF!</definedName>
    <definedName name="A23taxremlife">#REF!</definedName>
    <definedName name="A23taxstdlife">#REF!</definedName>
    <definedName name="A23taxvalue">#REF!</definedName>
    <definedName name="A23value">#REF!</definedName>
    <definedName name="A24remlife">#REF!</definedName>
    <definedName name="A24stdlife">#REF!</definedName>
    <definedName name="A24taxremlife">#REF!</definedName>
    <definedName name="A24taxstdlife">#REF!</definedName>
    <definedName name="A24taxvalue">#REF!</definedName>
    <definedName name="A24value">#REF!</definedName>
    <definedName name="A25remlife">#REF!</definedName>
    <definedName name="A25stdlife">#REF!</definedName>
    <definedName name="A25taxremlife">#REF!</definedName>
    <definedName name="A25taxstdlife">#REF!</definedName>
    <definedName name="A25taxvalue">#REF!</definedName>
    <definedName name="A25value">#REF!</definedName>
    <definedName name="A26remlife">#REF!</definedName>
    <definedName name="A26stdlife">#REF!</definedName>
    <definedName name="A26taxremlife">#REF!</definedName>
    <definedName name="A26taxstdlife">#REF!</definedName>
    <definedName name="A26taxvalue">#REF!</definedName>
    <definedName name="A26value">#REF!</definedName>
    <definedName name="A27remlife">#REF!</definedName>
    <definedName name="A27stdlife">#REF!</definedName>
    <definedName name="A27taxremlife">#REF!</definedName>
    <definedName name="A27taxstdlife">#REF!</definedName>
    <definedName name="A27taxvalue">#REF!</definedName>
    <definedName name="A27value">#REF!</definedName>
    <definedName name="A28remlife">#REF!</definedName>
    <definedName name="A28stdlife">#REF!</definedName>
    <definedName name="A28taxremlife">#REF!</definedName>
    <definedName name="A28taxstdlife">#REF!</definedName>
    <definedName name="A28taxvalue">#REF!</definedName>
    <definedName name="A28value">#REF!</definedName>
    <definedName name="A29remlife">#REF!</definedName>
    <definedName name="A29stdlife">#REF!</definedName>
    <definedName name="A29taxremlife">#REF!</definedName>
    <definedName name="A29taxstdlife">#REF!</definedName>
    <definedName name="A29taxvalue">#REF!</definedName>
    <definedName name="A29value">#REF!</definedName>
    <definedName name="A2remlife">#REF!</definedName>
    <definedName name="A2stdlife">#REF!</definedName>
    <definedName name="A2taxremlife">#REF!</definedName>
    <definedName name="A2taxstdlife">#REF!</definedName>
    <definedName name="A2taxvalue">#REF!</definedName>
    <definedName name="A2value">#REF!</definedName>
    <definedName name="A30remlife">#REF!</definedName>
    <definedName name="A30stdlife">#REF!</definedName>
    <definedName name="A30taxremlife">#REF!</definedName>
    <definedName name="A30taxstdlife">#REF!</definedName>
    <definedName name="A30taxvalue">#REF!</definedName>
    <definedName name="A30value">#REF!</definedName>
    <definedName name="A31remlife">#REF!</definedName>
    <definedName name="A31stdlife">#REF!</definedName>
    <definedName name="A31taxremlife">#REF!</definedName>
    <definedName name="A31taxstdlife">#REF!</definedName>
    <definedName name="A31taxvalue">#REF!</definedName>
    <definedName name="A31value">#REF!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remlife">#REF!</definedName>
    <definedName name="A3stdlife">#REF!</definedName>
    <definedName name="A3taxremlife">#REF!</definedName>
    <definedName name="A3taxstdlife">#REF!</definedName>
    <definedName name="A3taxvalue">#REF!</definedName>
    <definedName name="A3value">#REF!</definedName>
    <definedName name="A40remlife">#REF!</definedName>
    <definedName name="A40stdlife">#REF!</definedName>
    <definedName name="A40taxremlife">#REF!</definedName>
    <definedName name="A40taxstdlife">#REF!</definedName>
    <definedName name="A40taxvalue">#REF!</definedName>
    <definedName name="A40value">#REF!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remlife">#REF!</definedName>
    <definedName name="A4stdlife">#REF!</definedName>
    <definedName name="A4taxremlife">#REF!</definedName>
    <definedName name="A4taxstdlife">#REF!</definedName>
    <definedName name="A4taxvalue">#REF!</definedName>
    <definedName name="A4value">#REF!</definedName>
    <definedName name="A50remlife">#REF!</definedName>
    <definedName name="A50stdlife">#REF!</definedName>
    <definedName name="A50taxremlife">#REF!</definedName>
    <definedName name="A50taxstdlife">#REF!</definedName>
    <definedName name="A50taxvalue">#REF!</definedName>
    <definedName name="A50value">#REF!</definedName>
    <definedName name="A5remlife">#REF!</definedName>
    <definedName name="A5stdlife">#REF!</definedName>
    <definedName name="A5taxremlife">#REF!</definedName>
    <definedName name="A5taxstdlife">#REF!</definedName>
    <definedName name="A5taxvalue">#REF!</definedName>
    <definedName name="A5value">#REF!</definedName>
    <definedName name="A6remlife">#REF!</definedName>
    <definedName name="A6stdlife">#REF!</definedName>
    <definedName name="A6taxremlife">#REF!</definedName>
    <definedName name="A6taxstdlife">#REF!</definedName>
    <definedName name="A6taxvalue">#REF!</definedName>
    <definedName name="A6value">#REF!</definedName>
    <definedName name="A7remlife">#REF!</definedName>
    <definedName name="A7stdlife">#REF!</definedName>
    <definedName name="A7taxremlife">#REF!</definedName>
    <definedName name="A7taxstdlife">#REF!</definedName>
    <definedName name="A7taxvalue">#REF!</definedName>
    <definedName name="A7value">#REF!</definedName>
    <definedName name="A8remlife">#REF!</definedName>
    <definedName name="A8stdlife">#REF!</definedName>
    <definedName name="A8taxremlife">#REF!</definedName>
    <definedName name="A8taxstdlife">#REF!</definedName>
    <definedName name="A8taxvalue">#REF!</definedName>
    <definedName name="A8value">#REF!</definedName>
    <definedName name="A9remlife">#REF!</definedName>
    <definedName name="A9stdlife">#REF!</definedName>
    <definedName name="A9taxremlife">#REF!</definedName>
    <definedName name="A9taxstdlife">#REF!</definedName>
    <definedName name="A9taxvalue">#REF!</definedName>
    <definedName name="A9value">#REF!</definedName>
    <definedName name="anscount" hidden="1">1</definedName>
    <definedName name="Asset1">#REF!</definedName>
    <definedName name="Asset10">#REF!</definedName>
    <definedName name="Asset11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21">#REF!</definedName>
    <definedName name="Asset22">#REF!</definedName>
    <definedName name="Asset23">#REF!</definedName>
    <definedName name="Asset27">#REF!</definedName>
    <definedName name="Asset28">#REF!</definedName>
    <definedName name="Asset29">#REF!</definedName>
    <definedName name="Asset3">#REF!</definedName>
    <definedName name="Asset30">#REF!</definedName>
    <definedName name="Asset31">#REF!</definedName>
    <definedName name="Asset32">#REF!</definedName>
    <definedName name="Asset33">#REF!</definedName>
    <definedName name="Asset34">#REF!</definedName>
    <definedName name="Asset35">#REF!</definedName>
    <definedName name="Asset36">#REF!</definedName>
    <definedName name="Asset37">#REF!</definedName>
    <definedName name="Asset38">#REF!</definedName>
    <definedName name="Asset39">#REF!</definedName>
    <definedName name="Asset4">#REF!</definedName>
    <definedName name="Asset40">#REF!</definedName>
    <definedName name="Asset41">#REF!</definedName>
    <definedName name="Asset42">#REF!</definedName>
    <definedName name="Asset43">#REF!</definedName>
    <definedName name="Asset44">#REF!</definedName>
    <definedName name="Asset45">#REF!</definedName>
    <definedName name="Asset46">#REF!</definedName>
    <definedName name="Asset47">#REF!</definedName>
    <definedName name="Asset48">#REF!</definedName>
    <definedName name="Asset49">#REF!</definedName>
    <definedName name="Asset5">#REF!</definedName>
    <definedName name="Asset50">#REF!</definedName>
    <definedName name="Asset6">#REF!</definedName>
    <definedName name="Asset7">#REF!</definedName>
    <definedName name="Asset8">#REF!</definedName>
    <definedName name="Asset9">#REF!</definedName>
    <definedName name="Cash_Timing">#REF!</definedName>
    <definedName name="CRCP_final_year">#REF!</definedName>
    <definedName name="CRCP_span">CONCATENATE(CRCP_y1, " to ",CRCP_y5)</definedName>
    <definedName name="CRCP_y1">#REF!</definedName>
    <definedName name="CRCP_y10">#REF!</definedName>
    <definedName name="CRCP_y11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663_List">#REF!</definedName>
    <definedName name="dms_AAD_AC_VALUES">#REF!</definedName>
    <definedName name="dms_ABN_List">#REF!</definedName>
    <definedName name="dms_ACE_AC_VALUES">#REF!</definedName>
    <definedName name="dms_Addr1_List">#REF!</definedName>
    <definedName name="dms_Addr2_List">#REF!</definedName>
    <definedName name="dms_Amendment_Text">#REF!</definedName>
    <definedName name="dms_Cal_Year_B4_CRY">#REF!</definedName>
    <definedName name="dms_CBD_flag">#REF!</definedName>
    <definedName name="dms_CF_8.1_Neg">#REF!</definedName>
    <definedName name="dms_CF_TradingName">#REF!</definedName>
    <definedName name="dms_Confid_status_List">#REF!</definedName>
    <definedName name="dms_CRCP_start_row">#REF!</definedName>
    <definedName name="dms_CRCPlength_List">#REF!</definedName>
    <definedName name="dms_CRCPlength_Num">#REF!</definedName>
    <definedName name="dms_CRY_RYE">#REF!</definedName>
    <definedName name="dms_CRY_start_row">#REF!</definedName>
    <definedName name="dms_CRY_start_year">#REF!</definedName>
    <definedName name="dms_DataQuality_List">#REF!</definedName>
    <definedName name="dms_DeterminationRef_List">#REF!</definedName>
    <definedName name="dms_DollarReal_year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ormControl_List">#REF!</definedName>
    <definedName name="dms_FRCP_start_row">#REF!</definedName>
    <definedName name="dms_FRCPlength_List">#REF!</definedName>
    <definedName name="dms_FRCPlength_Num">#REF!</definedName>
    <definedName name="dms_Header_Span">#REF!</definedName>
    <definedName name="dms_JurisdictionList">#REF!</definedName>
    <definedName name="dms_LeapYear_Result">#REF!</definedName>
    <definedName name="dms_LongRural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lag">#REF!</definedName>
    <definedName name="dms_MultiYear_ResponseFlag">#REF!</definedName>
    <definedName name="dms_PAddr1_List">#REF!</definedName>
    <definedName name="dms_PAddr2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_List">#REF!</definedName>
    <definedName name="dms_PSuburb_List">#REF!</definedName>
    <definedName name="dms_Public_Lighting_List">#REF!</definedName>
    <definedName name="dms_Reset_final_year">#REF!</definedName>
    <definedName name="dms_Reset_RYE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result">#REF!</definedName>
    <definedName name="dms_RYE_start_row">#REF!</definedName>
    <definedName name="dms_Sector_List">#REF!</definedName>
    <definedName name="dms_Segment">#REF!</definedName>
    <definedName name="dms_Segment_List">#REF!</definedName>
    <definedName name="dms_Selected_Source">#REF!</definedName>
    <definedName name="dms_ShortRural_flag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_List">#REF!</definedName>
    <definedName name="dms_Suburb_List">#REF!</definedName>
    <definedName name="dms_TradingName">#REF!</definedName>
    <definedName name="dms_TradingName_List">#REF!</definedName>
    <definedName name="dms_TradingNameFull_List">#REF!</definedName>
    <definedName name="dms_Typed_Submission_Date">#REF!</definedName>
    <definedName name="dms_Urban_flag">#REF!</definedName>
    <definedName name="dms_Worksheet_List">#REF!</definedName>
    <definedName name="dms_y1">#REF!</definedName>
    <definedName name="dollars" localSheetId="3">#REF!</definedName>
    <definedName name="dollars" localSheetId="4">#REF!</definedName>
    <definedName name="dollars">#REF!</definedName>
    <definedName name="factor" localSheetId="3">#REF!</definedName>
    <definedName name="factor" localSheetId="4">#REF!</definedName>
    <definedName name="factor">#REF!</definedName>
    <definedName name="FRCP_final_year">#REF!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Gap">ROUND((#REF!-#REF!)/30,0)/12</definedName>
    <definedName name="Mid_Period">#REF!</definedName>
    <definedName name="millions" localSheetId="3">#REF!</definedName>
    <definedName name="millions" localSheetId="4">#REF!</definedName>
    <definedName name="millions">#REF!</definedName>
    <definedName name="Nominal">#REF!</definedName>
    <definedName name="Nominal_to_Real">#REF!</definedName>
    <definedName name="number">#REF!</definedName>
    <definedName name="percent" localSheetId="7">#REF!</definedName>
    <definedName name="percent">#REF!</definedName>
    <definedName name="PRCP_final_year">#REF!</definedName>
    <definedName name="PRCP_y1">#REF!</definedName>
    <definedName name="PRCP_y10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evious_vanilla">#REF!</definedName>
    <definedName name="Quarter">OFFSET(#REF!,1,,COUNTA(#REF!)-1,)</definedName>
    <definedName name="RAB">#REF!</definedName>
    <definedName name="thousands">#REF!</definedName>
    <definedName name="Timing_Adj">#REF!</definedName>
    <definedName name="unit">#REF!</definedName>
    <definedName name="vanilla1">#REF!</definedName>
    <definedName name="vanilla10">#REF!</definedName>
    <definedName name="vanilla2">#REF!</definedName>
    <definedName name="vanilla3">#REF!</definedName>
    <definedName name="vanilla4">#REF!</definedName>
    <definedName name="vanilla5">#REF!</definedName>
    <definedName name="vanilla6">#REF!</definedName>
    <definedName name="vanilla7">#REF!</definedName>
    <definedName name="vanilla8">#REF!</definedName>
    <definedName name="vanilla9">#REF!</definedName>
    <definedName name="Year">OFFSET(#REF!,1,,COUNTA(#REF!)-1,)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15" l="1"/>
  <c r="P5" i="15"/>
  <c r="O5" i="15"/>
  <c r="N5" i="15"/>
  <c r="M5" i="15"/>
  <c r="I5" i="15"/>
  <c r="J5" i="15"/>
  <c r="K5" i="15"/>
  <c r="L5" i="15"/>
  <c r="D21" i="2"/>
  <c r="E21" i="2" s="1"/>
  <c r="F21" i="2" s="1"/>
  <c r="G21" i="2" s="1"/>
  <c r="H21" i="2" s="1"/>
  <c r="J39" i="4"/>
  <c r="D7" i="15" l="1"/>
  <c r="D18" i="4" l="1"/>
  <c r="D21" i="4" s="1"/>
  <c r="D19" i="4"/>
  <c r="D9" i="4"/>
  <c r="D8" i="4"/>
  <c r="K19" i="3" l="1"/>
  <c r="K20" i="3"/>
  <c r="K21" i="3"/>
  <c r="K18" i="3"/>
  <c r="H14" i="16" l="1"/>
  <c r="I14" i="16"/>
  <c r="K12" i="16"/>
  <c r="K11" i="16"/>
  <c r="K10" i="16"/>
  <c r="K9" i="16"/>
  <c r="I6" i="16"/>
  <c r="K14" i="16" l="1"/>
  <c r="L20" i="3"/>
  <c r="L19" i="3"/>
  <c r="L18" i="3"/>
  <c r="I6" i="14" l="1"/>
  <c r="K11" i="14" l="1"/>
  <c r="K10" i="14"/>
  <c r="L21" i="3"/>
  <c r="H22" i="15"/>
  <c r="K12" i="14"/>
  <c r="K9" i="14"/>
  <c r="H14" i="14"/>
  <c r="H13" i="2"/>
  <c r="D18" i="2"/>
  <c r="H5" i="15" s="1"/>
  <c r="D41" i="4"/>
  <c r="E41" i="4" s="1"/>
  <c r="L22" i="13"/>
  <c r="D25" i="4" s="1"/>
  <c r="D27" i="4" s="1"/>
  <c r="G22" i="13"/>
  <c r="H22" i="13"/>
  <c r="E9" i="4" s="1"/>
  <c r="I22" i="13"/>
  <c r="F9" i="4" s="1"/>
  <c r="J22" i="13"/>
  <c r="G9" i="4" s="1"/>
  <c r="K22" i="13"/>
  <c r="H9" i="4" s="1"/>
  <c r="G19" i="4" s="1"/>
  <c r="H8" i="4"/>
  <c r="M14" i="13"/>
  <c r="M22" i="13" s="1"/>
  <c r="E25" i="4" s="1"/>
  <c r="M9" i="13"/>
  <c r="N9" i="13" s="1"/>
  <c r="O9" i="13" s="1"/>
  <c r="P9" i="13" s="1"/>
  <c r="G8" i="4"/>
  <c r="F8" i="4"/>
  <c r="E8" i="4"/>
  <c r="B1" i="2"/>
  <c r="D24" i="4" l="1"/>
  <c r="D40" i="4"/>
  <c r="J6" i="10" s="1"/>
  <c r="F8" i="10" s="1"/>
  <c r="C45" i="4" s="1"/>
  <c r="K7" i="13"/>
  <c r="K19" i="13" s="1"/>
  <c r="G13" i="2"/>
  <c r="H7" i="4"/>
  <c r="E18" i="2"/>
  <c r="L7" i="13"/>
  <c r="L19" i="13" s="1"/>
  <c r="L6" i="3"/>
  <c r="H27" i="3"/>
  <c r="B1" i="5"/>
  <c r="F19" i="4"/>
  <c r="E19" i="4" s="1"/>
  <c r="E27" i="4"/>
  <c r="F41" i="4"/>
  <c r="K41" i="4"/>
  <c r="J41" i="4"/>
  <c r="N14" i="13"/>
  <c r="B1" i="13"/>
  <c r="B1" i="3"/>
  <c r="B1" i="4"/>
  <c r="B1" i="10"/>
  <c r="I14" i="14"/>
  <c r="K14" i="14"/>
  <c r="J40" i="4" l="1"/>
  <c r="E24" i="4"/>
  <c r="M7" i="13"/>
  <c r="M19" i="13" s="1"/>
  <c r="I27" i="3"/>
  <c r="E40" i="4"/>
  <c r="F18" i="2"/>
  <c r="L16" i="3"/>
  <c r="L23" i="3" s="1"/>
  <c r="H11" i="4" s="1"/>
  <c r="L12" i="3"/>
  <c r="F13" i="2"/>
  <c r="K6" i="3"/>
  <c r="G7" i="4"/>
  <c r="J7" i="13"/>
  <c r="L41" i="4"/>
  <c r="G41" i="4"/>
  <c r="O14" i="13"/>
  <c r="N22" i="13"/>
  <c r="F25" i="4" s="1"/>
  <c r="F27" i="4" s="1"/>
  <c r="N7" i="13" l="1"/>
  <c r="N19" i="13" s="1"/>
  <c r="J27" i="3"/>
  <c r="G18" i="2"/>
  <c r="F40" i="4"/>
  <c r="F24" i="4"/>
  <c r="J19" i="13"/>
  <c r="K40" i="4"/>
  <c r="K6" i="10"/>
  <c r="K12" i="3"/>
  <c r="K16" i="3"/>
  <c r="K23" i="3" s="1"/>
  <c r="G11" i="4" s="1"/>
  <c r="E13" i="2"/>
  <c r="F7" i="4"/>
  <c r="J6" i="3"/>
  <c r="I7" i="13"/>
  <c r="I19" i="13" s="1"/>
  <c r="M41" i="4"/>
  <c r="H41" i="4"/>
  <c r="N41" i="4" s="1"/>
  <c r="O22" i="13"/>
  <c r="G25" i="4" s="1"/>
  <c r="G27" i="4" s="1"/>
  <c r="P14" i="13"/>
  <c r="P22" i="13" s="1"/>
  <c r="H25" i="4" s="1"/>
  <c r="J16" i="3" l="1"/>
  <c r="J23" i="3" s="1"/>
  <c r="F11" i="4" s="1"/>
  <c r="J12" i="3"/>
  <c r="E7" i="4"/>
  <c r="D13" i="2"/>
  <c r="I6" i="3"/>
  <c r="H7" i="13"/>
  <c r="H19" i="13" s="1"/>
  <c r="L40" i="4"/>
  <c r="L6" i="10"/>
  <c r="G40" i="4"/>
  <c r="K27" i="3"/>
  <c r="O7" i="13"/>
  <c r="O19" i="13" s="1"/>
  <c r="H18" i="2"/>
  <c r="G24" i="4"/>
  <c r="H27" i="4"/>
  <c r="D7" i="4" l="1"/>
  <c r="H6" i="3"/>
  <c r="G7" i="13"/>
  <c r="I16" i="3"/>
  <c r="I23" i="3" s="1"/>
  <c r="E11" i="4" s="1"/>
  <c r="I12" i="3"/>
  <c r="M6" i="10"/>
  <c r="M40" i="4"/>
  <c r="H40" i="4"/>
  <c r="P7" i="13"/>
  <c r="H24" i="4"/>
  <c r="L27" i="3"/>
  <c r="H16" i="3" l="1"/>
  <c r="H23" i="3" s="1"/>
  <c r="D11" i="4" s="1"/>
  <c r="H12" i="3"/>
  <c r="P19" i="13"/>
  <c r="F7" i="13"/>
  <c r="G19" i="13"/>
  <c r="G15" i="13"/>
  <c r="H15" i="13" s="1"/>
  <c r="I15" i="13" s="1"/>
  <c r="G10" i="13"/>
  <c r="H10" i="13" s="1"/>
  <c r="I10" i="13" s="1"/>
  <c r="J10" i="13" s="1"/>
  <c r="K10" i="13" s="1"/>
  <c r="N40" i="4"/>
  <c r="N6" i="10"/>
  <c r="D10" i="4" l="1"/>
  <c r="D12" i="4" s="1"/>
  <c r="L10" i="13"/>
  <c r="J15" i="13"/>
  <c r="F10" i="4"/>
  <c r="F12" i="4" s="1"/>
  <c r="C10" i="13"/>
  <c r="F10" i="3"/>
  <c r="F30" i="3"/>
  <c r="F8" i="3"/>
  <c r="F9" i="3"/>
  <c r="C15" i="13"/>
  <c r="F12" i="3"/>
  <c r="E10" i="4"/>
  <c r="E12" i="4" s="1"/>
  <c r="I10" i="15"/>
  <c r="J10" i="15"/>
  <c r="D20" i="4" l="1"/>
  <c r="E13" i="4"/>
  <c r="E18" i="4" s="1"/>
  <c r="E21" i="4" s="1"/>
  <c r="H13" i="4"/>
  <c r="F13" i="4"/>
  <c r="G13" i="4"/>
  <c r="F20" i="4"/>
  <c r="G15" i="4"/>
  <c r="H15" i="4"/>
  <c r="G14" i="4"/>
  <c r="G18" i="4" s="1"/>
  <c r="G21" i="4" s="1"/>
  <c r="H14" i="4"/>
  <c r="F14" i="4"/>
  <c r="E20" i="4"/>
  <c r="K15" i="13"/>
  <c r="G10" i="4"/>
  <c r="G12" i="4" s="1"/>
  <c r="M10" i="13"/>
  <c r="H13" i="15"/>
  <c r="H9" i="15"/>
  <c r="H10" i="15"/>
  <c r="F18" i="4" l="1"/>
  <c r="F21" i="4" s="1"/>
  <c r="N10" i="13"/>
  <c r="D26" i="4"/>
  <c r="D28" i="4" s="1"/>
  <c r="H10" i="4"/>
  <c r="H12" i="4" s="1"/>
  <c r="H20" i="4" s="1"/>
  <c r="L15" i="13"/>
  <c r="M15" i="13" s="1"/>
  <c r="N15" i="13" s="1"/>
  <c r="O15" i="13" s="1"/>
  <c r="P15" i="13" s="1"/>
  <c r="H16" i="4"/>
  <c r="H18" i="4" s="1"/>
  <c r="H21" i="4" s="1"/>
  <c r="D35" i="4" s="1"/>
  <c r="G20" i="4"/>
  <c r="I13" i="15"/>
  <c r="I9" i="15"/>
  <c r="E26" i="4" l="1"/>
  <c r="E28" i="4" s="1"/>
  <c r="F26" i="4"/>
  <c r="F28" i="4" s="1"/>
  <c r="G26" i="4"/>
  <c r="G28" i="4" s="1"/>
  <c r="O10" i="13"/>
  <c r="J13" i="15"/>
  <c r="J9" i="15"/>
  <c r="P10" i="13" l="1"/>
  <c r="H26" i="4"/>
  <c r="H28" i="4" s="1"/>
  <c r="D31" i="4" s="1"/>
  <c r="K13" i="15"/>
  <c r="K9" i="15"/>
  <c r="D33" i="4" l="1"/>
  <c r="D34" i="4"/>
  <c r="D36" i="4" s="1"/>
  <c r="L13" i="15"/>
  <c r="J45" i="4"/>
  <c r="L9" i="15"/>
  <c r="L10" i="15"/>
  <c r="K24" i="15" s="1"/>
  <c r="K10" i="15"/>
  <c r="D42" i="4" l="1"/>
  <c r="J43" i="4"/>
  <c r="K43" i="4" s="1"/>
  <c r="L43" i="4" s="1"/>
  <c r="M43" i="4" s="1"/>
  <c r="N43" i="4" s="1"/>
  <c r="J24" i="15"/>
  <c r="E42" i="4" l="1"/>
  <c r="J8" i="10"/>
  <c r="H12" i="15"/>
  <c r="H15" i="15" s="1"/>
  <c r="H16" i="15" s="1"/>
  <c r="I24" i="15"/>
  <c r="J17" i="15" l="1"/>
  <c r="I17" i="15"/>
  <c r="I22" i="15" s="1"/>
  <c r="I26" i="15" s="1"/>
  <c r="K17" i="15"/>
  <c r="L17" i="15"/>
  <c r="F42" i="4"/>
  <c r="I12" i="15"/>
  <c r="I15" i="15" s="1"/>
  <c r="I16" i="15" s="1"/>
  <c r="K8" i="10"/>
  <c r="H24" i="15"/>
  <c r="J18" i="15" l="1"/>
  <c r="J22" i="15" s="1"/>
  <c r="J26" i="15" s="1"/>
  <c r="K18" i="15"/>
  <c r="L18" i="15"/>
  <c r="I25" i="15"/>
  <c r="G42" i="4"/>
  <c r="L8" i="10"/>
  <c r="J12" i="15"/>
  <c r="J15" i="15" s="1"/>
  <c r="J16" i="15" s="1"/>
  <c r="H26" i="15"/>
  <c r="H25" i="15"/>
  <c r="H42" i="4" l="1"/>
  <c r="D45" i="4" s="1"/>
  <c r="J47" i="4" s="1"/>
  <c r="K12" i="15"/>
  <c r="K15" i="15" s="1"/>
  <c r="K16" i="15" s="1"/>
  <c r="M8" i="10"/>
  <c r="K19" i="15"/>
  <c r="K22" i="15" s="1"/>
  <c r="K26" i="15" s="1"/>
  <c r="L19" i="15"/>
  <c r="J25" i="15"/>
  <c r="L20" i="15" l="1"/>
  <c r="L22" i="15" s="1"/>
  <c r="L26" i="15" s="1"/>
  <c r="K25" i="15"/>
  <c r="L12" i="15"/>
  <c r="L15" i="15" s="1"/>
  <c r="L16" i="15" s="1"/>
  <c r="L25" i="15" s="1"/>
  <c r="N8" i="10"/>
  <c r="O8" i="10" s="1"/>
  <c r="L27" i="15" l="1"/>
  <c r="H31" i="15" l="1"/>
  <c r="I31" i="15" l="1"/>
  <c r="J31" i="15" s="1"/>
  <c r="K31" i="15" s="1"/>
  <c r="L31" i="15" s="1"/>
  <c r="K33" i="15" s="1"/>
  <c r="L33" i="15"/>
  <c r="I33" i="15"/>
  <c r="H33" i="15"/>
  <c r="J33" i="15"/>
  <c r="M3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5" authorId="0" shapeId="0" xr:uid="{546E734F-FF4D-4127-9D49-4C9242A8A99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9" authorId="0" shapeId="0" xr:uid="{69FE719D-1341-4D65-9EB4-0E432349CAC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5" authorId="0" shapeId="0" xr:uid="{BDBB1289-E788-4FE0-A73C-47CFA97BC17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9" authorId="0" shapeId="0" xr:uid="{9240850D-4B95-4B07-9737-5948C84D326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<sst xmlns="http://schemas.openxmlformats.org/spreadsheetml/2006/main" count="342" uniqueCount="144">
  <si>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</si>
  <si>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</si>
  <si>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</si>
  <si>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</si>
  <si>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</si>
  <si>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</si>
  <si>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</si>
  <si>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</si>
  <si>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</si>
  <si>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</si>
  <si>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</si>
  <si>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</si>
  <si>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</si>
  <si>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</si>
  <si>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</si>
  <si>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</si>
  <si>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</si>
  <si>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</si>
  <si>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</si>
  <si>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</si>
  <si>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</si>
  <si>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</si>
  <si>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</si>
  <si>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</si>
  <si>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</si>
  <si>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</si>
  <si>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</si>
  <si>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</si>
  <si>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</si>
  <si>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</si>
  <si>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</si>
  <si>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</si>
  <si>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</si>
  <si>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</si>
  <si>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</si>
  <si>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</si>
  <si>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</si>
  <si>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</si>
  <si>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</si>
  <si>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</si>
  <si>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</si>
  <si>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</si>
  <si>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</si>
  <si>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</si>
  <si>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</si>
  <si>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</si>
  <si>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</si>
  <si>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</si>
  <si>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</si>
  <si>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</si>
  <si>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</si>
  <si>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</si>
  <si>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</si>
  <si>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</si>
  <si>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</si>
  <si>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</si>
  <si>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</si>
  <si>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</si>
  <si>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</si>
  <si>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</si>
  <si>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</si>
  <si>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</si>
  <si>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</si>
  <si>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</si>
  <si>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</si>
  <si>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</si>
  <si>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</si>
  <si>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</si>
  <si>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</si>
  <si>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</si>
  <si>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</si>
  <si>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</si>
  <si>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</si>
  <si>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</si>
  <si>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</si>
  <si>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</si>
  <si>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</si>
  <si>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</si>
  <si>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</si>
  <si>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</si>
  <si>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</si>
  <si>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</si>
  <si>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</si>
  <si>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</si>
  <si>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</si>
  <si>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</si>
  <si>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</si>
  <si>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</si>
  <si>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</si>
  <si>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</si>
  <si>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</si>
  <si>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</si>
  <si>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</si>
  <si>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</si>
  <si>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</si>
  <si>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</si>
  <si>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</si>
  <si>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</si>
  <si>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</si>
  <si>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</si>
  <si>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</si>
  <si>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2019-20</t>
  </si>
  <si>
    <t>2018–19</t>
  </si>
  <si>
    <t>Final Year Difference</t>
  </si>
  <si>
    <t>Data sources:</t>
  </si>
  <si>
    <t>Select which capex data to test in</t>
  </si>
  <si>
    <t>Input|Reported Capex tab, Cell L17</t>
  </si>
  <si>
    <t>2024-25</t>
  </si>
  <si>
    <t>2025–26</t>
  </si>
  <si>
    <t>2026–27</t>
  </si>
  <si>
    <t>2027–28</t>
  </si>
  <si>
    <t>2028–29</t>
  </si>
  <si>
    <t>Real vanilla WACC</t>
  </si>
  <si>
    <t>Forecast real vanilla WACC</t>
  </si>
  <si>
    <t xml:space="preserve">Actual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</si>
  <si>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</si>
  <si>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</si>
  <si>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</si>
  <si>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</si>
  <si>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</si>
  <si>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Difference</t>
  </si>
  <si>
    <t>AER FD</t>
  </si>
  <si>
    <t>Calc | Total FY19 CESS Payment Adjustments</t>
  </si>
  <si>
    <t>CESS - Previous Period True-up</t>
  </si>
  <si>
    <t>Calc | NPV of CESS adjustments</t>
  </si>
  <si>
    <t>Column H is from the AER Final Decision CESS model, which was based on forecast FY19 Capex</t>
  </si>
  <si>
    <t>Ñ</t>
  </si>
  <si>
    <t>DNSP</t>
  </si>
  <si>
    <t>Ergon Energy</t>
  </si>
  <si>
    <t>2020-25</t>
  </si>
  <si>
    <t>2020-21</t>
  </si>
  <si>
    <t>Column H is from the AER Final Decision CESS model, which was based on forecast FY20 Capex</t>
  </si>
  <si>
    <t>2019–20</t>
  </si>
  <si>
    <t>AER FD PTRM 2020-25, 2024-25 RoD Update</t>
  </si>
  <si>
    <t>Actual/estimated inflation from 2020–25 RFM</t>
  </si>
  <si>
    <t>AER Final Decision (FY19 and FY20 Forecast Capex)</t>
  </si>
  <si>
    <t>Adjusted for FY19 and FY20 Actual Capex</t>
  </si>
  <si>
    <t>CESS Payment Per Year ($2024–25 million)</t>
  </si>
  <si>
    <t>CESS Payment Per Year ($2019–20 million)</t>
  </si>
  <si>
    <t>2018-20 True-up</t>
  </si>
  <si>
    <t>Column I is Actual FY19 capex, rolled into RFM model for the 2020-25 reset</t>
  </si>
  <si>
    <t>Column I is Actual FY20 capex, rolled into RFM model for the 2020-25 reset</t>
  </si>
  <si>
    <t>AER final decision amendments</t>
  </si>
  <si>
    <t>Forecast regulatory control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</si>
</sst>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-* #,##0.000_-;\-* #,##0.000_-;_-* &quot;-&quot;??_-;_-@_-"/>
    <numFmt numFmtId="196" formatCode="#,##0.000_ ;[Red]\-#,##0.000\ "/>
    <numFmt numFmtId="197" formatCode="_(* #,##0.0000_);_(* \(#,##0.0000\);_(* &quot;-&quot;??_);_(@_)"/>
  </numFmts>
  <fonts count="11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66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8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8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8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0" fontId="23" fillId="0" borderId="0" applyFill="0"/>
    <xf numFmtId="0" fontId="71" fillId="58" borderId="0">
      <alignment horizontal="left" vertical="center"/>
      <protection locked="0"/>
    </xf>
    <xf numFmtId="0" fontId="111" fillId="59" borderId="0">
      <alignment vertical="center"/>
      <protection locked="0"/>
    </xf>
    <xf numFmtId="0" fontId="23" fillId="0" borderId="0"/>
    <xf numFmtId="0" fontId="23" fillId="0" borderId="0" applyFill="0"/>
    <xf numFmtId="0" fontId="23" fillId="0" borderId="0"/>
    <xf numFmtId="175" fontId="23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 applyFill="0" applyBorder="0">
      <alignment vertical="center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175" fontId="23" fillId="0" borderId="0"/>
    <xf numFmtId="0" fontId="11" fillId="47" borderId="0" applyNumberFormat="0" applyBorder="0" applyAlignment="0" applyProtection="0"/>
    <xf numFmtId="0" fontId="11" fillId="57" borderId="0" applyNumberFormat="0" applyBorder="0" applyAlignment="0" applyProtection="0"/>
    <xf numFmtId="41" fontId="23" fillId="28" borderId="0" applyNumberFormat="0" applyFont="0" applyBorder="0" applyAlignment="0">
      <alignment horizontal="right"/>
    </xf>
    <xf numFmtId="0" fontId="33" fillId="11" borderId="28" applyNumberFormat="0" applyAlignment="0" applyProtection="0"/>
    <xf numFmtId="0" fontId="35" fillId="30" borderId="11" applyNumberFormat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9" fontId="114" fillId="62" borderId="47">
      <alignment horizontal="center" vertical="center" wrapText="1"/>
    </xf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58" fillId="9" borderId="28" applyNumberFormat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4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196" fontId="11" fillId="61" borderId="45">
      <protection locked="0"/>
    </xf>
    <xf numFmtId="196" fontId="11" fillId="61" borderId="45">
      <protection locked="0"/>
    </xf>
    <xf numFmtId="196" fontId="11" fillId="61" borderId="45">
      <protection locked="0"/>
    </xf>
    <xf numFmtId="49" fontId="11" fillId="61" borderId="45" applyFont="0" applyAlignment="0">
      <alignment horizontal="left" vertical="center" wrapText="1"/>
      <protection locked="0"/>
    </xf>
    <xf numFmtId="49" fontId="11" fillId="61" borderId="45" applyFont="0" applyAlignment="0">
      <alignment horizontal="left" vertical="center" wrapText="1"/>
      <protection locked="0"/>
    </xf>
    <xf numFmtId="49" fontId="11" fillId="61" borderId="45" applyFont="0" applyAlignment="0">
      <alignment horizontal="left" vertical="center" wrapText="1"/>
      <protection locked="0"/>
    </xf>
    <xf numFmtId="196" fontId="11" fillId="60" borderId="45"/>
    <xf numFmtId="196" fontId="11" fillId="60" borderId="45"/>
    <xf numFmtId="196" fontId="11" fillId="60" borderId="45"/>
    <xf numFmtId="0" fontId="23" fillId="0" borderId="0"/>
    <xf numFmtId="0" fontId="23" fillId="0" borderId="0"/>
    <xf numFmtId="0" fontId="23" fillId="7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7" borderId="0"/>
    <xf numFmtId="0" fontId="23" fillId="7" borderId="0"/>
    <xf numFmtId="0" fontId="23" fillId="0" borderId="0"/>
    <xf numFmtId="0" fontId="38" fillId="0" borderId="0"/>
    <xf numFmtId="0" fontId="25" fillId="0" borderId="0"/>
    <xf numFmtId="0" fontId="25" fillId="0" borderId="0"/>
    <xf numFmtId="0" fontId="23" fillId="0" borderId="0"/>
    <xf numFmtId="0" fontId="23" fillId="0" borderId="0" applyFill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7" borderId="0"/>
    <xf numFmtId="0" fontId="23" fillId="7" borderId="0"/>
    <xf numFmtId="0" fontId="23" fillId="0" borderId="0"/>
    <xf numFmtId="0" fontId="23" fillId="7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 applyFill="0"/>
    <xf numFmtId="0" fontId="23" fillId="0" borderId="0"/>
    <xf numFmtId="0" fontId="11" fillId="0" borderId="0"/>
    <xf numFmtId="0" fontId="25" fillId="0" borderId="0"/>
    <xf numFmtId="0" fontId="23" fillId="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10" borderId="29" applyNumberFormat="0" applyFont="0" applyAlignment="0" applyProtection="0"/>
    <xf numFmtId="0" fontId="23" fillId="10" borderId="29" applyNumberFormat="0" applyFont="0" applyAlignment="0" applyProtection="0"/>
    <xf numFmtId="0" fontId="23" fillId="10" borderId="29" applyNumberFormat="0" applyFont="0" applyAlignment="0" applyProtection="0"/>
    <xf numFmtId="0" fontId="23" fillId="10" borderId="29" applyNumberFormat="0" applyFont="0" applyAlignment="0" applyProtection="0"/>
    <xf numFmtId="0" fontId="23" fillId="10" borderId="29" applyNumberFormat="0" applyFont="0" applyAlignment="0" applyProtection="0"/>
    <xf numFmtId="0" fontId="23" fillId="10" borderId="29" applyNumberFormat="0" applyFon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196" fontId="3" fillId="61" borderId="46">
      <alignment horizontal="right" indent="2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31" applyNumberFormat="0" applyFill="0" applyAlignment="0" applyProtection="0"/>
    <xf numFmtId="0" fontId="74" fillId="0" borderId="0" applyFill="0" applyBorder="0">
      <alignment horizontal="left" vertical="center"/>
    </xf>
    <xf numFmtId="0" fontId="24" fillId="0" borderId="0"/>
    <xf numFmtId="0" fontId="116" fillId="0" borderId="0" applyNumberFormat="0" applyFill="0" applyBorder="0" applyAlignment="0" applyProtection="0"/>
  </cellStyleXfs>
  <cellXfs count="261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7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4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8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8" fontId="24" fillId="0" borderId="2" xfId="304" applyFont="1" applyFill="1" applyBorder="1" applyAlignment="1">
      <alignment horizontal="right" vertical="center"/>
    </xf>
    <xf numFmtId="168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89" fillId="3" borderId="0" xfId="0" applyFont="1" applyFill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70" fontId="22" fillId="3" borderId="2" xfId="0" applyNumberFormat="1" applyFont="1" applyFill="1" applyBorder="1" applyAlignment="1">
      <alignment horizontal="left" vertical="center"/>
    </xf>
    <xf numFmtId="170" fontId="19" fillId="3" borderId="2" xfId="0" applyNumberFormat="1" applyFont="1" applyFill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0" fillId="0" borderId="43" xfId="0" applyBorder="1"/>
    <xf numFmtId="10" fontId="0" fillId="0" borderId="43" xfId="268" applyNumberFormat="1" applyFont="1" applyFill="1" applyBorder="1"/>
    <xf numFmtId="195" fontId="0" fillId="0" borderId="43" xfId="304" applyNumberFormat="1" applyFont="1" applyBorder="1"/>
    <xf numFmtId="10" fontId="0" fillId="0" borderId="43" xfId="268" applyNumberFormat="1" applyFont="1" applyBorder="1"/>
    <xf numFmtId="0" fontId="100" fillId="3" borderId="0" xfId="265" applyFont="1" applyFill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70" fontId="22" fillId="3" borderId="0" xfId="0" applyNumberFormat="1" applyFont="1" applyFill="1" applyAlignment="1">
      <alignment horizontal="left" vertical="center"/>
    </xf>
    <xf numFmtId="168" fontId="109" fillId="3" borderId="2" xfId="304" applyFont="1" applyFill="1" applyBorder="1" applyAlignment="1" applyProtection="1">
      <alignment horizontal="left" vertical="center"/>
    </xf>
    <xf numFmtId="0" fontId="107" fillId="3" borderId="0" xfId="0" applyFont="1" applyFill="1"/>
    <xf numFmtId="0" fontId="0" fillId="3" borderId="0" xfId="0" applyFill="1" applyAlignment="1">
      <alignment horizontal="right"/>
    </xf>
    <xf numFmtId="170" fontId="22" fillId="3" borderId="0" xfId="3" applyNumberFormat="1" applyFont="1" applyFill="1"/>
    <xf numFmtId="170" fontId="17" fillId="3" borderId="0" xfId="3" applyNumberFormat="1" applyFont="1" applyFill="1" applyAlignment="1">
      <alignment horizontal="left" indent="1"/>
    </xf>
    <xf numFmtId="0" fontId="0" fillId="3" borderId="43" xfId="0" applyFill="1" applyBorder="1"/>
    <xf numFmtId="10" fontId="0" fillId="3" borderId="0" xfId="268" applyNumberFormat="1" applyFont="1" applyFill="1"/>
    <xf numFmtId="192" fontId="0" fillId="3" borderId="0" xfId="0" applyNumberFormat="1" applyFill="1"/>
    <xf numFmtId="168" fontId="0" fillId="3" borderId="43" xfId="304" applyFont="1" applyFill="1" applyBorder="1"/>
    <xf numFmtId="170" fontId="19" fillId="3" borderId="0" xfId="3" applyNumberFormat="1" applyFont="1" applyFill="1" applyAlignment="1">
      <alignment horizontal="center"/>
    </xf>
    <xf numFmtId="168" fontId="108" fillId="3" borderId="43" xfId="304" applyFont="1" applyFill="1" applyBorder="1"/>
    <xf numFmtId="168" fontId="0" fillId="3" borderId="44" xfId="304" applyFont="1" applyFill="1" applyBorder="1"/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>
      <alignment horizontal="center" vertical="center"/>
    </xf>
    <xf numFmtId="164" fontId="0" fillId="3" borderId="0" xfId="0" applyNumberFormat="1" applyFill="1"/>
    <xf numFmtId="168" fontId="0" fillId="3" borderId="0" xfId="0" applyNumberFormat="1" applyFill="1"/>
    <xf numFmtId="170" fontId="22" fillId="3" borderId="0" xfId="3" applyNumberFormat="1" applyFont="1" applyFill="1" applyAlignment="1">
      <alignment horizontal="left" indent="1"/>
    </xf>
    <xf numFmtId="168" fontId="107" fillId="3" borderId="2" xfId="304" applyFont="1" applyFill="1" applyBorder="1"/>
    <xf numFmtId="0" fontId="15" fillId="4" borderId="2" xfId="3" applyFill="1" applyBorder="1"/>
    <xf numFmtId="0" fontId="12" fillId="4" borderId="2" xfId="3" applyFont="1" applyFill="1" applyBorder="1"/>
    <xf numFmtId="167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8" fontId="0" fillId="3" borderId="0" xfId="304" applyFont="1" applyFill="1" applyBorder="1"/>
    <xf numFmtId="10" fontId="15" fillId="3" borderId="0" xfId="0" applyNumberFormat="1" applyFont="1" applyFill="1" applyAlignment="1">
      <alignment horizontal="center" vertical="center"/>
    </xf>
    <xf numFmtId="10" fontId="0" fillId="53" borderId="43" xfId="268" applyNumberFormat="1" applyFont="1" applyFill="1" applyBorder="1"/>
    <xf numFmtId="0" fontId="110" fillId="3" borderId="0" xfId="0" applyFont="1" applyFill="1" applyBorder="1" applyAlignment="1">
      <alignment vertical="center"/>
    </xf>
    <xf numFmtId="2" fontId="15" fillId="3" borderId="26" xfId="268" applyNumberFormat="1" applyFont="1" applyFill="1" applyBorder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0" fontId="101" fillId="56" borderId="0" xfId="265" applyFont="1" applyFill="1" applyAlignment="1">
      <alignment horizontal="center" vertical="center" wrapText="1"/>
    </xf>
    <xf numFmtId="2" fontId="15" fillId="53" borderId="26" xfId="268" applyNumberFormat="1" applyFont="1" applyFill="1" applyBorder="1" applyAlignment="1">
      <alignment horizontal="center" vertical="center"/>
    </xf>
    <xf numFmtId="0" fontId="0" fillId="0" borderId="0" xfId="0" applyFill="1"/>
    <xf numFmtId="0" fontId="0" fillId="53" borderId="0" xfId="0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168" fontId="24" fillId="0" borderId="34" xfId="304" applyFont="1" applyFill="1" applyBorder="1" applyAlignment="1">
      <alignment horizontal="right" vertical="center"/>
    </xf>
    <xf numFmtId="169" fontId="24" fillId="0" borderId="34" xfId="0" applyNumberFormat="1" applyFont="1" applyFill="1" applyBorder="1" applyAlignment="1">
      <alignment horizontal="right" vertical="center"/>
    </xf>
    <xf numFmtId="169" fontId="24" fillId="0" borderId="37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169" fontId="24" fillId="0" borderId="6" xfId="0" applyNumberFormat="1" applyFont="1" applyFill="1" applyBorder="1" applyAlignment="1">
      <alignment horizontal="right" vertical="center"/>
    </xf>
    <xf numFmtId="169" fontId="15" fillId="0" borderId="6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10" fontId="0" fillId="56" borderId="43" xfId="268" applyNumberFormat="1" applyFont="1" applyFill="1" applyBorder="1"/>
    <xf numFmtId="2" fontId="0" fillId="3" borderId="0" xfId="0" applyNumberFormat="1" applyFill="1"/>
    <xf numFmtId="0" fontId="14" fillId="3" borderId="0" xfId="0" applyFont="1" applyFill="1" applyAlignment="1">
      <alignment horizontal="center" vertical="center" wrapText="1"/>
    </xf>
    <xf numFmtId="43" fontId="0" fillId="3" borderId="0" xfId="0" applyNumberFormat="1" applyFill="1"/>
    <xf numFmtId="197" fontId="0" fillId="3" borderId="0" xfId="0" applyNumberFormat="1" applyFill="1"/>
    <xf numFmtId="0" fontId="12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left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666">
    <cellStyle name=" 1" xfId="4" xr:uid="{00000000-0005-0000-0000-000000000000}"/>
    <cellStyle name=" 1 2" xfId="5" xr:uid="{00000000-0005-0000-0000-000001000000}"/>
    <cellStyle name=" 1 2 2" xfId="355" xr:uid="{5B5F6A0A-A0AC-47A5-8292-C840F7261FE3}"/>
    <cellStyle name=" 1 2 3" xfId="402" xr:uid="{89AA480B-810C-470F-AB7A-E1A60C4EC26A}"/>
    <cellStyle name=" 1 3" xfId="356" xr:uid="{DD703A29-2F27-4B85-8DC8-53A4E2596521}"/>
    <cellStyle name=" 1 3 2" xfId="357" xr:uid="{42DC06C0-A0E1-4E0D-9ABC-50CF31002E09}"/>
    <cellStyle name=" 1 4" xfId="358" xr:uid="{0507EA3F-F8EF-401C-AB03-A9E33661DBA9}"/>
    <cellStyle name=" 1_29(d) - Gas extensions -tariffs" xfId="6" xr:uid="{00000000-0005-0000-0000-000002000000}"/>
    <cellStyle name="_3GIS model v2.77_Distribution Business_Retail Fin Perform " xfId="359" xr:uid="{8E12E2E2-51DB-4E91-8D85-AA0ACBC465B9}"/>
    <cellStyle name="_3GIS model v2.77_Fleet Overhead Costs 2_Retail Fin Perform " xfId="360" xr:uid="{2A3F689B-CAC9-47B2-AD6C-EB726C5A9C39}"/>
    <cellStyle name="_3GIS model v2.77_Fleet Overhead Costs_Retail Fin Perform " xfId="361" xr:uid="{B1132823-8D73-4DF0-8930-227A33B10ED3}"/>
    <cellStyle name="_3GIS model v2.77_Forecast 2_Retail Fin Perform " xfId="362" xr:uid="{1FB925D9-11E7-4DD5-9336-7563AF6FD94D}"/>
    <cellStyle name="_3GIS model v2.77_Forecast_Retail Fin Perform " xfId="363" xr:uid="{5CA32417-4AA9-470F-A28F-8507D26EA3D9}"/>
    <cellStyle name="_3GIS model v2.77_Funding &amp; Cashflow_1_Retail Fin Perform " xfId="364" xr:uid="{4EA046C7-0775-4A27-AC4A-C3FFB56FC92E}"/>
    <cellStyle name="_3GIS model v2.77_Funding &amp; Cashflow_Retail Fin Perform " xfId="365" xr:uid="{97651E0F-FC68-4B82-A742-F882F511FE33}"/>
    <cellStyle name="_3GIS model v2.77_Group P&amp;L_1_Retail Fin Perform " xfId="366" xr:uid="{416123F8-D7AB-4C1C-8DFD-02515412D6BA}"/>
    <cellStyle name="_3GIS model v2.77_Group P&amp;L_Retail Fin Perform " xfId="367" xr:uid="{56210D00-5A71-4636-986B-7D1C3142D8E0}"/>
    <cellStyle name="_3GIS model v2.77_Opening  Detailed BS_Retail Fin Perform " xfId="368" xr:uid="{6943890F-9A0B-493F-83DA-317E35DDC41B}"/>
    <cellStyle name="_3GIS model v2.77_OUTPUT DB_Retail Fin Perform " xfId="369" xr:uid="{5D448723-A3C8-47A6-9562-3C2634668D5E}"/>
    <cellStyle name="_3GIS model v2.77_OUTPUT EB_Retail Fin Perform " xfId="370" xr:uid="{1A5D86B6-2AA3-4623-8B1C-114E368BBF1C}"/>
    <cellStyle name="_3GIS model v2.77_Report_Retail Fin Perform " xfId="371" xr:uid="{BBD966F8-6E04-46D7-A842-A565D5546025}"/>
    <cellStyle name="_3GIS model v2.77_Retail Fin Perform " xfId="372" xr:uid="{71054C50-BC41-4598-AC73-BD386E2343FD}"/>
    <cellStyle name="_3GIS model v2.77_Sheet2 2_Retail Fin Perform " xfId="373" xr:uid="{899E52E0-3171-4460-A907-83A3E654446C}"/>
    <cellStyle name="_3GIS model v2.77_Sheet2_Retail Fin Perform " xfId="374" xr:uid="{1706340A-4F17-45B2-9116-04F80B09DADA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1 3" xfId="403" xr:uid="{0F0BC58E-CBA0-417A-9068-837F20AD14F3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1 3" xfId="404" xr:uid="{128FF1DB-91DD-4C19-BB5B-ADEB25825143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2 3" xfId="376" xr:uid="{37C3D215-5394-4312-A953-4F90C88BDD73}"/>
    <cellStyle name="Blockout 3" xfId="305" xr:uid="{00000000-0005-0000-0000-00003C000000}"/>
    <cellStyle name="Blockout 3 2" xfId="405" xr:uid="{07E1BF67-08AB-4178-8C4E-9EAB002AE2B2}"/>
    <cellStyle name="Blockout 4" xfId="375" xr:uid="{BEE73113-64B8-4401-9A10-71B337BF2D89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alculation 2 3" xfId="406" xr:uid="{BB89CCF7-45F7-4C83-A7AC-EE714BD278B4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heck Cell 2 2 2 2" xfId="407" xr:uid="{02B5B0B1-F8CB-4674-A93F-463BF11ACE6D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0 3" xfId="408" xr:uid="{AC93D1D6-6B44-4A0E-867C-6B529A2873F1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41" xr:uid="{928604AE-9B34-4C30-B495-34DD5D824A38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2 2 2" xfId="409" xr:uid="{A8C4BB07-F2AE-4CC9-B3E1-07316FC2DF5E}"/>
    <cellStyle name="Comma 2 2 3" xfId="410" xr:uid="{14071410-7D54-4F2B-8638-F7A77C005637}"/>
    <cellStyle name="Comma 2 2 4" xfId="377" xr:uid="{FDB55E0A-DB36-4176-A19F-8AE8E0BCA169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2 3" xfId="379" xr:uid="{0AE3822E-D0BB-448A-8D26-C27503351955}"/>
    <cellStyle name="Comma 2 3 3" xfId="309" xr:uid="{00000000-0005-0000-0000-000056000000}"/>
    <cellStyle name="Comma 2 3 4" xfId="378" xr:uid="{1FDF77FF-1760-4A85-8D4D-DE6705263810}"/>
    <cellStyle name="Comma 2 4" xfId="75" xr:uid="{00000000-0005-0000-0000-000057000000}"/>
    <cellStyle name="Comma 2 4 2" xfId="311" xr:uid="{00000000-0005-0000-0000-000058000000}"/>
    <cellStyle name="Comma 2 4 3" xfId="380" xr:uid="{1B0F999E-7D95-4B7D-AC1E-0C8A9D41FB6F}"/>
    <cellStyle name="Comma 2 5" xfId="76" xr:uid="{00000000-0005-0000-0000-000059000000}"/>
    <cellStyle name="Comma 2 5 2" xfId="312" xr:uid="{00000000-0005-0000-0000-00005A000000}"/>
    <cellStyle name="Comma 2 5 3" xfId="381" xr:uid="{F57686A2-7C44-4356-A682-049CFF487A60}"/>
    <cellStyle name="Comma 2 6" xfId="307" xr:uid="{00000000-0005-0000-0000-00005B000000}"/>
    <cellStyle name="Comma 2 6 2" xfId="411" xr:uid="{2288C08F-22CF-42D4-B3B1-F5544414781E}"/>
    <cellStyle name="Comma 2 7" xfId="345" xr:uid="{BF0778E3-273D-470F-92E9-D1BD981C51B9}"/>
    <cellStyle name="Comma 3" xfId="77" xr:uid="{00000000-0005-0000-0000-00005C000000}"/>
    <cellStyle name="Comma 3 2" xfId="78" xr:uid="{00000000-0005-0000-0000-00005D000000}"/>
    <cellStyle name="Comma 3 2 2" xfId="412" xr:uid="{01FAB3FC-2719-4260-8DE3-C64C8BF3C555}"/>
    <cellStyle name="Comma 3 3" xfId="79" xr:uid="{00000000-0005-0000-0000-00005E000000}"/>
    <cellStyle name="Comma 3 3 2" xfId="313" xr:uid="{00000000-0005-0000-0000-00005F000000}"/>
    <cellStyle name="Comma 3 3 2 2" xfId="413" xr:uid="{5620825D-85CA-4838-94AB-21273C194807}"/>
    <cellStyle name="Comma 3 3 3" xfId="382" xr:uid="{76F57D03-2F7D-44A9-8539-768FF125884D}"/>
    <cellStyle name="Comma 3 4" xfId="414" xr:uid="{956BDEF1-00D6-4E66-8BBE-48A6D85D22FA}"/>
    <cellStyle name="Comma 3 5" xfId="415" xr:uid="{CEB03785-F229-4FCA-BB4A-F8D671EF0C8D}"/>
    <cellStyle name="Comma 3 6" xfId="416" xr:uid="{22269DE0-40D9-4A43-A972-F1A7038BAE71}"/>
    <cellStyle name="Comma 4" xfId="80" xr:uid="{00000000-0005-0000-0000-000060000000}"/>
    <cellStyle name="Comma 4 2" xfId="314" xr:uid="{00000000-0005-0000-0000-000061000000}"/>
    <cellStyle name="Comma 4 2 2" xfId="417" xr:uid="{CB30A260-0B5F-4201-95C6-9974C6E52CA3}"/>
    <cellStyle name="Comma 4 3" xfId="383" xr:uid="{402F561B-CE87-4909-8465-A7454C8AEE50}"/>
    <cellStyle name="Comma 5" xfId="81" xr:uid="{00000000-0005-0000-0000-000062000000}"/>
    <cellStyle name="Comma 5 2" xfId="315" xr:uid="{00000000-0005-0000-0000-000063000000}"/>
    <cellStyle name="Comma 5 3" xfId="384" xr:uid="{A700E00C-AF43-46E8-AF28-2B975A5F56D6}"/>
    <cellStyle name="Comma 6" xfId="82" xr:uid="{00000000-0005-0000-0000-000064000000}"/>
    <cellStyle name="Comma 6 2" xfId="316" xr:uid="{00000000-0005-0000-0000-000065000000}"/>
    <cellStyle name="Comma 6 3" xfId="385" xr:uid="{1B371A37-C75B-463B-A8DD-D584C2D3D529}"/>
    <cellStyle name="Comma 7" xfId="83" xr:uid="{00000000-0005-0000-0000-000066000000}"/>
    <cellStyle name="Comma 7 2" xfId="317" xr:uid="{00000000-0005-0000-0000-000067000000}"/>
    <cellStyle name="Comma 7 3" xfId="386" xr:uid="{87292B0E-9963-4A08-AE5D-FBA614E9AB5A}"/>
    <cellStyle name="Comma 8" xfId="84" xr:uid="{00000000-0005-0000-0000-000068000000}"/>
    <cellStyle name="Comma 8 2" xfId="318" xr:uid="{00000000-0005-0000-0000-000069000000}"/>
    <cellStyle name="Comma 8 3" xfId="387" xr:uid="{455A6A58-68F0-4DD4-BC78-264F7297EAE7}"/>
    <cellStyle name="Comma 9" xfId="267" xr:uid="{00000000-0005-0000-0000-00006A000000}"/>
    <cellStyle name="Comma 9 2" xfId="332" xr:uid="{00000000-0005-0000-0000-00006B000000}"/>
    <cellStyle name="Comma 9 2 2" xfId="419" xr:uid="{C2707EEF-EE4B-4B53-AE43-52CC88D75A48}"/>
    <cellStyle name="Comma 9 3" xfId="420" xr:uid="{C29F20BA-0072-4E09-A34D-3B376D9E9DA3}"/>
    <cellStyle name="Comma 9 4" xfId="418" xr:uid="{3C2699F3-7A01-4FF8-8341-56B692356326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2 3" xfId="389" xr:uid="{93ED44E1-D81E-4686-AE77-3FC5C393CA3C}"/>
    <cellStyle name="Currency 11 3" xfId="319" xr:uid="{00000000-0005-0000-0000-000070000000}"/>
    <cellStyle name="Currency 11 4" xfId="388" xr:uid="{4C592158-4C14-46B7-ADFB-D52EF7142B47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2 3" xfId="346" xr:uid="{E6382CF1-DD62-4CF5-A157-36D20C3912C2}"/>
    <cellStyle name="Currency 2 3" xfId="321" xr:uid="{00000000-0005-0000-0000-000074000000}"/>
    <cellStyle name="Currency 2 3 2" xfId="347" xr:uid="{8E0896AF-467D-4BDF-A012-10010190B65B}"/>
    <cellStyle name="Currency 2 4" xfId="390" xr:uid="{DEC85025-7475-41B0-AB9D-6C0A72CBB515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2 3" xfId="392" xr:uid="{D0875CE1-0B40-48FD-A4E5-D3B40801C85F}"/>
    <cellStyle name="Currency 3 3" xfId="323" xr:uid="{00000000-0005-0000-0000-000078000000}"/>
    <cellStyle name="Currency 3 4" xfId="391" xr:uid="{91CE9888-F994-41BF-9E03-C23305D5D764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2 3" xfId="394" xr:uid="{7A7E375D-2F72-4DBE-BCB8-4DCC16D5B411}"/>
    <cellStyle name="Currency 4 3" xfId="325" xr:uid="{00000000-0005-0000-0000-00007C000000}"/>
    <cellStyle name="Currency 4 4" xfId="393" xr:uid="{2EC96D45-83EA-479A-860D-85F97C75322C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Currency 5 4" xfId="421" xr:uid="{82F01F90-9167-47D8-84BD-36F4432DF859}"/>
    <cellStyle name="Currency 6" xfId="422" xr:uid="{FC42E443-8907-47B5-9161-92A346739AEC}"/>
    <cellStyle name="Currency 6 2" xfId="423" xr:uid="{92DCBD44-FFDC-4195-884F-32B4D18D1879}"/>
    <cellStyle name="Currency 6 3" xfId="424" xr:uid="{D0EF12D3-081C-4F5E-8A43-4D78E0CAEF63}"/>
    <cellStyle name="Currency 7" xfId="425" xr:uid="{757505E2-2463-4F31-B915-360AB7174823}"/>
    <cellStyle name="Currency 8" xfId="342" xr:uid="{16CA2A8F-5266-479A-911C-6D963D86813F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dms_Blue_HDR" xfId="426" xr:uid="{C4786F76-9E41-49C0-82B1-42789692C996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2 2 2" xfId="427" xr:uid="{B075D28E-60B4-4050-8810-EC59753A018C}"/>
    <cellStyle name="Heading 3 2 2 2 2" xfId="428" xr:uid="{C1E3B478-2AE7-4BD0-973A-48DCF711F5A2}"/>
    <cellStyle name="Heading 3 2 2 2 2 2" xfId="429" xr:uid="{BFD9DFBE-F0D2-4A7D-AAE9-263210A8D895}"/>
    <cellStyle name="Heading 3 2 2 2 2 3" xfId="430" xr:uid="{545FEEC2-67FC-4AE8-BE31-D009E01DF46E}"/>
    <cellStyle name="Heading 3 2 2 2 2 4" xfId="431" xr:uid="{80C878D6-0F86-4238-B25B-368AA87F36F6}"/>
    <cellStyle name="Heading 3 2 2 2 3" xfId="432" xr:uid="{56A237ED-F890-4118-8768-1CF010674D7B}"/>
    <cellStyle name="Heading 3 2 2 2 4" xfId="433" xr:uid="{6529F6CD-64E3-4E9B-8E2C-B94CA111707B}"/>
    <cellStyle name="Heading 3 2 2 2 5" xfId="434" xr:uid="{A934743E-20AE-4CCA-95C8-52BF8EC9DE7A}"/>
    <cellStyle name="Heading 3 2 2 3" xfId="435" xr:uid="{3838FDA2-794C-4952-94D7-A73614303D70}"/>
    <cellStyle name="Heading 3 2 2 3 2" xfId="436" xr:uid="{9D8C3477-F227-4D46-A267-3A7899A4998D}"/>
    <cellStyle name="Heading 3 2 2 3 2 2" xfId="437" xr:uid="{12E37804-7B4A-4FD6-8D10-4CBE3C3F3EFA}"/>
    <cellStyle name="Heading 3 2 2 3 2 3" xfId="438" xr:uid="{394F9DA5-0ADA-4FD9-ACC0-8F03E4EA602F}"/>
    <cellStyle name="Heading 3 2 2 3 2 4" xfId="439" xr:uid="{04289BE6-E224-42B2-A2DB-253AF3B818F6}"/>
    <cellStyle name="Heading 3 2 2 3 3" xfId="440" xr:uid="{8D897053-C340-40D1-A928-7654A0BE4839}"/>
    <cellStyle name="Heading 3 2 2 3 4" xfId="441" xr:uid="{6058D3FC-58C8-4FCE-ABA9-79F9F705BC3A}"/>
    <cellStyle name="Heading 3 2 2 3 5" xfId="442" xr:uid="{8F3C6AC5-374C-47C3-9440-E3652A9145C4}"/>
    <cellStyle name="Heading 3 2 2 4" xfId="443" xr:uid="{2DDF8461-3711-4B06-8B7F-6F4CD488F188}"/>
    <cellStyle name="Heading 3 2 2 4 2" xfId="444" xr:uid="{4EF6A0E7-7815-4ED1-BAA1-3DB2A4636888}"/>
    <cellStyle name="Heading 3 2 2 4 3" xfId="445" xr:uid="{A5FA651C-02D6-4F51-BF8B-E8DF3FB0F6D2}"/>
    <cellStyle name="Heading 3 2 2 4 4" xfId="446" xr:uid="{EF051561-9546-447F-BE2F-5534F260F816}"/>
    <cellStyle name="Heading 3 2 2 5" xfId="447" xr:uid="{20BCDC18-22F7-476C-9322-DF9A3048C98F}"/>
    <cellStyle name="Heading 3 2 2 5 2" xfId="448" xr:uid="{8E3083B7-7797-48CA-B0F1-15AFD84274FF}"/>
    <cellStyle name="Heading 3 2 2 5 3" xfId="449" xr:uid="{21703088-961B-48C0-85FC-24A11B1D1C86}"/>
    <cellStyle name="Heading 3 2 3" xfId="395" xr:uid="{13EE4902-7539-49BF-AE0C-20C1F9685AA5}"/>
    <cellStyle name="Heading 3 2 4" xfId="450" xr:uid="{73D150D1-A99C-4910-A939-CC505A4B37DA}"/>
    <cellStyle name="Heading 3 2 4 2" xfId="451" xr:uid="{71E47380-AA46-4009-938C-E3BE4E51AFCF}"/>
    <cellStyle name="Heading 3 2 4 2 2" xfId="452" xr:uid="{593BDBEB-7A24-4EA9-9954-AADAEF4B39DA}"/>
    <cellStyle name="Heading 3 2 4 2 3" xfId="453" xr:uid="{CDE0BF4A-778E-457B-9FA3-E36D6DAA7A34}"/>
    <cellStyle name="Heading 3 2 4 2 4" xfId="454" xr:uid="{685DB28A-6A67-4CCF-9C42-5FD838935827}"/>
    <cellStyle name="Heading 3 2 4 3" xfId="455" xr:uid="{9CB9C8B6-F6C9-450A-9777-B5DA65A734FE}"/>
    <cellStyle name="Heading 3 2 4 4" xfId="456" xr:uid="{8161DC25-7FC8-495D-96FE-8DDCA925B35B}"/>
    <cellStyle name="Heading 3 2 4 5" xfId="457" xr:uid="{3F55102D-BFD7-4877-90D3-1B25682AFE12}"/>
    <cellStyle name="Heading 3 2 5" xfId="458" xr:uid="{1C676339-D194-4212-81B6-EC28AD8918A2}"/>
    <cellStyle name="Heading 3 2 5 2" xfId="459" xr:uid="{6D25183B-FA74-4BE7-91E5-01334B246B88}"/>
    <cellStyle name="Heading 3 2 5 2 2" xfId="460" xr:uid="{0795234C-A197-4F40-8490-2A2BAB10E74B}"/>
    <cellStyle name="Heading 3 2 5 2 3" xfId="461" xr:uid="{90F61579-D186-42B2-AC1B-3F25E4A3C1D2}"/>
    <cellStyle name="Heading 3 2 5 2 4" xfId="462" xr:uid="{C2EC2C9E-3BAC-44E9-868C-963AC4A1CBAC}"/>
    <cellStyle name="Heading 3 2 5 3" xfId="463" xr:uid="{ADC337A7-4952-4CA7-9A4E-66E507F257FC}"/>
    <cellStyle name="Heading 3 2 5 4" xfId="464" xr:uid="{F5476966-F597-4AA6-9024-970319EE53C6}"/>
    <cellStyle name="Heading 3 2 5 5" xfId="465" xr:uid="{D744471E-A83E-48CE-A60D-E7481918A01B}"/>
    <cellStyle name="Heading 3 2 6" xfId="466" xr:uid="{5983039B-A5D6-4CB0-8220-88866253FDC7}"/>
    <cellStyle name="Heading 3 2 6 2" xfId="467" xr:uid="{633B6BDA-1636-47D4-BF3E-39105FD5CEF1}"/>
    <cellStyle name="Heading 3 2 6 3" xfId="468" xr:uid="{0A6E1368-42A1-4FB1-A5F4-2816D4543285}"/>
    <cellStyle name="Heading 3 2 6 4" xfId="469" xr:uid="{253696E3-E608-44BF-8428-061330B3C4EF}"/>
    <cellStyle name="Heading 3 2 7" xfId="470" xr:uid="{FB1102B9-B5C0-4FB0-9435-6E14404118FF}"/>
    <cellStyle name="Heading 3 2 7 2" xfId="471" xr:uid="{8F5A54ED-EE8D-4348-A38B-C21CF0AE340F}"/>
    <cellStyle name="Heading 3 2 7 3" xfId="472" xr:uid="{5CA4D236-0060-440A-9E6F-85FE3C6A2542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2 2" xfId="473" xr:uid="{F00A6216-A110-4679-9A3A-F2D1131380CC}"/>
    <cellStyle name="Hyperlink 2 3" xfId="474" xr:uid="{CE55C89B-D7D8-4503-A42D-D0CFA6F1FE8F}"/>
    <cellStyle name="Hyperlink 3" xfId="263" xr:uid="{00000000-0005-0000-0000-0000A3000000}"/>
    <cellStyle name="Hyperlink 3 2" xfId="475" xr:uid="{9A448226-E31D-4C17-813C-C31D47C8A032}"/>
    <cellStyle name="Hyperlink 4" xfId="282" xr:uid="{00000000-0005-0000-0000-0000A4000000}"/>
    <cellStyle name="Hyperlink 4 2" xfId="476" xr:uid="{84BF0436-9BC5-4B8C-983F-18EF828814E6}"/>
    <cellStyle name="Hyperlink 5" xfId="665" xr:uid="{276DFE2E-BC87-43E3-860E-156CC8A3719E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 2 3" xfId="477" xr:uid="{EFDB9C62-CDAB-4CCB-9A55-B3BC3FE95D09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2 2 2" xfId="478" xr:uid="{1FE56A8A-F980-4EA3-9854-D74450D469E1}"/>
    <cellStyle name="Input1 2 3" xfId="396" xr:uid="{8B4D1A2E-72FA-4AF2-ADA1-1C0B33D26507}"/>
    <cellStyle name="Input1 3" xfId="296" xr:uid="{00000000-0005-0000-0000-0000B1000000}"/>
    <cellStyle name="Input1 3 2" xfId="336" xr:uid="{00000000-0005-0000-0000-0000B2000000}"/>
    <cellStyle name="Input1 3 2 2" xfId="480" xr:uid="{00B25A58-AC30-4F44-9326-D855C5D4E0DF}"/>
    <cellStyle name="Input1 3 3" xfId="479" xr:uid="{18984D32-0958-435C-BAEA-A11C166DB16C}"/>
    <cellStyle name="Input1 4" xfId="328" xr:uid="{00000000-0005-0000-0000-0000B3000000}"/>
    <cellStyle name="Input1 4 2" xfId="481" xr:uid="{ADD919A5-51BA-49C2-B426-26E1753E99F2}"/>
    <cellStyle name="Input1 5" xfId="482" xr:uid="{D4714E66-69CF-487C-99D3-B67C8B01E102}"/>
    <cellStyle name="Input1 6" xfId="348" xr:uid="{3620E3F7-55A2-426B-A3DC-425B20E52C3A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2 3" xfId="483" xr:uid="{3FB5C15C-876B-4393-BBD8-FFB4A4011672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2 3" xfId="397" xr:uid="{40B25B0F-6234-47A8-B3E1-B4AC3BB81AF3}"/>
    <cellStyle name="Input3 3" xfId="330" xr:uid="{00000000-0005-0000-0000-0000BD000000}"/>
    <cellStyle name="Input3 3 2" xfId="484" xr:uid="{78584F46-F628-47E3-8E40-809D7841CB4F}"/>
    <cellStyle name="Input3 4" xfId="349" xr:uid="{753587A0-C194-4723-A132-19A816B325E3}"/>
    <cellStyle name="InputCell" xfId="485" xr:uid="{438F0A05-360F-4DFF-8820-069E9EC2CC96}"/>
    <cellStyle name="InputCell 2" xfId="486" xr:uid="{68953A7B-6EDB-4D1E-8165-C6CC3C7FDCA6}"/>
    <cellStyle name="InputCell 3" xfId="487" xr:uid="{F8E92DA9-5DFE-4651-9E0C-E79E940F7AC4}"/>
    <cellStyle name="InputCellText" xfId="488" xr:uid="{7038191B-7261-45ED-B3A5-13C93BC16EF3}"/>
    <cellStyle name="InputCellText 2" xfId="489" xr:uid="{7159BD2F-482B-4514-AFA7-D8B0A96E510D}"/>
    <cellStyle name="InputCellText 3" xfId="490" xr:uid="{83C8C4E4-2B07-44BE-BB28-254BE712118A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nInputCell" xfId="491" xr:uid="{780C255F-20C2-46D3-886B-3B6A1F69680D}"/>
    <cellStyle name="NonInputCell 2" xfId="492" xr:uid="{4ADC4B26-3A87-4081-B35D-300D49A0BB9F}"/>
    <cellStyle name="NonInputCell 3" xfId="493" xr:uid="{D0AD6437-AE3D-4196-B2BD-67DCCA1E4C17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0 2 2" xfId="494" xr:uid="{B5AE45CC-77F4-43E0-8CC2-687530D98A10}"/>
    <cellStyle name="Normal 10 3" xfId="353" xr:uid="{F3A5D0B9-498B-445C-9369-DD9590696A29}"/>
    <cellStyle name="Normal 11" xfId="265" xr:uid="{00000000-0005-0000-0000-0000CC000000}"/>
    <cellStyle name="Normal 11 2" xfId="495" xr:uid="{EC160C17-4BCE-4C8E-90E6-455F57CE2C90}"/>
    <cellStyle name="Normal 11 3" xfId="496" xr:uid="{FAA2B93A-CE6A-45D4-B411-EA67D7947AC0}"/>
    <cellStyle name="Normal 11 4" xfId="497" xr:uid="{8F345454-C260-48FD-85DC-26AC665EF994}"/>
    <cellStyle name="Normal 11 5" xfId="398" xr:uid="{03A5B3EA-2B83-4376-B42B-E596CDA571F1}"/>
    <cellStyle name="Normal 114" xfId="350" xr:uid="{DF632515-13BE-4684-9E4F-EC43C10DEEB7}"/>
    <cellStyle name="Normal 114 2" xfId="354" xr:uid="{F254CDB4-EA5B-4969-9454-756DE45917E7}"/>
    <cellStyle name="Normal 12" xfId="281" xr:uid="{00000000-0005-0000-0000-0000CD000000}"/>
    <cellStyle name="Normal 12 2" xfId="499" xr:uid="{B9E496C4-5DB1-41BF-89DE-0480DE626D8D}"/>
    <cellStyle name="Normal 12 3" xfId="498" xr:uid="{95884C4A-7891-4877-9EA1-E893F03E92AA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4 2" xfId="500" xr:uid="{D7C46D62-7E53-4577-8314-ACBC0FDF2A6D}"/>
    <cellStyle name="Normal 14 3" xfId="501" xr:uid="{72DCA638-12BB-4EDE-B105-D28CEFAFEF3E}"/>
    <cellStyle name="Normal 14 3 2" xfId="502" xr:uid="{4A4CB7CB-3B80-4477-B6B1-349D6D1F9B9D}"/>
    <cellStyle name="Normal 14 3 3" xfId="503" xr:uid="{079F9A43-E164-499C-AA54-499B849D46D7}"/>
    <cellStyle name="Normal 14 4" xfId="504" xr:uid="{E3803C75-B116-4F9A-A0ED-33B3C00C4D10}"/>
    <cellStyle name="Normal 14 5" xfId="505" xr:uid="{B290BCBF-2E4B-43E1-B3A0-6BAABEE9FD8E}"/>
    <cellStyle name="Normal 14 6" xfId="401" xr:uid="{8019E36B-5EBE-4C7E-B925-83237F208908}"/>
    <cellStyle name="Normal 15" xfId="150" xr:uid="{00000000-0005-0000-0000-0000D2000000}"/>
    <cellStyle name="Normal 15 2" xfId="506" xr:uid="{17F06398-2E40-4E1D-8E96-9267CA2FE71C}"/>
    <cellStyle name="Normal 16" xfId="151" xr:uid="{00000000-0005-0000-0000-0000D3000000}"/>
    <cellStyle name="Normal 16 2" xfId="507" xr:uid="{F53A607F-341F-4ADE-974F-AABF8717802C}"/>
    <cellStyle name="Normal 17" xfId="508" xr:uid="{226124A3-47CF-4EF8-910F-D5C0B8AFFBEE}"/>
    <cellStyle name="Normal 17 2" xfId="509" xr:uid="{EB34786D-2FA3-4EE9-9FC3-21B5A8DE46AB}"/>
    <cellStyle name="Normal 17 2 2" xfId="510" xr:uid="{943FC118-C610-44B2-860D-9E32B675189B}"/>
    <cellStyle name="Normal 17 2 2 2" xfId="511" xr:uid="{8C510717-5541-4584-8E40-FB6C83818F20}"/>
    <cellStyle name="Normal 17 2 2 3" xfId="512" xr:uid="{449D6F5F-9EA0-4F5B-B319-A85C7F54021E}"/>
    <cellStyle name="Normal 17 2 3" xfId="513" xr:uid="{74F3AEA1-6605-4B2C-A33F-ECF6B74B532E}"/>
    <cellStyle name="Normal 17 2 4" xfId="514" xr:uid="{D178BD02-2542-4754-8E3E-7096E20769E9}"/>
    <cellStyle name="Normal 17 3" xfId="515" xr:uid="{DB015BF4-26C4-4894-9623-888B4504B98F}"/>
    <cellStyle name="Normal 17 3 2" xfId="516" xr:uid="{07E41269-0B97-4287-A9A1-C74B63414262}"/>
    <cellStyle name="Normal 17 3 2 2" xfId="517" xr:uid="{9EE700C6-0A21-44A0-884E-34721D9DFE78}"/>
    <cellStyle name="Normal 17 3 2 3" xfId="518" xr:uid="{8FEFCC71-31C5-4936-8B7C-64850CADDB53}"/>
    <cellStyle name="Normal 17 3 3" xfId="519" xr:uid="{D29202CF-2A8F-4B1A-8594-B9437A8B4BD9}"/>
    <cellStyle name="Normal 17 3 4" xfId="520" xr:uid="{939B6C1D-E3A7-4603-BB29-22CBBFA99382}"/>
    <cellStyle name="Normal 17 4" xfId="521" xr:uid="{21B99E0A-8CE3-4588-BC23-CC62B1434825}"/>
    <cellStyle name="Normal 17 4 2" xfId="522" xr:uid="{7B1D4E22-9AED-4B07-B470-94CD833F1913}"/>
    <cellStyle name="Normal 17 4 3" xfId="523" xr:uid="{068F8279-6541-498B-BC02-A0B8CA110E25}"/>
    <cellStyle name="Normal 17 5" xfId="524" xr:uid="{31DBC047-4E34-486D-8683-9E80CD71259C}"/>
    <cellStyle name="Normal 17 6" xfId="525" xr:uid="{3274F109-4875-46C7-B674-B9D1A3844C62}"/>
    <cellStyle name="Normal 18" xfId="526" xr:uid="{024DABC6-FA6A-4676-A699-2393E443EC25}"/>
    <cellStyle name="Normal 18 2" xfId="527" xr:uid="{325D3442-DBC3-46AB-ACA3-CC1167A9DA51}"/>
    <cellStyle name="Normal 19" xfId="528" xr:uid="{E5835149-4290-4CD6-84F3-53F02C90F36C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2 3" xfId="529" xr:uid="{2B6E08FA-A2E7-4BE0-A284-636555B92795}"/>
    <cellStyle name="Normal 2 2 4" xfId="530" xr:uid="{6E7FC35B-318F-40F2-B219-FADBF20B4285}"/>
    <cellStyle name="Normal 2 2 5" xfId="531" xr:uid="{7656E240-E010-4791-9C29-6EA2D1178F6B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4 2" xfId="532" xr:uid="{5BE25564-BF9A-4966-8616-0AD48CCD70FB}"/>
    <cellStyle name="Normal 2 4 3" xfId="533" xr:uid="{9549312A-7363-43A5-BE97-BDDC5840CDE7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20" xfId="534" xr:uid="{C9BBDC81-644E-49D0-9BE5-4A2517FC5F0D}"/>
    <cellStyle name="Normal 20 2" xfId="535" xr:uid="{0AAC370E-3E55-48FD-B562-827370797868}"/>
    <cellStyle name="Normal 20 2 2" xfId="536" xr:uid="{6A0F7EDD-B099-455C-932C-B35C2CBDE4E1}"/>
    <cellStyle name="Normal 20 3" xfId="537" xr:uid="{D0C854D8-0C28-4FB4-ACE6-A1AC8E5D5F67}"/>
    <cellStyle name="Normal 20 4" xfId="538" xr:uid="{4E70596D-1FA5-4E96-B794-C0E585639265}"/>
    <cellStyle name="Normal 21" xfId="539" xr:uid="{5CD270A7-D3E7-44D3-AB51-B9AD79BD128A}"/>
    <cellStyle name="Normal 21 2" xfId="540" xr:uid="{82B930B1-2DE4-4889-B1C2-9069060555B5}"/>
    <cellStyle name="Normal 21 3" xfId="541" xr:uid="{A6C0A7BB-F4B2-454A-B83E-8A9B5E4C6E2D}"/>
    <cellStyle name="Normal 22" xfId="542" xr:uid="{D02513D8-4E89-4E5D-9888-BED0FACBADA7}"/>
    <cellStyle name="Normal 23" xfId="543" xr:uid="{888DBB0D-D3A7-4172-B76F-1D44543338C6}"/>
    <cellStyle name="Normal 23 2" xfId="544" xr:uid="{43938D21-6B8E-4E1D-BC35-1197F7E6CDA4}"/>
    <cellStyle name="Normal 23 2 2" xfId="545" xr:uid="{EBB4B367-D4BB-4424-93F5-50E60EA221F2}"/>
    <cellStyle name="Normal 23 3" xfId="546" xr:uid="{6A8DAEFD-7A69-400F-AF6F-1CDD56A49A00}"/>
    <cellStyle name="Normal 23 4" xfId="547" xr:uid="{886431C5-F169-49D1-B01D-4E011E04B5D0}"/>
    <cellStyle name="Normal 24" xfId="548" xr:uid="{A520CA23-A529-4C49-9A46-056956083495}"/>
    <cellStyle name="Normal 24 2" xfId="549" xr:uid="{506E26D2-69BF-4D60-8644-2643152DB5D8}"/>
    <cellStyle name="Normal 24 2 2" xfId="550" xr:uid="{E20C3C55-FEE4-4A25-9578-E5280D137EEC}"/>
    <cellStyle name="Normal 24 3" xfId="551" xr:uid="{2036F440-332E-4506-BD7C-FD5220F4F417}"/>
    <cellStyle name="Normal 24 4" xfId="552" xr:uid="{99685F31-75B7-4030-B464-E8E26D6E2D0A}"/>
    <cellStyle name="Normal 25" xfId="553" xr:uid="{58EDB299-A9A6-4806-B5B5-B4481434E946}"/>
    <cellStyle name="Normal 25 2" xfId="554" xr:uid="{D3978F67-A50C-4544-B948-2D4799BA00A5}"/>
    <cellStyle name="Normal 25 2 2" xfId="555" xr:uid="{99A313DF-B777-480E-80E8-FCE2927971FA}"/>
    <cellStyle name="Normal 25 3" xfId="556" xr:uid="{56A8BFD3-6818-40AF-A942-023231D5F8EC}"/>
    <cellStyle name="Normal 25 4" xfId="557" xr:uid="{49C04F18-E5C5-4278-ADA5-B9825783E967}"/>
    <cellStyle name="Normal 26" xfId="558" xr:uid="{F23C2E20-6693-4230-8FD3-479B4D0A5CCF}"/>
    <cellStyle name="Normal 26 2" xfId="559" xr:uid="{BBAFB5EE-D18C-404B-A14F-7AFA432C66D8}"/>
    <cellStyle name="Normal 26 2 2" xfId="560" xr:uid="{AABC297A-4AB1-4E15-993E-FD8E9D8D9895}"/>
    <cellStyle name="Normal 26 3" xfId="561" xr:uid="{67F382D3-E064-4390-BF6E-B2CE301D5392}"/>
    <cellStyle name="Normal 26 4" xfId="562" xr:uid="{56C3D278-47CC-42A4-BB7A-97B94B4ED18E}"/>
    <cellStyle name="Normal 27" xfId="563" xr:uid="{D9486F4F-C9E5-414C-B0C2-1DF1EA791303}"/>
    <cellStyle name="Normal 28" xfId="400" xr:uid="{2A3E9E92-7D9E-4A5A-8384-6D823C7E150C}"/>
    <cellStyle name="Normal 29" xfId="564" xr:uid="{97373D68-6A68-4A88-BFB1-6D123041C422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 3 2" xfId="566" xr:uid="{81A656C1-5AA0-4CDB-B398-62685C8933DE}"/>
    <cellStyle name="Normal 3 3 3" xfId="567" xr:uid="{09D25D5B-82FA-4ED1-B5B6-56F07E08421E}"/>
    <cellStyle name="Normal 3 3 4" xfId="565" xr:uid="{1C5D60C5-361B-4E83-9B63-3C351F25ED7E}"/>
    <cellStyle name="Normal 3 4" xfId="568" xr:uid="{92B5696F-10A0-43AC-B840-EF2A42BB48CA}"/>
    <cellStyle name="Normal 3 5" xfId="569" xr:uid="{04983B2E-6C40-4222-AFAB-48F9B2E75C5C}"/>
    <cellStyle name="Normal 3 5 2" xfId="570" xr:uid="{5E41F0E6-E3C5-4BC7-A06D-22A6083942C1}"/>
    <cellStyle name="Normal 3 5 3" xfId="571" xr:uid="{1B29E522-36EA-4B93-B0C9-AB8A4EED1FCB}"/>
    <cellStyle name="Normal 3_29(d) - Gas extensions -tariffs" xfId="162" xr:uid="{00000000-0005-0000-0000-0000E1000000}"/>
    <cellStyle name="Normal 30" xfId="572" xr:uid="{D6FA2E49-E83C-453E-AAAD-E4AEB45C54A9}"/>
    <cellStyle name="Normal 31" xfId="573" xr:uid="{9D06A50A-42B3-46BA-8B79-D3DF2D3C9F98}"/>
    <cellStyle name="Normal 32" xfId="399" xr:uid="{CCE017D0-8884-4E9E-9868-7E7516C7B659}"/>
    <cellStyle name="Normal 33" xfId="574" xr:uid="{A72CE926-EC5D-429D-BEA6-DF5FD2B7A025}"/>
    <cellStyle name="Normal 34" xfId="270" xr:uid="{00000000-0005-0000-0000-0000E2000000}"/>
    <cellStyle name="Normal 34 2" xfId="664" xr:uid="{D72DEC65-2B31-44F4-8D85-BB6C2455A79B}"/>
    <cellStyle name="Normal 35" xfId="340" xr:uid="{DFF9077E-81DD-4CDA-BA45-F894E7461031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2 2" xfId="575" xr:uid="{4ACE2478-C31A-4DF6-9AE4-29D48954B6C0}"/>
    <cellStyle name="Normal 4 2 2 2" xfId="576" xr:uid="{74311EB5-626B-47D6-A207-AB316F401DA5}"/>
    <cellStyle name="Normal 4 2 2 2 2" xfId="577" xr:uid="{99B56FBF-3933-4987-9193-BB22C1693D02}"/>
    <cellStyle name="Normal 4 2 2 2 3" xfId="578" xr:uid="{74683431-D056-45D5-B5E0-1327B6F1B532}"/>
    <cellStyle name="Normal 4 2 2 3" xfId="579" xr:uid="{AD8CFFD5-BFC4-4793-B34D-F613DB012EDE}"/>
    <cellStyle name="Normal 4 2 2 4" xfId="580" xr:uid="{11D88342-5EAF-490B-8DF5-51DC3600F482}"/>
    <cellStyle name="Normal 4 2 3" xfId="581" xr:uid="{1ED230BC-E04E-41A0-A61C-E2E6707022FE}"/>
    <cellStyle name="Normal 4 2 3 2" xfId="582" xr:uid="{C2EE9805-C670-46CA-9CC3-7C1056032121}"/>
    <cellStyle name="Normal 4 2 3 2 2" xfId="583" xr:uid="{9B3DDC21-D96A-41D6-818F-C92FA9BD4EDF}"/>
    <cellStyle name="Normal 4 2 3 2 3" xfId="584" xr:uid="{6652C7D9-7FC3-460A-B52C-764FBB036780}"/>
    <cellStyle name="Normal 4 2 3 3" xfId="585" xr:uid="{4E3F3869-F7B0-4D16-B31A-92124C3D3244}"/>
    <cellStyle name="Normal 4 2 3 4" xfId="586" xr:uid="{6D935AE2-F640-4F49-A2F8-99B68AB3C002}"/>
    <cellStyle name="Normal 4 2 4" xfId="344" xr:uid="{DA9970E4-4F7D-4F79-89A5-4ADC141131E6}"/>
    <cellStyle name="Normal 4 3" xfId="168" xr:uid="{00000000-0005-0000-0000-0000E8000000}"/>
    <cellStyle name="Normal 4 3 2" xfId="286" xr:uid="{00000000-0005-0000-0000-0000E9000000}"/>
    <cellStyle name="Normal 4 3 2 2" xfId="587" xr:uid="{B2E20C6F-3AC3-4702-A27E-4F90287D541C}"/>
    <cellStyle name="Normal 4 3 2 3" xfId="588" xr:uid="{0FC75AF8-8EB4-412A-9829-B01AB885C982}"/>
    <cellStyle name="Normal 4 3 3" xfId="589" xr:uid="{3F7B962A-8EF4-462A-B481-2F8A0B9F8792}"/>
    <cellStyle name="Normal 4 3 3 2" xfId="590" xr:uid="{2F31A9BB-178D-4517-9F9B-BE244112C87B}"/>
    <cellStyle name="Normal 4 3 4" xfId="591" xr:uid="{7929A3DA-8E40-46F4-9DA2-29C606ED8667}"/>
    <cellStyle name="Normal 4 4" xfId="592" xr:uid="{79E80357-F634-490E-8817-5F9280372BEB}"/>
    <cellStyle name="Normal 4 5" xfId="593" xr:uid="{968A03C7-63EE-47B6-9C96-9C0533C65DDB}"/>
    <cellStyle name="Normal 4 6" xfId="594" xr:uid="{A2EA7BEF-9BC1-4FBF-8974-EB9F899AF238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45" xfId="339" xr:uid="{619B8C35-E0AD-4084-8BDC-7F0477D3835B}"/>
    <cellStyle name="Normal 5" xfId="173" xr:uid="{00000000-0005-0000-0000-0000EE000000}"/>
    <cellStyle name="Normal 5 2" xfId="174" xr:uid="{00000000-0005-0000-0000-0000EF000000}"/>
    <cellStyle name="Normal 5 3" xfId="595" xr:uid="{56C272CC-8311-4B48-9771-98C0A27B5E1D}"/>
    <cellStyle name="Normal 6" xfId="175" xr:uid="{00000000-0005-0000-0000-0000F0000000}"/>
    <cellStyle name="Normal 6 2" xfId="176" xr:uid="{00000000-0005-0000-0000-0000F1000000}"/>
    <cellStyle name="Normal 6 2 2" xfId="596" xr:uid="{1B45D05D-A5FE-4CB9-A8B6-9C716B6E6352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7 2 2 2" xfId="597" xr:uid="{657ACF59-5A5F-4FD0-B283-82B5D09775F9}"/>
    <cellStyle name="Normal 7 2 2 3" xfId="598" xr:uid="{D81914E4-E7E4-4E30-90EF-C7444501DD50}"/>
    <cellStyle name="Normal 7 2 3" xfId="599" xr:uid="{18537393-0E1B-46F6-B609-F63CF0678343}"/>
    <cellStyle name="Normal 7 2 4" xfId="600" xr:uid="{C0CE167E-EA4A-4618-AFFA-422A0DF65D1A}"/>
    <cellStyle name="Normal 8" xfId="179" xr:uid="{00000000-0005-0000-0000-0000F5000000}"/>
    <cellStyle name="Normal 8 2" xfId="601" xr:uid="{A63F2833-2914-4A0F-A611-B6897D5B9139}"/>
    <cellStyle name="Normal 8 2 2" xfId="602" xr:uid="{4FF2734F-A6A3-4FFD-85AF-AB0857DB54A3}"/>
    <cellStyle name="Normal 8 2 3" xfId="603" xr:uid="{6DCC5933-A4B6-440F-AB8E-53030C34224F}"/>
    <cellStyle name="Normal 8 2 3 2" xfId="604" xr:uid="{7A0CCE85-AD3E-47B1-9299-86D68A7EB44F}"/>
    <cellStyle name="Normal 8 2 3 3" xfId="605" xr:uid="{8C2B4AA5-C0B5-46EF-97E4-FCD9D34C0D30}"/>
    <cellStyle name="Normal 8 2 4" xfId="606" xr:uid="{E321A627-DD1C-42EC-BA47-B48734FBBEFF}"/>
    <cellStyle name="Normal 9" xfId="180" xr:uid="{00000000-0005-0000-0000-0000F6000000}"/>
    <cellStyle name="Normal 9 2" xfId="607" xr:uid="{63C78555-741E-4389-9194-9DE8484E5A44}"/>
    <cellStyle name="Note 2" xfId="181" xr:uid="{00000000-0005-0000-0000-0000F7000000}"/>
    <cellStyle name="Note 2 2" xfId="277" xr:uid="{00000000-0005-0000-0000-0000F8000000}"/>
    <cellStyle name="Note 2 3" xfId="608" xr:uid="{E5B02E71-2767-4278-9ECA-9C1FFBDC3D57}"/>
    <cellStyle name="Note 3" xfId="609" xr:uid="{A70DEFC1-6219-4C12-BC41-3F6614E0640A}"/>
    <cellStyle name="Note 3 2" xfId="610" xr:uid="{307BEFC2-F4B0-428C-8C9D-96DA01455734}"/>
    <cellStyle name="Note 3 3" xfId="611" xr:uid="{23169C54-EB5A-4A69-9D40-7705A82AA0ED}"/>
    <cellStyle name="Note 4" xfId="612" xr:uid="{E03D301A-61D9-47F3-A3EC-D8905E7ECFC7}"/>
    <cellStyle name="Note 4 2" xfId="613" xr:uid="{6863E41A-C496-474D-8167-9AB45E78597D}"/>
    <cellStyle name="Note 4 3" xfId="614" xr:uid="{4E64A471-B7A3-4063-8410-A6AFCC2656A8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Output 2 3" xfId="615" xr:uid="{CD236A5B-259E-4EF0-B0F1-1D7C162B18E9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11" xfId="343" xr:uid="{F2B7B8A6-B5B2-4813-8827-B7CA51ADF1C8}"/>
    <cellStyle name="Percent 12" xfId="616" xr:uid="{A79DDDA3-DDE8-4007-BB75-9E8BC28E8BCD}"/>
    <cellStyle name="Percent 12 2" xfId="617" xr:uid="{1AEFC7CA-FF3E-402F-AA0D-D78201E02AEE}"/>
    <cellStyle name="Percent 12 2 2" xfId="618" xr:uid="{10F1E7DD-8418-411A-BAB6-A0119418D263}"/>
    <cellStyle name="Percent 12 3" xfId="619" xr:uid="{00667B69-8105-46E2-B7B9-93F52904620D}"/>
    <cellStyle name="Percent 12 4" xfId="620" xr:uid="{4257A68B-9843-4029-8ADE-5F5C80C8F30B}"/>
    <cellStyle name="Percent 2" xfId="187" xr:uid="{00000000-0005-0000-0000-000001010000}"/>
    <cellStyle name="Percent 2 2" xfId="188" xr:uid="{00000000-0005-0000-0000-000002010000}"/>
    <cellStyle name="Percent 2 2 2" xfId="621" xr:uid="{DEE7A221-DF19-4923-9C9C-448FC3ACD925}"/>
    <cellStyle name="Percent 2 2 2 2" xfId="622" xr:uid="{2489CE4B-0825-431D-AEAA-980B0915CDA3}"/>
    <cellStyle name="Percent 2 2 2 2 2" xfId="623" xr:uid="{6F4042E4-E1D7-4338-AF67-EEB8C4BFC8F7}"/>
    <cellStyle name="Percent 2 2 2 2 3" xfId="624" xr:uid="{28A8F8D2-1BBF-4F92-96AD-27CB91D324F4}"/>
    <cellStyle name="Percent 2 2 2 3" xfId="625" xr:uid="{9957FB22-F6E5-406D-BFB8-2FC19363E9AE}"/>
    <cellStyle name="Percent 2 2 2 4" xfId="626" xr:uid="{8E4EF0FD-E0FB-4C5C-B14F-FB2843B3E6FD}"/>
    <cellStyle name="Percent 2 2 3" xfId="627" xr:uid="{C342B757-03BB-4AEB-BE22-449411494ACC}"/>
    <cellStyle name="Percent 2 2 3 2" xfId="628" xr:uid="{27C897B4-5054-498D-B2CF-B234F6CA0217}"/>
    <cellStyle name="Percent 2 2 3 2 2" xfId="629" xr:uid="{CC85CC90-ED43-453C-ABCB-540BC2A557FD}"/>
    <cellStyle name="Percent 2 2 3 2 3" xfId="630" xr:uid="{4BCD603E-86A1-4341-B83A-068466151AD5}"/>
    <cellStyle name="Percent 2 2 3 3" xfId="631" xr:uid="{9E914713-7150-462B-9199-B51842F990FA}"/>
    <cellStyle name="Percent 2 2 3 4" xfId="632" xr:uid="{190A0AD1-D283-4979-B04E-415D460BE082}"/>
    <cellStyle name="Percent 2 3" xfId="291" xr:uid="{00000000-0005-0000-0000-000003010000}"/>
    <cellStyle name="Percent 2 3 2" xfId="634" xr:uid="{1633B91C-298F-4F03-A613-36C0EA934EA2}"/>
    <cellStyle name="Percent 2 3 2 2" xfId="635" xr:uid="{6026E395-AF7C-4EFF-9B3E-1C1515A63DC9}"/>
    <cellStyle name="Percent 2 3 2 3" xfId="636" xr:uid="{799BF27A-17DE-4896-B9EA-02B2E1744493}"/>
    <cellStyle name="Percent 2 3 3" xfId="637" xr:uid="{D33F8FA1-08C9-450F-A73F-23352EBBEAC7}"/>
    <cellStyle name="Percent 2 3 4" xfId="638" xr:uid="{E1E5B2C7-1E37-4A12-8FDA-88A56914E42B}"/>
    <cellStyle name="Percent 2 3 5" xfId="633" xr:uid="{7E98B214-F865-4FEF-98CE-2AB1B7D34EC3}"/>
    <cellStyle name="Percent 2 4" xfId="639" xr:uid="{317549A3-364E-4BE0-A074-DFFC894E957E}"/>
    <cellStyle name="Percent 2 4 2" xfId="640" xr:uid="{9DEC4FBB-B989-4CD3-A64A-4B2B5BD130EA}"/>
    <cellStyle name="Percent 2 4 2 2" xfId="641" xr:uid="{2168932E-2611-4933-9B63-A34024063B62}"/>
    <cellStyle name="Percent 2 4 2 3" xfId="642" xr:uid="{9961DB1E-F06B-4006-8C23-63AE670A764F}"/>
    <cellStyle name="Percent 2 4 3" xfId="643" xr:uid="{8EDCE57A-B914-4B52-B89F-6E16AFCEC293}"/>
    <cellStyle name="Percent 2 4 4" xfId="644" xr:uid="{DB50A355-6F54-4FD6-B433-B77FDA79E588}"/>
    <cellStyle name="Percent 3" xfId="189" xr:uid="{00000000-0005-0000-0000-000004010000}"/>
    <cellStyle name="Percent 3 2" xfId="190" xr:uid="{00000000-0005-0000-0000-000005010000}"/>
    <cellStyle name="Percent 3 4" xfId="645" xr:uid="{3F005AB0-B22B-439D-A6E0-02778E1146EB}"/>
    <cellStyle name="Percent 3 4 2" xfId="646" xr:uid="{C69171BA-C8B1-47FB-93AE-8C3354FB4BB1}"/>
    <cellStyle name="Percent 3 4 3" xfId="647" xr:uid="{82C128CA-A6FF-4A39-890E-12391900B2D2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5 3" xfId="648" xr:uid="{7A8CC7DB-A20B-43C3-9656-E1E0CCF4CEF2}"/>
    <cellStyle name="Percent 6" xfId="264" xr:uid="{00000000-0005-0000-0000-000009010000}"/>
    <cellStyle name="Percent 6 2" xfId="649" xr:uid="{5C44E4F1-3C33-4C10-B374-5FEF42B3A66B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Heading 2" xfId="650" xr:uid="{BF2EC8A5-8863-4BF6-AAE3-02DAEEF86724}"/>
    <cellStyle name="PSHeading 2 2" xfId="651" xr:uid="{6F5595FB-8414-4147-8FAA-CE68682F7267}"/>
    <cellStyle name="PSHeading 3" xfId="652" xr:uid="{F4ED1FF1-126C-4F95-A2A4-B6F4AC8539F9}"/>
    <cellStyle name="PSHeading 3 2" xfId="653" xr:uid="{B03EF6BE-F2C0-4A0F-BFB9-BC54ADB71491}"/>
    <cellStyle name="PSHeading 3 2 2" xfId="654" xr:uid="{F327A721-7710-40AB-9688-D6A166A176C1}"/>
    <cellStyle name="PSHeading 4" xfId="655" xr:uid="{7FB37306-E201-4727-8192-B9A8AF39CF9C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RIN_Input$_3dp" xfId="656" xr:uid="{D4BDE885-B6FB-448B-944F-66008C371965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 Title 2" xfId="663" xr:uid="{9AD6883C-6D10-490D-AC4C-B14B98F1FEB3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 2 2" xfId="657" xr:uid="{33A676CF-B527-498F-B009-274AD0462D39}"/>
    <cellStyle name="Style 1 3" xfId="658" xr:uid="{229BE6C2-A252-4FAE-81BB-546B5F0F1E82}"/>
    <cellStyle name="Style 1 3 2" xfId="659" xr:uid="{198D17C6-1516-43E0-8348-07D9F90C7A8D}"/>
    <cellStyle name="Style 1 3 3" xfId="660" xr:uid="{E5EC8AEC-F2B6-4615-8039-F1515C1F5718}"/>
    <cellStyle name="Style 1 4" xfId="661" xr:uid="{58BDDADE-3B1A-480E-8343-CAEE99803759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ableLvl2" xfId="351" xr:uid="{B78A28B6-DC14-4F67-ACD9-E23DEBE926E0}"/>
    <cellStyle name="TableLvl3" xfId="352" xr:uid="{96DC51D2-A2E7-49EC-B58C-7E819E3F4796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 2 3" xfId="662" xr:uid="{EC1EC41D-AD45-441C-83E6-C4CBB30AF72D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9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FFCC99"/>
      <color rgb="FF8DB4E2"/>
      <color rgb="FFCCCCFF"/>
      <color rgb="FFFFCCFF"/>
      <color rgb="FFDAEEF3"/>
      <color rgb="FFFF00FF"/>
      <color rgb="FF0000FF"/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7109375" style="1" customWidth="1"/>
    <col min="6" max="6" width="2.7109375" style="2" customWidth="1"/>
    <col min="7" max="28" width="12.7109375" style="2" hidden="1" customWidth="1"/>
    <col min="29" max="16384" width="9.28515625" style="2" hidden="1"/>
  </cols>
  <sheetData>
    <row r="1" spans="2:13" s="5" customFormat="1" ht="18" customHeight="1">
      <c r="B1" s="3" t="str">
        <f>'Input | General'!$B$1</f>
        <v>Ergon Energy 2020-25 2018-20 True-up - Capital expenditure sharing scheme model</v>
      </c>
      <c r="D1" s="4"/>
      <c r="E1" s="4"/>
    </row>
    <row r="2" spans="2:13" ht="18" customHeight="1">
      <c r="B2" s="33" t="s">
        <v>29</v>
      </c>
    </row>
    <row r="3" spans="2:13" ht="3" customHeight="1">
      <c r="C3" s="2"/>
    </row>
    <row r="4" spans="2:13" s="8" customFormat="1" ht="12.75" customHeight="1">
      <c r="C4" s="29" t="s">
        <v>30</v>
      </c>
      <c r="D4" s="7"/>
      <c r="E4" s="7"/>
    </row>
    <row r="5" spans="2:13" ht="11.25" customHeight="1"/>
    <row r="6" spans="2:13" ht="11.25" customHeight="1">
      <c r="C6" s="31" t="s">
        <v>31</v>
      </c>
      <c r="D6" s="31" t="s">
        <v>32</v>
      </c>
      <c r="E6" s="31"/>
    </row>
    <row r="7" spans="2:13" ht="11.25" customHeight="1">
      <c r="C7" s="108" t="s">
        <v>34</v>
      </c>
      <c r="D7" s="32" t="s">
        <v>45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8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8" t="s">
        <v>54</v>
      </c>
      <c r="D9" s="32" t="s">
        <v>37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8" t="s">
        <v>57</v>
      </c>
      <c r="D10" s="32" t="s">
        <v>38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8" t="s">
        <v>80</v>
      </c>
      <c r="D11" s="32" t="s">
        <v>53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8" t="s">
        <v>81</v>
      </c>
      <c r="D12" s="32" t="s">
        <v>58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33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5"/>
  <sheetViews>
    <sheetView workbookViewId="0">
      <selection activeCell="J21" sqref="J21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7109375" style="14" customWidth="1"/>
    <col min="13" max="22" width="9.28515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Ergon Energy 2020-25 2018-20 True-up - Capital expenditure sharing scheme model</v>
      </c>
      <c r="F1" s="104"/>
      <c r="G1" s="105" t="s">
        <v>46</v>
      </c>
      <c r="H1" s="156" t="s">
        <v>47</v>
      </c>
      <c r="I1" s="161" t="s">
        <v>35</v>
      </c>
      <c r="M1" s="106"/>
    </row>
    <row r="2" spans="1:13" s="11" customFormat="1" ht="18" customHeight="1">
      <c r="B2" s="13" t="s">
        <v>34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34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7" t="s">
        <v>128</v>
      </c>
      <c r="J6" s="79"/>
      <c r="K6" s="79"/>
      <c r="L6" s="79"/>
      <c r="M6" s="79"/>
    </row>
    <row r="7" spans="1:13" s="70" customFormat="1" ht="11.25" customHeight="1">
      <c r="C7" s="69" t="s">
        <v>89</v>
      </c>
      <c r="D7" s="157" t="s">
        <v>139</v>
      </c>
      <c r="I7" s="79"/>
      <c r="J7" s="79"/>
      <c r="K7" s="79"/>
      <c r="L7" s="79"/>
    </row>
    <row r="8" spans="1:13" s="70" customFormat="1" ht="11.25" customHeight="1">
      <c r="C8" s="69" t="s">
        <v>90</v>
      </c>
      <c r="D8" s="157" t="s">
        <v>129</v>
      </c>
      <c r="J8" s="79"/>
      <c r="K8" s="79"/>
      <c r="L8" s="79"/>
      <c r="M8" s="79"/>
    </row>
    <row r="9" spans="1:13" s="70" customFormat="1" ht="11.25" customHeight="1">
      <c r="C9" s="185" t="s">
        <v>100</v>
      </c>
      <c r="D9" s="157" t="s">
        <v>130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4" t="s">
        <v>88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84" t="str">
        <f t="shared" ref="D13:F13" si="0">IF(LEN(E13)&gt;4,CONCATENATE(LEFT(E13,4)-1&amp;"–"&amp;IF(RIGHT(E13,2)="00","99",IF(RIGHT(E13,2)-1&lt;10,"0","")&amp;RIGHT(E13,2)-1)),E13-1)</f>
        <v>2015–16</v>
      </c>
      <c r="E13" s="184" t="str">
        <f t="shared" si="0"/>
        <v>2016–17</v>
      </c>
      <c r="F13" s="184" t="str">
        <f t="shared" si="0"/>
        <v>2017–18</v>
      </c>
      <c r="G13" s="184" t="str">
        <f>IF(LEN(H13)&gt;4,CONCATENATE(LEFT(H13,4)-1&amp;"–"&amp;IF(RIGHT(H13,2)="00","99",IF(RIGHT(H13,2)-1&lt;10,"0","")&amp;RIGHT(H13,2)-1)),H13-1)</f>
        <v>2018–19</v>
      </c>
      <c r="H13" s="184" t="str">
        <f>IF(LEN(D9)&gt;4,CONCATENATE(LEFT(D9,4)-1&amp;"–"&amp;IF(RIGHT(D9,2)="00","99",IF(RIGHT(D9,2)-1&lt;10,"0","")&amp;RIGHT(D9,2)-1)),D9-1)</f>
        <v>2019–20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7" t="s">
        <v>8</v>
      </c>
      <c r="E14" s="157" t="s">
        <v>8</v>
      </c>
      <c r="F14" s="157" t="s">
        <v>8</v>
      </c>
      <c r="G14" s="157" t="s">
        <v>8</v>
      </c>
      <c r="H14" s="157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7" t="s">
        <v>7</v>
      </c>
      <c r="E15" s="157" t="s">
        <v>7</v>
      </c>
      <c r="F15" s="157" t="s">
        <v>7</v>
      </c>
      <c r="G15" s="157" t="s">
        <v>7</v>
      </c>
      <c r="H15" s="157" t="s">
        <v>7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84" t="str">
        <f>D9</f>
        <v>2020-21</v>
      </c>
      <c r="E18" s="184" t="str">
        <f>IF(LEN(D18)&gt;4,CONCATENATE(LEFT(D18,4)+1&amp;"–"&amp;IF(RIGHT(D18,2)+1&gt;9,"","0")&amp;RIGHT(D18,2)+1),D18+1)</f>
        <v>2021–22</v>
      </c>
      <c r="F18" s="184" t="str">
        <f t="shared" ref="F18:H18" si="1">IF(LEN(E18)&gt;4,CONCATENATE(LEFT(E18,4)+1&amp;"–"&amp;IF(RIGHT(E18,2)+1&gt;9,"","0")&amp;RIGHT(E18,2)+1),E18+1)</f>
        <v>2022–23</v>
      </c>
      <c r="G18" s="184" t="str">
        <f t="shared" si="1"/>
        <v>2023–24</v>
      </c>
      <c r="H18" s="184" t="str">
        <f t="shared" si="1"/>
        <v>2024–25</v>
      </c>
      <c r="J18" s="79"/>
      <c r="K18" s="79"/>
      <c r="L18" s="79"/>
      <c r="M18" s="79"/>
    </row>
    <row r="19" spans="1:13" s="70" customFormat="1" ht="11.25" customHeight="1">
      <c r="C19" s="69"/>
      <c r="D19" s="69"/>
      <c r="E19" s="69"/>
      <c r="F19" s="69"/>
      <c r="G19" s="69"/>
      <c r="H19" s="69"/>
      <c r="I19" s="69"/>
      <c r="J19" s="79"/>
      <c r="K19" s="79"/>
      <c r="L19" s="79"/>
      <c r="M19" s="79"/>
    </row>
    <row r="20" spans="1:13" s="70" customFormat="1" ht="11.25" customHeight="1">
      <c r="C20" s="79"/>
      <c r="D20" s="258" t="s">
        <v>63</v>
      </c>
      <c r="E20" s="258" t="s">
        <v>64</v>
      </c>
      <c r="F20" s="258" t="s">
        <v>65</v>
      </c>
      <c r="G20" s="258" t="s">
        <v>66</v>
      </c>
      <c r="H20" s="258" t="s">
        <v>67</v>
      </c>
      <c r="I20" s="69"/>
      <c r="J20" s="79"/>
      <c r="K20" s="79"/>
      <c r="L20" s="79"/>
      <c r="M20" s="79"/>
    </row>
    <row r="21" spans="1:13" s="70" customFormat="1" ht="11.25" customHeight="1">
      <c r="C21" s="259" t="s">
        <v>143</v>
      </c>
      <c r="D21" s="184" t="str">
        <f>IF(LEN(H18)&gt;4,CONCATENATE(LEFT(H18,4)+1&amp;"–"&amp;IF(RIGHT(H18,2)+1&gt;9,"","0")&amp;RIGHT(H18,2)+1),H18+1)</f>
        <v>2025–26</v>
      </c>
      <c r="E21" s="184" t="str">
        <f t="shared" ref="E21:H21" si="2">IF(LEN(D21)&gt;4,CONCATENATE(LEFT(D21,4)+1&amp;"–"&amp;IF(RIGHT(D21,2)+1&gt;9,"","0")&amp;RIGHT(D21,2)+1),D21+1)</f>
        <v>2026–27</v>
      </c>
      <c r="F21" s="184" t="str">
        <f t="shared" si="2"/>
        <v>2027–28</v>
      </c>
      <c r="G21" s="184" t="str">
        <f t="shared" si="2"/>
        <v>2028–29</v>
      </c>
      <c r="H21" s="184" t="str">
        <f t="shared" si="2"/>
        <v>2029–30</v>
      </c>
      <c r="I21" s="69"/>
      <c r="J21" s="79"/>
      <c r="K21" s="79"/>
      <c r="L21" s="79"/>
      <c r="M21" s="79"/>
    </row>
    <row r="22" spans="1:13" s="70" customFormat="1" ht="11.25" customHeight="1">
      <c r="C22" s="69"/>
      <c r="D22" s="69"/>
      <c r="E22" s="69"/>
      <c r="F22" s="69"/>
      <c r="G22" s="69"/>
      <c r="H22" s="69"/>
      <c r="I22" s="69"/>
      <c r="J22" s="79"/>
      <c r="K22" s="79"/>
      <c r="L22" s="79"/>
      <c r="M22" s="79"/>
    </row>
    <row r="23" spans="1:13" s="70" customFormat="1" ht="11.25" customHeight="1">
      <c r="J23" s="79"/>
      <c r="K23" s="79"/>
      <c r="L23" s="79"/>
      <c r="M23" s="79"/>
    </row>
    <row r="24" spans="1:13" s="62" customFormat="1" ht="12.75" customHeight="1">
      <c r="A24" s="8"/>
      <c r="B24" s="29" t="s">
        <v>33</v>
      </c>
    </row>
    <row r="25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28515625" style="24" customWidth="1"/>
    <col min="3" max="3" width="36.7109375" style="24" customWidth="1"/>
    <col min="4" max="5" width="22.71093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7109375" style="24" customWidth="1"/>
    <col min="19" max="32" width="12.7109375" style="24" hidden="1" customWidth="1"/>
    <col min="33" max="16384" width="9.28515625" style="24" hidden="1"/>
  </cols>
  <sheetData>
    <row r="1" spans="1:20" s="11" customFormat="1" ht="18" customHeight="1">
      <c r="B1" s="3" t="str">
        <f>'Input | General'!$B$1</f>
        <v>Ergon Energy 2020-25 2018-20 True-up - Capital expenditure sharing scheme model</v>
      </c>
      <c r="D1" s="12"/>
      <c r="E1" s="12"/>
      <c r="F1" s="12"/>
      <c r="G1" s="104"/>
      <c r="H1" s="105" t="s">
        <v>46</v>
      </c>
      <c r="I1" s="156" t="s">
        <v>47</v>
      </c>
      <c r="J1" s="161" t="s">
        <v>35</v>
      </c>
      <c r="N1" s="106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42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233"/>
      <c r="L5" s="22"/>
      <c r="M5" s="11"/>
    </row>
    <row r="6" spans="1:20" ht="11.25" customHeight="1">
      <c r="A6" s="11"/>
      <c r="B6" s="11"/>
      <c r="C6" s="16"/>
      <c r="D6" s="75" t="s">
        <v>6</v>
      </c>
      <c r="E6" s="75" t="s">
        <v>51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1" t="str">
        <f>IF(LEN(G7)&gt;4,CONCATENATE(LEFT(G7,4)-1&amp;"–"&amp;IF(RIGHT(G7,2)="00","99",IF(RIGHT(G7,2)-1&lt;10,"0","")&amp;RIGHT(G7,2)-1)),G7-1)</f>
        <v>2014–15</v>
      </c>
      <c r="G7" s="170" t="str">
        <f>'Input | General'!D13</f>
        <v>2015–16</v>
      </c>
      <c r="H7" s="170" t="str">
        <f>'Input | General'!E13</f>
        <v>2016–17</v>
      </c>
      <c r="I7" s="170" t="str">
        <f>'Input | General'!F13</f>
        <v>2017–18</v>
      </c>
      <c r="J7" s="170" t="str">
        <f>'Input | General'!G13</f>
        <v>2018–19</v>
      </c>
      <c r="K7" s="170" t="str">
        <f>'Input | General'!H13</f>
        <v>2019–20</v>
      </c>
      <c r="L7" s="170" t="str">
        <f>'Input | General'!D18</f>
        <v>2020-21</v>
      </c>
      <c r="M7" s="170" t="str">
        <f>'Input | General'!E18</f>
        <v>2021–22</v>
      </c>
      <c r="N7" s="170" t="str">
        <f>'Input | General'!F18</f>
        <v>2022–23</v>
      </c>
      <c r="O7" s="170" t="str">
        <f>'Input | General'!G18</f>
        <v>2023–24</v>
      </c>
      <c r="P7" s="170" t="str">
        <f>'Input | General'!H18</f>
        <v>2024–25</v>
      </c>
    </row>
    <row r="8" spans="1:20" ht="11.25" customHeight="1">
      <c r="A8" s="11"/>
      <c r="B8" s="11"/>
      <c r="C8" s="80" t="s">
        <v>82</v>
      </c>
      <c r="D8" s="78" t="s">
        <v>127</v>
      </c>
      <c r="E8" s="78" t="s">
        <v>50</v>
      </c>
      <c r="F8" s="78"/>
      <c r="G8" s="158">
        <v>1.6885553470919357E-2</v>
      </c>
      <c r="H8" s="158">
        <v>1.4760147601476037E-2</v>
      </c>
      <c r="I8" s="158">
        <v>1.9090909090909047E-2</v>
      </c>
      <c r="J8" s="158">
        <v>1.7841213202497874E-2</v>
      </c>
      <c r="K8" s="158">
        <v>1.7000000000000001E-2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83</v>
      </c>
      <c r="D9" s="78" t="s">
        <v>127</v>
      </c>
      <c r="E9" s="78" t="s">
        <v>50</v>
      </c>
      <c r="F9" s="78"/>
      <c r="G9" s="129"/>
      <c r="H9" s="129"/>
      <c r="I9" s="129"/>
      <c r="J9" s="129"/>
      <c r="K9" s="129"/>
      <c r="L9" s="158">
        <v>2.3699999999999999E-2</v>
      </c>
      <c r="M9" s="142">
        <f t="shared" ref="M9:P9" si="0">L9</f>
        <v>2.3699999999999999E-2</v>
      </c>
      <c r="N9" s="142">
        <f t="shared" si="0"/>
        <v>2.3699999999999999E-2</v>
      </c>
      <c r="O9" s="142">
        <f t="shared" si="0"/>
        <v>2.3699999999999999E-2</v>
      </c>
      <c r="P9" s="142">
        <f t="shared" si="0"/>
        <v>2.3699999999999999E-2</v>
      </c>
    </row>
    <row r="10" spans="1:20" ht="11.25" customHeight="1">
      <c r="A10" s="11"/>
      <c r="B10" s="11"/>
      <c r="C10" s="139" t="str">
        <f>"CPI Index (base year "&amp;F7&amp;")"</f>
        <v>CPI Index (base year 2014–15)</v>
      </c>
      <c r="D10" s="78" t="s">
        <v>127</v>
      </c>
      <c r="E10" s="78" t="s">
        <v>29</v>
      </c>
      <c r="F10" s="137">
        <v>1</v>
      </c>
      <c r="G10" s="122">
        <f>IF(G7&lt;&gt;"",(F10*(1+G8)),"")</f>
        <v>1.0168855534709194</v>
      </c>
      <c r="H10" s="122">
        <f>IF(H7&lt;&gt;"",(G10*(1+H8)),"")</f>
        <v>1.0318949343339587</v>
      </c>
      <c r="I10" s="122">
        <f>IF(I7&lt;&gt;"",(H10*(1+I8)),"")</f>
        <v>1.0515947467166979</v>
      </c>
      <c r="J10" s="122">
        <f>IF(J7&lt;&gt;"",(I10*(1+J8)),"")</f>
        <v>1.0703564727954973</v>
      </c>
      <c r="K10" s="122">
        <f>IF(K7&lt;&gt;"",(J10*(1+K8)),"")</f>
        <v>1.0885525328330206</v>
      </c>
      <c r="L10" s="87">
        <f t="shared" ref="L10:P10" si="1">IF(L7&lt;&gt;"",(K10*(1+L9)),"")</f>
        <v>1.1143512278611631</v>
      </c>
      <c r="M10" s="87">
        <f t="shared" si="1"/>
        <v>1.1407613519614728</v>
      </c>
      <c r="N10" s="87">
        <f t="shared" si="1"/>
        <v>1.1677973960029597</v>
      </c>
      <c r="O10" s="87">
        <f t="shared" si="1"/>
        <v>1.1954741942882299</v>
      </c>
      <c r="P10" s="87">
        <f t="shared" si="1"/>
        <v>1.2238069326928609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0"/>
      <c r="L11" s="130"/>
      <c r="M11" s="130"/>
      <c r="N11" s="130"/>
      <c r="O11" s="130"/>
      <c r="P11" s="130"/>
    </row>
    <row r="12" spans="1:20" ht="11.25" customHeight="1">
      <c r="A12" s="11"/>
      <c r="B12" s="11"/>
      <c r="C12" s="80"/>
      <c r="D12" s="78"/>
      <c r="E12" s="78"/>
      <c r="F12" s="78"/>
      <c r="G12" s="126"/>
      <c r="H12" s="126"/>
      <c r="I12" s="126"/>
      <c r="J12" s="126"/>
      <c r="K12" s="24"/>
      <c r="L12" s="24"/>
      <c r="M12" s="24"/>
    </row>
    <row r="13" spans="1:20" ht="11.25" customHeight="1">
      <c r="A13" s="11"/>
      <c r="B13" s="11"/>
      <c r="C13" s="80" t="s">
        <v>82</v>
      </c>
      <c r="D13" s="78" t="s">
        <v>48</v>
      </c>
      <c r="E13" s="78" t="s">
        <v>50</v>
      </c>
      <c r="F13" s="78"/>
      <c r="G13" s="158">
        <v>1.6885553470919357E-2</v>
      </c>
      <c r="H13" s="158">
        <v>1.4760147601476037E-2</v>
      </c>
      <c r="I13" s="158">
        <v>1.9090909090909047E-2</v>
      </c>
      <c r="J13" s="158">
        <v>1.7841213202497874E-2</v>
      </c>
      <c r="K13" s="158">
        <v>1.84049079754602E-2</v>
      </c>
      <c r="L13" s="126"/>
      <c r="M13" s="126"/>
      <c r="N13" s="126"/>
      <c r="O13" s="126"/>
      <c r="P13" s="126"/>
    </row>
    <row r="14" spans="1:20" ht="11.25" customHeight="1">
      <c r="A14" s="11"/>
      <c r="B14" s="11"/>
      <c r="C14" s="80" t="s">
        <v>83</v>
      </c>
      <c r="D14" s="78" t="s">
        <v>48</v>
      </c>
      <c r="E14" s="78" t="s">
        <v>50</v>
      </c>
      <c r="F14" s="78"/>
      <c r="G14" s="86"/>
      <c r="H14" s="86"/>
      <c r="I14" s="86"/>
      <c r="J14" s="86"/>
      <c r="K14" s="86"/>
      <c r="L14" s="158">
        <v>2.2739900899011012E-2</v>
      </c>
      <c r="M14" s="142">
        <f t="shared" ref="M14:P14" si="2">L14</f>
        <v>2.2739900899011012E-2</v>
      </c>
      <c r="N14" s="142">
        <f t="shared" si="2"/>
        <v>2.2739900899011012E-2</v>
      </c>
      <c r="O14" s="142">
        <f t="shared" si="2"/>
        <v>2.2739900899011012E-2</v>
      </c>
      <c r="P14" s="142">
        <f t="shared" si="2"/>
        <v>2.2739900899011012E-2</v>
      </c>
    </row>
    <row r="15" spans="1:20" ht="11.25" customHeight="1">
      <c r="A15" s="11"/>
      <c r="B15" s="11"/>
      <c r="C15" s="139" t="str">
        <f>"CPI Index (base year "&amp;F7&amp;")"</f>
        <v>CPI Index (base year 2014–15)</v>
      </c>
      <c r="D15" s="78" t="s">
        <v>48</v>
      </c>
      <c r="E15" s="78" t="s">
        <v>29</v>
      </c>
      <c r="F15" s="137">
        <v>1</v>
      </c>
      <c r="G15" s="122">
        <f>IF(G7&lt;&gt;"",(F15*(1+G13)),"")</f>
        <v>1.0168855534709194</v>
      </c>
      <c r="H15" s="122">
        <f>IF(H7&lt;&gt;"",(G15*(1+H13)),"")</f>
        <v>1.0318949343339587</v>
      </c>
      <c r="I15" s="122">
        <f>IF(I7&lt;&gt;"",(H15*(1+I13)),"")</f>
        <v>1.0515947467166979</v>
      </c>
      <c r="J15" s="122">
        <f>IF(J7&lt;&gt;"",(I15*(1+J13)),"")</f>
        <v>1.0703564727954973</v>
      </c>
      <c r="K15" s="87">
        <f>IF(K7&lt;&gt;"",(J15*(1+K13)),"")</f>
        <v>1.0900562851782367</v>
      </c>
      <c r="L15" s="87">
        <f t="shared" ref="L15:P15" si="3">IF(L7&lt;&gt;"",(K15*(1+L14)),"")</f>
        <v>1.114844057077534</v>
      </c>
      <c r="M15" s="87">
        <f t="shared" si="3"/>
        <v>1.1401955004533284</v>
      </c>
      <c r="N15" s="87">
        <f t="shared" si="3"/>
        <v>1.1661234331391352</v>
      </c>
      <c r="O15" s="87">
        <f t="shared" si="3"/>
        <v>1.1926409644447338</v>
      </c>
      <c r="P15" s="87">
        <f t="shared" si="3"/>
        <v>1.219761501784308</v>
      </c>
    </row>
    <row r="16" spans="1:20" s="128" customFormat="1" ht="11.25" customHeight="1">
      <c r="A16" s="2"/>
      <c r="B16" s="2"/>
      <c r="C16" s="80"/>
      <c r="D16" s="127"/>
      <c r="E16" s="127"/>
      <c r="F16" s="127"/>
      <c r="G16" s="86"/>
      <c r="H16" s="86"/>
      <c r="I16" s="86"/>
      <c r="J16" s="86"/>
      <c r="K16" s="131"/>
      <c r="L16" s="131"/>
      <c r="M16" s="131"/>
      <c r="N16" s="131"/>
      <c r="O16" s="131"/>
      <c r="P16" s="131"/>
    </row>
    <row r="17" spans="1:16" s="81" customFormat="1" ht="12.75" customHeight="1">
      <c r="C17" s="29" t="s">
        <v>68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51</v>
      </c>
      <c r="F19" s="79"/>
      <c r="G19" s="170" t="str">
        <f>G7</f>
        <v>2015–16</v>
      </c>
      <c r="H19" s="170" t="str">
        <f t="shared" ref="H19:P19" si="4">H7</f>
        <v>2016–17</v>
      </c>
      <c r="I19" s="170" t="str">
        <f t="shared" si="4"/>
        <v>2017–18</v>
      </c>
      <c r="J19" s="170" t="str">
        <f t="shared" si="4"/>
        <v>2018–19</v>
      </c>
      <c r="K19" s="170" t="str">
        <f t="shared" si="4"/>
        <v>2019–20</v>
      </c>
      <c r="L19" s="170" t="str">
        <f t="shared" si="4"/>
        <v>2020-21</v>
      </c>
      <c r="M19" s="170" t="str">
        <f t="shared" si="4"/>
        <v>2021–22</v>
      </c>
      <c r="N19" s="170" t="str">
        <f t="shared" si="4"/>
        <v>2022–23</v>
      </c>
      <c r="O19" s="170" t="str">
        <f t="shared" si="4"/>
        <v>2023–24</v>
      </c>
      <c r="P19" s="170" t="str">
        <f t="shared" si="4"/>
        <v>2024–25</v>
      </c>
    </row>
    <row r="20" spans="1:16" ht="11.25" customHeight="1">
      <c r="C20" s="80" t="s">
        <v>10</v>
      </c>
      <c r="D20" s="78" t="s">
        <v>48</v>
      </c>
      <c r="E20" s="78" t="s">
        <v>50</v>
      </c>
      <c r="F20" s="79"/>
      <c r="G20" s="158">
        <v>3.4223677885352854E-2</v>
      </c>
      <c r="H20" s="158">
        <v>3.4525892490292698E-2</v>
      </c>
      <c r="I20" s="158">
        <v>3.4583434536381352E-2</v>
      </c>
      <c r="J20" s="158">
        <v>3.4290771868183745E-2</v>
      </c>
      <c r="K20" s="158">
        <v>3.3975376840037708E-2</v>
      </c>
      <c r="L20" s="231"/>
      <c r="M20" s="231"/>
      <c r="N20" s="231"/>
      <c r="O20" s="231"/>
      <c r="P20" s="231"/>
    </row>
    <row r="21" spans="1:16" ht="11.25" customHeight="1">
      <c r="C21" s="152" t="s">
        <v>96</v>
      </c>
      <c r="D21" s="78" t="s">
        <v>48</v>
      </c>
      <c r="E21" s="78" t="s">
        <v>50</v>
      </c>
      <c r="F21" s="79"/>
      <c r="G21" s="79"/>
      <c r="H21" s="79"/>
      <c r="I21" s="79"/>
      <c r="J21" s="79"/>
      <c r="K21" s="79"/>
      <c r="L21" s="158">
        <v>2.3998445239976629E-2</v>
      </c>
      <c r="M21" s="158">
        <v>2.2745496891311889E-2</v>
      </c>
      <c r="N21" s="158">
        <v>2.149254854264715E-2</v>
      </c>
      <c r="O21" s="158">
        <v>2.023960019398241E-2</v>
      </c>
      <c r="P21" s="158">
        <v>1.8986651845317538E-2</v>
      </c>
    </row>
    <row r="22" spans="1:16" ht="11.25" customHeight="1">
      <c r="C22" s="80" t="s">
        <v>69</v>
      </c>
      <c r="D22" s="78" t="s">
        <v>60</v>
      </c>
      <c r="E22" s="78" t="s">
        <v>50</v>
      </c>
      <c r="F22" s="79"/>
      <c r="G22" s="143">
        <f>IF(AND(G13&lt;&gt;"",G20&lt;&gt;""),((1+G20)*(1+G13)-1),"")</f>
        <v>5.1687117099176838E-2</v>
      </c>
      <c r="H22" s="143">
        <f>IF(AND(H13&lt;&gt;"",H20&lt;&gt;""),((1+H20)*(1+H13)-1),"")</f>
        <v>4.9795647360998174E-2</v>
      </c>
      <c r="I22" s="143">
        <f>IF(AND(I13&lt;&gt;"",I20&lt;&gt;""),((1+I20)*(1+I13)-1),"")</f>
        <v>5.4334572832075878E-2</v>
      </c>
      <c r="J22" s="143">
        <f>IF(AND(J13&lt;&gt;"",J20&lt;&gt;""),((1+J20)*(1+J13)-1),"")</f>
        <v>5.2743774042460112E-2</v>
      </c>
      <c r="K22" s="143">
        <f>IF(AND(K13&lt;&gt;"",K20&lt;&gt;""),((1+K20)*(1+K13)-1),"")</f>
        <v>5.3005598499670459E-2</v>
      </c>
      <c r="L22" s="143">
        <f>IF(AND(L14&lt;&gt;"",L21&lt;&gt;""),((1+L21)*(1+L14)-1),"")</f>
        <v>4.7284068405474944E-2</v>
      </c>
      <c r="M22" s="143">
        <f t="shared" ref="M22:P22" si="5">IF(AND(M14&lt;&gt;"",M21&lt;&gt;""),((1+M21)*(1+M14)-1),"")</f>
        <v>4.6002628135530133E-2</v>
      </c>
      <c r="N22" s="143">
        <f t="shared" si="5"/>
        <v>4.4721187865585099E-2</v>
      </c>
      <c r="O22" s="143">
        <f t="shared" si="5"/>
        <v>4.3439747595640288E-2</v>
      </c>
      <c r="P22" s="143">
        <f t="shared" si="5"/>
        <v>4.2158307325695032E-2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33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D489-D4AE-42A3-909F-22C5606998FB}">
  <sheetPr>
    <tabColor rgb="FFFFFF99"/>
  </sheetPr>
  <dimension ref="A1:L17"/>
  <sheetViews>
    <sheetView workbookViewId="0"/>
  </sheetViews>
  <sheetFormatPr defaultRowHeight="15"/>
  <cols>
    <col min="1" max="1" width="2.42578125" customWidth="1"/>
    <col min="2" max="2" width="15.5703125" customWidth="1"/>
    <col min="3" max="3" width="30" bestFit="1" customWidth="1"/>
    <col min="9" max="9" width="10" bestFit="1" customWidth="1"/>
    <col min="10" max="10" width="3.7109375" customWidth="1"/>
  </cols>
  <sheetData>
    <row r="1" spans="1:12">
      <c r="A1" s="79"/>
      <c r="B1" s="79" t="s">
        <v>104</v>
      </c>
      <c r="C1" s="79" t="s">
        <v>125</v>
      </c>
      <c r="D1" s="79"/>
      <c r="E1" s="79"/>
      <c r="F1" s="79"/>
      <c r="G1" s="79"/>
      <c r="H1" s="79"/>
      <c r="I1" s="79"/>
      <c r="J1" s="79"/>
      <c r="K1" s="79"/>
      <c r="L1" s="79"/>
    </row>
    <row r="2" spans="1:12">
      <c r="A2" s="79"/>
      <c r="B2" s="79"/>
      <c r="C2" s="79" t="s">
        <v>140</v>
      </c>
      <c r="D2" s="79"/>
      <c r="E2" s="79"/>
      <c r="F2" s="79"/>
      <c r="G2" s="79"/>
      <c r="H2" s="79"/>
      <c r="I2" s="79"/>
      <c r="J2" s="79"/>
      <c r="K2" s="79"/>
      <c r="L2" s="79"/>
    </row>
    <row r="3" spans="1:12">
      <c r="A3" s="79"/>
      <c r="B3" s="79"/>
      <c r="C3" s="79" t="s">
        <v>105</v>
      </c>
      <c r="D3" s="79" t="s">
        <v>106</v>
      </c>
      <c r="E3" s="79"/>
      <c r="F3" s="79"/>
      <c r="G3" s="79"/>
      <c r="H3" s="79"/>
      <c r="I3" s="79"/>
      <c r="J3" s="79"/>
      <c r="K3" s="79"/>
      <c r="L3" s="79"/>
    </row>
    <row r="4" spans="1:1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>
      <c r="A5" s="8"/>
      <c r="B5" s="74" t="s">
        <v>40</v>
      </c>
      <c r="C5" s="8"/>
      <c r="D5" s="18"/>
      <c r="E5" s="18"/>
      <c r="F5" s="18"/>
      <c r="G5" s="18"/>
      <c r="H5" s="8"/>
      <c r="I5" s="8"/>
      <c r="J5" s="8"/>
      <c r="K5" s="8"/>
      <c r="L5" s="8"/>
    </row>
    <row r="6" spans="1:12" ht="33.75">
      <c r="A6" s="11"/>
      <c r="B6" s="187"/>
      <c r="C6" s="11"/>
      <c r="D6" s="16"/>
      <c r="E6" s="16"/>
      <c r="F6" s="16"/>
      <c r="G6" s="78"/>
      <c r="H6" s="78" t="s">
        <v>121</v>
      </c>
      <c r="I6" s="255" t="str">
        <f>"Actual "&amp;'Input | General'!$D$6</f>
        <v>Actual Ergon Energy</v>
      </c>
      <c r="J6" s="79"/>
      <c r="K6" s="78" t="s">
        <v>103</v>
      </c>
      <c r="L6" s="79"/>
    </row>
    <row r="7" spans="1:12">
      <c r="A7" s="11"/>
      <c r="B7" s="187"/>
      <c r="C7" s="68"/>
      <c r="D7" s="188" t="s">
        <v>6</v>
      </c>
      <c r="E7" s="188" t="s">
        <v>51</v>
      </c>
      <c r="F7" s="188" t="s">
        <v>4</v>
      </c>
      <c r="G7" s="189"/>
      <c r="H7" s="190" t="s">
        <v>102</v>
      </c>
      <c r="I7" s="190" t="s">
        <v>102</v>
      </c>
      <c r="J7" s="79"/>
      <c r="K7" s="190" t="s">
        <v>102</v>
      </c>
      <c r="L7" s="79"/>
    </row>
    <row r="8" spans="1:12">
      <c r="A8" s="11"/>
      <c r="B8" s="187"/>
      <c r="C8" s="68"/>
      <c r="D8" s="68"/>
      <c r="E8" s="68"/>
      <c r="F8" s="68"/>
      <c r="G8" s="68"/>
      <c r="H8" s="68"/>
      <c r="I8" s="68"/>
      <c r="J8" s="79"/>
      <c r="K8" s="79"/>
      <c r="L8" s="79"/>
    </row>
    <row r="9" spans="1:12">
      <c r="A9" s="11"/>
      <c r="B9" s="187"/>
      <c r="C9" s="191" t="s">
        <v>77</v>
      </c>
      <c r="D9" s="78"/>
      <c r="E9" s="78" t="s">
        <v>49</v>
      </c>
      <c r="F9" s="78" t="s">
        <v>52</v>
      </c>
      <c r="G9" s="68"/>
      <c r="H9" s="159">
        <v>610.58480582840298</v>
      </c>
      <c r="I9" s="159">
        <v>618.13974399999995</v>
      </c>
      <c r="J9" s="79"/>
      <c r="K9" s="234">
        <f>I9-H9</f>
        <v>7.554938171596973</v>
      </c>
      <c r="L9" s="79"/>
    </row>
    <row r="10" spans="1:12">
      <c r="A10" s="11"/>
      <c r="B10" s="187"/>
      <c r="C10" s="191" t="s">
        <v>98</v>
      </c>
      <c r="D10" s="78"/>
      <c r="E10" s="78" t="s">
        <v>49</v>
      </c>
      <c r="F10" s="78" t="s">
        <v>52</v>
      </c>
      <c r="G10" s="192"/>
      <c r="H10" s="159">
        <v>71.36591700000001</v>
      </c>
      <c r="I10" s="159">
        <v>71.36591700000001</v>
      </c>
      <c r="J10" s="79"/>
      <c r="K10" s="234">
        <f t="shared" ref="K10:K12" si="0">I10-H10</f>
        <v>0</v>
      </c>
      <c r="L10" s="79"/>
    </row>
    <row r="11" spans="1:12">
      <c r="A11" s="11"/>
      <c r="B11" s="187"/>
      <c r="C11" s="193" t="s">
        <v>92</v>
      </c>
      <c r="D11" s="78"/>
      <c r="E11" s="78" t="s">
        <v>49</v>
      </c>
      <c r="F11" s="78" t="s">
        <v>52</v>
      </c>
      <c r="G11" s="192"/>
      <c r="H11" s="159">
        <v>1.154325</v>
      </c>
      <c r="I11" s="159">
        <v>1.154325</v>
      </c>
      <c r="J11" s="79"/>
      <c r="K11" s="234">
        <f t="shared" si="0"/>
        <v>0</v>
      </c>
      <c r="L11" s="79"/>
    </row>
    <row r="12" spans="1:12">
      <c r="A12" s="11"/>
      <c r="B12" s="187"/>
      <c r="C12" s="194" t="s">
        <v>97</v>
      </c>
      <c r="D12" s="78"/>
      <c r="E12" s="78" t="s">
        <v>49</v>
      </c>
      <c r="F12" s="78" t="s">
        <v>52</v>
      </c>
      <c r="G12" s="68"/>
      <c r="H12" s="159"/>
      <c r="I12" s="159">
        <v>49.001989464315102</v>
      </c>
      <c r="J12" s="79"/>
      <c r="K12" s="234">
        <f t="shared" si="0"/>
        <v>49.001989464315102</v>
      </c>
      <c r="L12" s="79"/>
    </row>
    <row r="13" spans="1:12">
      <c r="A13" s="11"/>
      <c r="B13" s="187"/>
      <c r="C13" s="68"/>
      <c r="D13" s="68"/>
      <c r="E13" s="68"/>
      <c r="F13" s="68"/>
      <c r="G13" s="68"/>
      <c r="H13" s="67"/>
      <c r="I13" s="67"/>
      <c r="J13" s="79"/>
      <c r="K13" s="67"/>
      <c r="L13" s="79"/>
    </row>
    <row r="14" spans="1:12">
      <c r="A14" s="11"/>
      <c r="B14" s="187"/>
      <c r="C14" s="195" t="s">
        <v>76</v>
      </c>
      <c r="D14" s="196" t="s">
        <v>60</v>
      </c>
      <c r="E14" s="197" t="s">
        <v>49</v>
      </c>
      <c r="F14" s="197" t="s">
        <v>52</v>
      </c>
      <c r="G14" s="68"/>
      <c r="H14" s="66">
        <f>IF(H7="", "", H9-H10-H11-H12)</f>
        <v>538.06456382840304</v>
      </c>
      <c r="I14" s="66">
        <f t="shared" ref="I14:K14" si="1">IF(I7="", "", I9-I10-I11-I12)</f>
        <v>496.61751253568491</v>
      </c>
      <c r="J14" s="79"/>
      <c r="K14" s="66">
        <f t="shared" si="1"/>
        <v>-41.447051292718129</v>
      </c>
      <c r="L14" s="79"/>
    </row>
    <row r="15" spans="1:12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2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>
      <c r="A17" s="8"/>
      <c r="B17" s="74" t="s">
        <v>33</v>
      </c>
      <c r="C17" s="8"/>
      <c r="D17" s="18"/>
      <c r="E17" s="18"/>
      <c r="F17" s="18"/>
      <c r="G17" s="18"/>
      <c r="H17" s="8"/>
      <c r="I17" s="8"/>
      <c r="J17" s="8"/>
      <c r="K17" s="8"/>
      <c r="L17" s="8"/>
    </row>
  </sheetData>
  <conditionalFormatting sqref="H9:I12">
    <cfRule type="expression" dxfId="8" priority="4">
      <formula>IF($H$6&lt;&gt;"","FALSE","TRUE")</formula>
    </cfRule>
  </conditionalFormatting>
  <conditionalFormatting sqref="K9:K12">
    <cfRule type="expression" dxfId="7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687C-C686-4793-8F87-28B473B7970F}">
  <sheetPr>
    <tabColor rgb="FFFFFF99"/>
  </sheetPr>
  <dimension ref="A1:M17"/>
  <sheetViews>
    <sheetView workbookViewId="0">
      <selection activeCell="P16" sqref="P16"/>
    </sheetView>
  </sheetViews>
  <sheetFormatPr defaultRowHeight="15"/>
  <cols>
    <col min="1" max="1" width="2.42578125" customWidth="1"/>
    <col min="2" max="2" width="15.5703125" customWidth="1"/>
    <col min="3" max="3" width="30" bestFit="1" customWidth="1"/>
    <col min="10" max="10" width="3.7109375" customWidth="1"/>
    <col min="13" max="13" width="24" customWidth="1"/>
  </cols>
  <sheetData>
    <row r="1" spans="1:13">
      <c r="A1" s="79"/>
      <c r="B1" s="79" t="s">
        <v>104</v>
      </c>
      <c r="C1" s="239" t="s">
        <v>131</v>
      </c>
      <c r="D1" s="239"/>
      <c r="E1" s="239"/>
      <c r="F1" s="239"/>
      <c r="G1" s="239"/>
      <c r="H1" s="239"/>
      <c r="I1" s="239"/>
      <c r="J1" s="79"/>
      <c r="K1" s="79"/>
      <c r="L1" s="79"/>
      <c r="M1" s="237" t="s">
        <v>142</v>
      </c>
    </row>
    <row r="2" spans="1:13">
      <c r="A2" s="79"/>
      <c r="B2" s="79"/>
      <c r="C2" s="239" t="s">
        <v>141</v>
      </c>
      <c r="D2" s="239"/>
      <c r="E2" s="239"/>
      <c r="F2" s="239"/>
      <c r="G2" s="239"/>
      <c r="H2" s="239"/>
      <c r="I2" s="239"/>
      <c r="J2" s="79"/>
      <c r="K2" s="79"/>
      <c r="L2" s="79"/>
    </row>
    <row r="3" spans="1:13">
      <c r="A3" s="79"/>
      <c r="B3" s="79"/>
      <c r="C3" s="239" t="s">
        <v>105</v>
      </c>
      <c r="D3" s="239" t="s">
        <v>106</v>
      </c>
      <c r="E3" s="239"/>
      <c r="F3" s="239"/>
      <c r="G3" s="239"/>
      <c r="H3" s="239"/>
      <c r="I3" s="239"/>
      <c r="J3" s="79"/>
      <c r="K3" s="79"/>
      <c r="L3" s="79"/>
    </row>
    <row r="4" spans="1:1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3">
      <c r="A5" s="8"/>
      <c r="B5" s="74" t="s">
        <v>40</v>
      </c>
      <c r="C5" s="8"/>
      <c r="D5" s="18"/>
      <c r="E5" s="18"/>
      <c r="F5" s="18"/>
      <c r="G5" s="18"/>
      <c r="H5" s="8"/>
      <c r="I5" s="8"/>
      <c r="J5" s="8"/>
      <c r="K5" s="8"/>
      <c r="L5" s="8"/>
    </row>
    <row r="6" spans="1:13">
      <c r="A6" s="11"/>
      <c r="B6" s="187"/>
      <c r="C6" s="11"/>
      <c r="D6" s="16"/>
      <c r="E6" s="16"/>
      <c r="F6" s="16"/>
      <c r="G6" s="78"/>
      <c r="H6" s="78" t="s">
        <v>121</v>
      </c>
      <c r="I6" s="78" t="str">
        <f>"Actual "&amp;'Input | General'!$D$6</f>
        <v>Actual Ergon Energy</v>
      </c>
      <c r="J6" s="79"/>
      <c r="K6" s="78" t="s">
        <v>103</v>
      </c>
      <c r="L6" s="79"/>
    </row>
    <row r="7" spans="1:13">
      <c r="A7" s="11"/>
      <c r="B7" s="187"/>
      <c r="C7" s="68"/>
      <c r="D7" s="188" t="s">
        <v>6</v>
      </c>
      <c r="E7" s="188" t="s">
        <v>51</v>
      </c>
      <c r="F7" s="188" t="s">
        <v>4</v>
      </c>
      <c r="G7" s="189"/>
      <c r="H7" s="190" t="s">
        <v>132</v>
      </c>
      <c r="I7" s="190" t="s">
        <v>132</v>
      </c>
      <c r="J7" s="79"/>
      <c r="K7" s="190" t="s">
        <v>132</v>
      </c>
      <c r="L7" s="79"/>
    </row>
    <row r="8" spans="1:13">
      <c r="A8" s="11"/>
      <c r="B8" s="187"/>
      <c r="C8" s="68"/>
      <c r="D8" s="68"/>
      <c r="E8" s="68"/>
      <c r="F8" s="68"/>
      <c r="G8" s="68"/>
      <c r="H8" s="68"/>
      <c r="I8" s="68"/>
      <c r="J8" s="79"/>
      <c r="K8" s="79"/>
      <c r="L8" s="79"/>
    </row>
    <row r="9" spans="1:13">
      <c r="A9" s="11"/>
      <c r="B9" s="187"/>
      <c r="C9" s="191" t="s">
        <v>77</v>
      </c>
      <c r="D9" s="78"/>
      <c r="E9" s="78" t="s">
        <v>49</v>
      </c>
      <c r="F9" s="78" t="s">
        <v>52</v>
      </c>
      <c r="G9" s="68"/>
      <c r="H9" s="159">
        <v>587.97760116700772</v>
      </c>
      <c r="I9" s="159">
        <v>829.09332699999993</v>
      </c>
      <c r="J9" s="79"/>
      <c r="K9" s="238">
        <f>I9-H9</f>
        <v>241.11572583299221</v>
      </c>
      <c r="L9" s="79"/>
    </row>
    <row r="10" spans="1:13">
      <c r="A10" s="11"/>
      <c r="B10" s="187"/>
      <c r="C10" s="191" t="s">
        <v>98</v>
      </c>
      <c r="D10" s="78"/>
      <c r="E10" s="78" t="s">
        <v>49</v>
      </c>
      <c r="F10" s="78" t="s">
        <v>52</v>
      </c>
      <c r="G10" s="192"/>
      <c r="H10" s="159">
        <v>47.735027780554276</v>
      </c>
      <c r="I10" s="159">
        <v>104.35216199999999</v>
      </c>
      <c r="J10" s="79"/>
      <c r="K10" s="238">
        <f t="shared" ref="K10:K12" si="0">I10-H10</f>
        <v>56.617134219445717</v>
      </c>
      <c r="L10" s="79"/>
    </row>
    <row r="11" spans="1:13">
      <c r="A11" s="11"/>
      <c r="B11" s="187"/>
      <c r="C11" s="193" t="s">
        <v>92</v>
      </c>
      <c r="D11" s="78"/>
      <c r="E11" s="78" t="s">
        <v>49</v>
      </c>
      <c r="F11" s="78" t="s">
        <v>52</v>
      </c>
      <c r="G11" s="192"/>
      <c r="H11" s="159">
        <v>3.83</v>
      </c>
      <c r="I11" s="159">
        <v>1.5815919999999999</v>
      </c>
      <c r="J11" s="79"/>
      <c r="K11" s="238">
        <f t="shared" si="0"/>
        <v>-2.2484080000000004</v>
      </c>
      <c r="L11" s="79"/>
    </row>
    <row r="12" spans="1:13">
      <c r="A12" s="11"/>
      <c r="B12" s="187"/>
      <c r="C12" s="194" t="s">
        <v>97</v>
      </c>
      <c r="D12" s="78"/>
      <c r="E12" s="78" t="s">
        <v>49</v>
      </c>
      <c r="F12" s="78" t="s">
        <v>52</v>
      </c>
      <c r="G12" s="68"/>
      <c r="H12" s="159"/>
      <c r="I12" s="159">
        <v>97.137209840726086</v>
      </c>
      <c r="J12" s="79"/>
      <c r="K12" s="238">
        <f t="shared" si="0"/>
        <v>97.137209840726086</v>
      </c>
      <c r="L12" s="79"/>
    </row>
    <row r="13" spans="1:13">
      <c r="A13" s="11"/>
      <c r="B13" s="187"/>
      <c r="C13" s="68"/>
      <c r="D13" s="68"/>
      <c r="E13" s="68"/>
      <c r="F13" s="68"/>
      <c r="G13" s="68"/>
      <c r="H13" s="67"/>
      <c r="I13" s="67"/>
      <c r="J13" s="79"/>
      <c r="K13" s="67"/>
      <c r="L13" s="79"/>
    </row>
    <row r="14" spans="1:13">
      <c r="A14" s="11"/>
      <c r="B14" s="187"/>
      <c r="C14" s="195" t="s">
        <v>76</v>
      </c>
      <c r="D14" s="196" t="s">
        <v>60</v>
      </c>
      <c r="E14" s="197" t="s">
        <v>49</v>
      </c>
      <c r="F14" s="197" t="s">
        <v>52</v>
      </c>
      <c r="G14" s="68"/>
      <c r="H14" s="66">
        <f>IF(H7="", "", H9-H10-H11-H12)</f>
        <v>536.41257338645335</v>
      </c>
      <c r="I14" s="66">
        <f t="shared" ref="I14:K14" si="1">IF(I7="", "", I9-I10-I11-I12)</f>
        <v>626.02236315927382</v>
      </c>
      <c r="J14" s="79"/>
      <c r="K14" s="66">
        <f t="shared" si="1"/>
        <v>89.60978977282042</v>
      </c>
      <c r="L14" s="79"/>
    </row>
    <row r="15" spans="1:13">
      <c r="A15" s="79"/>
      <c r="B15" s="79"/>
      <c r="C15" s="79"/>
      <c r="D15" s="79"/>
      <c r="E15" s="79"/>
      <c r="F15" s="79"/>
      <c r="G15" s="79"/>
      <c r="H15" s="79"/>
      <c r="I15" s="254"/>
      <c r="J15" s="79"/>
      <c r="K15" s="79"/>
      <c r="L15" s="79"/>
    </row>
    <row r="16" spans="1:13">
      <c r="A16" s="79"/>
      <c r="B16" s="79"/>
      <c r="C16" s="79"/>
      <c r="D16" s="79"/>
      <c r="E16" s="79"/>
      <c r="F16" s="79"/>
      <c r="G16" s="79"/>
      <c r="H16" s="79"/>
      <c r="I16" s="254"/>
      <c r="J16" s="79"/>
      <c r="K16" s="79"/>
      <c r="L16" s="79"/>
    </row>
    <row r="17" spans="1:12">
      <c r="A17" s="8"/>
      <c r="B17" s="74" t="s">
        <v>33</v>
      </c>
      <c r="C17" s="8"/>
      <c r="D17" s="18"/>
      <c r="E17" s="18"/>
      <c r="F17" s="18"/>
      <c r="G17" s="18"/>
      <c r="H17" s="8"/>
      <c r="I17" s="8"/>
      <c r="J17" s="8"/>
      <c r="K17" s="8"/>
      <c r="L17" s="8"/>
    </row>
  </sheetData>
  <conditionalFormatting sqref="H9:I12">
    <cfRule type="expression" dxfId="6" priority="4">
      <formula>IF($H$6&lt;&gt;"","FALSE","TRUE")</formula>
    </cfRule>
  </conditionalFormatting>
  <conditionalFormatting sqref="K9:K12">
    <cfRule type="expression" dxfId="5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8"/>
  <sheetViews>
    <sheetView workbookViewId="0"/>
  </sheetViews>
  <sheetFormatPr defaultColWidth="0" defaultRowHeight="18" customHeight="1" zeroHeight="1"/>
  <cols>
    <col min="1" max="2" width="1.28515625" style="11" customWidth="1"/>
    <col min="3" max="3" width="49.7109375" style="16" customWidth="1"/>
    <col min="4" max="4" width="23.7109375" style="16" customWidth="1"/>
    <col min="5" max="5" width="13.42578125" style="16" customWidth="1"/>
    <col min="6" max="6" width="9.28515625" style="16" customWidth="1"/>
    <col min="7" max="7" width="2.7109375" style="16" customWidth="1"/>
    <col min="8" max="12" width="13.7109375" style="11" bestFit="1" customWidth="1"/>
    <col min="13" max="14" width="2.71093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Ergon Energy 2020-25 2018-20 True-up - Capital expenditure sharing scheme model</v>
      </c>
      <c r="D1" s="12"/>
      <c r="E1" s="12"/>
      <c r="F1" s="12"/>
      <c r="G1" s="12"/>
      <c r="H1" s="104"/>
      <c r="I1" s="105" t="s">
        <v>46</v>
      </c>
      <c r="J1" s="156" t="s">
        <v>47</v>
      </c>
      <c r="K1" s="161" t="s">
        <v>35</v>
      </c>
      <c r="L1" s="237" t="s">
        <v>142</v>
      </c>
    </row>
    <row r="2" spans="2:14" ht="18" customHeight="1">
      <c r="B2" s="13" t="s">
        <v>36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39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51</v>
      </c>
      <c r="F6" s="75" t="s">
        <v>4</v>
      </c>
      <c r="G6" s="64"/>
      <c r="H6" s="172" t="str">
        <f>IF('Input | General'!D14="Yes",'Input | General'!D13,"n/a")</f>
        <v>2015–16</v>
      </c>
      <c r="I6" s="172" t="str">
        <f>IF('Input | General'!E14="Yes",'Input | General'!E13,"n/a")</f>
        <v>2016–17</v>
      </c>
      <c r="J6" s="172" t="str">
        <f>IF('Input | General'!F14="Yes",'Input | General'!F13,"n/a")</f>
        <v>2017–18</v>
      </c>
      <c r="K6" s="172" t="str">
        <f>IF('Input | General'!G14="Yes",'Input | General'!G13,"n/a")</f>
        <v>2018–19</v>
      </c>
      <c r="L6" s="172" t="str">
        <f>IF('Input | General'!H14="Yes",'Input | General'!H13,"n/a")</f>
        <v>2019–20</v>
      </c>
      <c r="M6" s="107"/>
      <c r="N6" s="107"/>
    </row>
    <row r="7" spans="2:14" s="68" customFormat="1" ht="10.5" customHeight="1">
      <c r="M7" s="107"/>
      <c r="N7" s="107"/>
    </row>
    <row r="8" spans="2:14" ht="10.5" customHeight="1">
      <c r="C8" s="80" t="s">
        <v>3</v>
      </c>
      <c r="D8" s="78" t="s">
        <v>48</v>
      </c>
      <c r="E8" s="78" t="s">
        <v>49</v>
      </c>
      <c r="F8" s="175" t="str">
        <f>'Input | Inflation and Disc Rate'!$F$7</f>
        <v>2014–15</v>
      </c>
      <c r="G8" s="68"/>
      <c r="H8" s="159">
        <v>696.62820898912275</v>
      </c>
      <c r="I8" s="159">
        <v>632.20989699665256</v>
      </c>
      <c r="J8" s="159">
        <v>585.59690832026251</v>
      </c>
      <c r="K8" s="159">
        <v>555.4274800165897</v>
      </c>
      <c r="L8" s="159">
        <v>547.06765487603479</v>
      </c>
      <c r="M8" s="2"/>
      <c r="N8" s="2"/>
    </row>
    <row r="9" spans="2:14" ht="10.5" customHeight="1">
      <c r="C9" s="80" t="s">
        <v>98</v>
      </c>
      <c r="D9" s="78" t="s">
        <v>48</v>
      </c>
      <c r="E9" s="78" t="s">
        <v>49</v>
      </c>
      <c r="F9" s="175" t="str">
        <f>'Input | Inflation and Disc Rate'!$F$7</f>
        <v>2014–15</v>
      </c>
      <c r="G9" s="68"/>
      <c r="H9" s="159">
        <v>29.619999999999994</v>
      </c>
      <c r="I9" s="159">
        <v>30.81</v>
      </c>
      <c r="J9" s="159">
        <v>32.030000000000008</v>
      </c>
      <c r="K9" s="159">
        <v>32.819999999999993</v>
      </c>
      <c r="L9" s="159">
        <v>33.519999999999996</v>
      </c>
      <c r="M9" s="2"/>
      <c r="N9" s="2"/>
    </row>
    <row r="10" spans="2:14" ht="10.5" customHeight="1">
      <c r="C10" s="80" t="s">
        <v>92</v>
      </c>
      <c r="D10" s="78" t="s">
        <v>48</v>
      </c>
      <c r="E10" s="78" t="s">
        <v>49</v>
      </c>
      <c r="F10" s="175" t="str">
        <f>'Input | Inflation and Disc Rate'!$F$7</f>
        <v>2014–15</v>
      </c>
      <c r="G10" s="68"/>
      <c r="H10" s="159">
        <v>7</v>
      </c>
      <c r="I10" s="159">
        <v>7</v>
      </c>
      <c r="J10" s="159">
        <v>7</v>
      </c>
      <c r="K10" s="159">
        <v>15.75</v>
      </c>
      <c r="L10" s="159">
        <v>16.689999999999998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7"/>
      <c r="N11" s="107"/>
    </row>
    <row r="12" spans="2:14" ht="10.5" customHeight="1">
      <c r="C12" s="77" t="s">
        <v>5</v>
      </c>
      <c r="D12" s="76" t="s">
        <v>60</v>
      </c>
      <c r="E12" s="173" t="s">
        <v>49</v>
      </c>
      <c r="F12" s="174" t="str">
        <f>'Input | Inflation and Disc Rate'!$F$7</f>
        <v>2014–15</v>
      </c>
      <c r="G12" s="68"/>
      <c r="H12" s="66">
        <f>IF(H6="", "", H8-H9-H10)</f>
        <v>660.00820898912275</v>
      </c>
      <c r="I12" s="66">
        <f t="shared" ref="I12:L12" si="0">IF(I6="", "", I8-I9-I10)</f>
        <v>594.39989699665261</v>
      </c>
      <c r="J12" s="66">
        <f t="shared" si="0"/>
        <v>546.56690832026254</v>
      </c>
      <c r="K12" s="66">
        <f t="shared" si="0"/>
        <v>506.85748001658976</v>
      </c>
      <c r="L12" s="66">
        <f t="shared" si="0"/>
        <v>496.85765487603481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40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51</v>
      </c>
      <c r="F16" s="75" t="s">
        <v>4</v>
      </c>
      <c r="G16" s="64"/>
      <c r="H16" s="172" t="str">
        <f>H6</f>
        <v>2015–16</v>
      </c>
      <c r="I16" s="172" t="str">
        <f t="shared" ref="I16:L16" si="1">I6</f>
        <v>2016–17</v>
      </c>
      <c r="J16" s="172" t="str">
        <f t="shared" si="1"/>
        <v>2017–18</v>
      </c>
      <c r="K16" s="172" t="str">
        <f t="shared" si="1"/>
        <v>2018–19</v>
      </c>
      <c r="L16" s="172" t="str">
        <f t="shared" si="1"/>
        <v>2019–20</v>
      </c>
      <c r="M16" s="107"/>
      <c r="N16" s="107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240" t="s">
        <v>121</v>
      </c>
      <c r="L17" s="240" t="s">
        <v>121</v>
      </c>
      <c r="M17" s="233" t="s">
        <v>126</v>
      </c>
      <c r="N17" s="107"/>
    </row>
    <row r="18" spans="2:14" s="2" customFormat="1" ht="10.5" customHeight="1">
      <c r="B18" s="73"/>
      <c r="C18" s="80" t="s">
        <v>77</v>
      </c>
      <c r="D18" s="78" t="s">
        <v>48</v>
      </c>
      <c r="E18" s="78" t="s">
        <v>49</v>
      </c>
      <c r="F18" s="78" t="s">
        <v>52</v>
      </c>
      <c r="G18" s="68"/>
      <c r="H18" s="159">
        <v>636.24875315492409</v>
      </c>
      <c r="I18" s="159">
        <v>517.34486845620916</v>
      </c>
      <c r="J18" s="159">
        <v>532.46001055299405</v>
      </c>
      <c r="K18" s="159">
        <f>INDEX('FY19 Capex'!$H$9:$I$12,MATCH('Input | Reported Capex'!C18,'FY19 Capex'!$C$9:$C$12,0),MATCH('Input | Reported Capex'!$K$17,'FY19 Capex'!$H$6:$I$6,0))</f>
        <v>610.58480582840298</v>
      </c>
      <c r="L18" s="159">
        <f>INDEX('FY20 Capex'!$H$9:$I$12,MATCH('Input | Reported Capex'!C18,'FY20 Capex'!$C$9:$C$12,0),MATCH('Input | Reported Capex'!$L$17,'FY20 Capex'!$H$6:$I$6,0))</f>
        <v>587.97760116700772</v>
      </c>
    </row>
    <row r="19" spans="2:14" s="2" customFormat="1" ht="10.5" customHeight="1">
      <c r="B19" s="73"/>
      <c r="C19" s="80" t="s">
        <v>98</v>
      </c>
      <c r="D19" s="78" t="s">
        <v>48</v>
      </c>
      <c r="E19" s="78" t="s">
        <v>49</v>
      </c>
      <c r="F19" s="78" t="s">
        <v>52</v>
      </c>
      <c r="G19" s="141"/>
      <c r="H19" s="160">
        <v>25.621829000000002</v>
      </c>
      <c r="I19" s="159">
        <v>9.3205489499999992</v>
      </c>
      <c r="J19" s="159">
        <v>42.755462922527542</v>
      </c>
      <c r="K19" s="159">
        <f>INDEX('FY19 Capex'!$H$9:$I$12,MATCH('Input | Reported Capex'!C19,'FY19 Capex'!$C$9:$C$12,0),MATCH('Input | Reported Capex'!$K$17,'FY19 Capex'!$H$6:$I$6,0))</f>
        <v>71.36591700000001</v>
      </c>
      <c r="L19" s="159">
        <f>INDEX('FY20 Capex'!$H$9:$I$12,MATCH('Input | Reported Capex'!C19,'FY20 Capex'!$C$9:$C$12,0),MATCH('Input | Reported Capex'!$L$17,'FY20 Capex'!$H$6:$I$6,0))</f>
        <v>47.735027780554276</v>
      </c>
    </row>
    <row r="20" spans="2:14" s="2" customFormat="1" ht="10.5" customHeight="1">
      <c r="B20" s="73"/>
      <c r="C20" s="140" t="s">
        <v>92</v>
      </c>
      <c r="D20" s="78" t="s">
        <v>48</v>
      </c>
      <c r="E20" s="78" t="s">
        <v>49</v>
      </c>
      <c r="F20" s="78" t="s">
        <v>52</v>
      </c>
      <c r="G20" s="141"/>
      <c r="H20" s="160">
        <v>5.6313649999999997</v>
      </c>
      <c r="I20" s="159">
        <v>8.5529909999999987</v>
      </c>
      <c r="J20" s="159">
        <v>3.8312844199999998</v>
      </c>
      <c r="K20" s="159">
        <f>INDEX('FY19 Capex'!$H$9:$I$12,MATCH('Input | Reported Capex'!C20,'FY19 Capex'!$C$9:$C$12,0),MATCH('Input | Reported Capex'!$K$17,'FY19 Capex'!$H$6:$I$6,0))</f>
        <v>1.154325</v>
      </c>
      <c r="L20" s="159">
        <f>INDEX('FY20 Capex'!$H$9:$I$12,MATCH('Input | Reported Capex'!C20,'FY20 Capex'!$C$9:$C$12,0),MATCH('Input | Reported Capex'!$L$17,'FY20 Capex'!$H$6:$I$6,0))</f>
        <v>3.83</v>
      </c>
    </row>
    <row r="21" spans="2:14" s="2" customFormat="1" ht="10.5" customHeight="1">
      <c r="B21" s="73"/>
      <c r="C21" s="153" t="s">
        <v>97</v>
      </c>
      <c r="D21" s="78" t="s">
        <v>48</v>
      </c>
      <c r="E21" s="78" t="s">
        <v>49</v>
      </c>
      <c r="F21" s="78" t="s">
        <v>52</v>
      </c>
      <c r="G21" s="68"/>
      <c r="H21" s="160"/>
      <c r="I21" s="159"/>
      <c r="J21" s="159"/>
      <c r="K21" s="159">
        <f>INDEX('FY19 Capex'!$H$9:$I$12,MATCH('Input | Reported Capex'!C21,'FY19 Capex'!$C$9:$C$12,0),MATCH('Input | Reported Capex'!$K$17,'FY19 Capex'!$H$6:$I$6,0))</f>
        <v>0</v>
      </c>
      <c r="L21" s="159">
        <f>INDEX('FY20 Capex'!$H$9:$I$12,MATCH('Input | Reported Capex'!C21,'FY20 Capex'!$C$9:$C$12,0),MATCH('Input | Reported Capex'!$L$17,'FY20 Capex'!$H$6:$I$6,0))</f>
        <v>0</v>
      </c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7"/>
      <c r="N22" s="107"/>
    </row>
    <row r="23" spans="2:14" s="2" customFormat="1" ht="10.5" customHeight="1">
      <c r="B23" s="73"/>
      <c r="C23" s="77" t="s">
        <v>76</v>
      </c>
      <c r="D23" s="76" t="s">
        <v>60</v>
      </c>
      <c r="E23" s="176" t="s">
        <v>49</v>
      </c>
      <c r="F23" s="176" t="s">
        <v>52</v>
      </c>
      <c r="G23" s="68"/>
      <c r="H23" s="66">
        <f>IF(H16="", "", H18-H19-H20-H21)</f>
        <v>604.99555915492408</v>
      </c>
      <c r="I23" s="66">
        <f t="shared" ref="I23:L23" si="2">IF(I16="", "", I18-I19-I20-I21)</f>
        <v>499.47132850620915</v>
      </c>
      <c r="J23" s="66">
        <f t="shared" si="2"/>
        <v>485.87326321046652</v>
      </c>
      <c r="K23" s="66">
        <f t="shared" si="2"/>
        <v>538.06456382840304</v>
      </c>
      <c r="L23" s="66">
        <f t="shared" si="2"/>
        <v>536.41257338645335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41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2" t="str">
        <f>'Input | General'!D18</f>
        <v>2020-21</v>
      </c>
      <c r="I27" s="172" t="str">
        <f>'Input | General'!E18</f>
        <v>2021–22</v>
      </c>
      <c r="J27" s="172" t="str">
        <f>'Input | General'!F18</f>
        <v>2022–23</v>
      </c>
      <c r="K27" s="172" t="str">
        <f>'Input | General'!G18</f>
        <v>2023–24</v>
      </c>
      <c r="L27" s="172" t="str">
        <f>'Input | General'!H18</f>
        <v>2024–25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86</v>
      </c>
      <c r="D29" s="65" t="s">
        <v>127</v>
      </c>
      <c r="E29" s="78" t="s">
        <v>49</v>
      </c>
      <c r="F29" s="78" t="s">
        <v>52</v>
      </c>
      <c r="G29" s="68"/>
      <c r="H29" s="159">
        <v>19.401901055858673</v>
      </c>
      <c r="I29" s="159">
        <v>14.147878146201986</v>
      </c>
      <c r="J29" s="159">
        <v>18.08136445155192</v>
      </c>
      <c r="K29" s="159">
        <v>11.42598100329562</v>
      </c>
      <c r="L29" s="159">
        <v>0</v>
      </c>
      <c r="M29" s="2"/>
      <c r="N29" s="2"/>
    </row>
    <row r="30" spans="2:14" ht="11.25" customHeight="1">
      <c r="C30" s="84" t="s">
        <v>86</v>
      </c>
      <c r="D30" s="65" t="s">
        <v>60</v>
      </c>
      <c r="E30" s="78" t="s">
        <v>49</v>
      </c>
      <c r="F30" s="78" t="str">
        <f>'Input | Inflation and Disc Rate'!$F$7</f>
        <v>2014–15</v>
      </c>
      <c r="G30" s="68"/>
      <c r="H30" s="147">
        <v>17.616050279368853</v>
      </c>
      <c r="I30" s="147">
        <v>12.548241345112569</v>
      </c>
      <c r="J30" s="147">
        <v>15.66570878841763</v>
      </c>
      <c r="K30" s="147">
        <v>9.6702932350572546</v>
      </c>
      <c r="L30" s="147">
        <v>0</v>
      </c>
      <c r="M30" s="2"/>
      <c r="N30" s="2"/>
    </row>
    <row r="31" spans="2:14" ht="11.25" customHeight="1">
      <c r="C31" s="84" t="s">
        <v>86</v>
      </c>
      <c r="D31" s="65" t="s">
        <v>48</v>
      </c>
      <c r="E31" s="78" t="s">
        <v>49</v>
      </c>
      <c r="F31" s="78" t="s">
        <v>52</v>
      </c>
      <c r="G31" s="68"/>
      <c r="H31" s="147">
        <v>19.419590351995254</v>
      </c>
      <c r="I31" s="147">
        <v>14.147496201802548</v>
      </c>
      <c r="J31" s="147">
        <v>18.063918777041405</v>
      </c>
      <c r="K31" s="147">
        <v>11.404250964555507</v>
      </c>
      <c r="L31" s="147"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33</v>
      </c>
      <c r="D33" s="63"/>
      <c r="E33" s="63"/>
      <c r="F33" s="63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19:H21">
    <cfRule type="expression" dxfId="4" priority="2">
      <formula>IF($H$6&lt;&gt;"","FALSE","TRUE")</formula>
    </cfRule>
  </conditionalFormatting>
  <conditionalFormatting sqref="H18:J18 K18:L21">
    <cfRule type="expression" dxfId="3" priority="14">
      <formula>IF($H$6&lt;&gt;"","FALSE","TRUE")</formula>
    </cfRule>
  </conditionalFormatting>
  <conditionalFormatting sqref="H8:L10">
    <cfRule type="expression" dxfId="2" priority="5">
      <formula>IF($H$6&lt;&gt;"","FALSE","TRUE")</formula>
    </cfRule>
  </conditionalFormatting>
  <conditionalFormatting sqref="H29:L29">
    <cfRule type="expression" dxfId="1" priority="3">
      <formula>IF($H$6&lt;&gt;"","FALSE","TRUE")</formula>
    </cfRule>
  </conditionalFormatting>
  <conditionalFormatting sqref="I19:J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402CAA-05A6-4BF8-AAFE-11C7E023AAFB}">
          <x14:formula1>
            <xm:f>'FY20 Capex'!$H$6:$I$6</xm:f>
          </x14:formula1>
          <xm:sqref>L17</xm:sqref>
        </x14:dataValidation>
        <x14:dataValidation type="list" allowBlank="1" showInputMessage="1" showErrorMessage="1" xr:uid="{8A6BF6BE-4E84-4387-80F6-E072A147A5D1}">
          <x14:formula1>
            <xm:f>'FY19 Capex'!$H$6:$I$6</xm:f>
          </x14:formula1>
          <xm:sqref>K17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4"/>
  <sheetViews>
    <sheetView topLeftCell="A10" zoomScale="115" zoomScaleNormal="115" workbookViewId="0"/>
  </sheetViews>
  <sheetFormatPr defaultColWidth="0" defaultRowHeight="0" customHeight="1" zeroHeight="1"/>
  <cols>
    <col min="1" max="2" width="1.28515625" style="2" customWidth="1"/>
    <col min="3" max="3" width="70.71093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71093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Ergon Energy 2020-25 2018-20 True-up - Capital expenditure sharing scheme model</v>
      </c>
      <c r="J1" s="121"/>
      <c r="K1" s="105" t="s">
        <v>46</v>
      </c>
      <c r="L1" s="156" t="s">
        <v>47</v>
      </c>
      <c r="M1" s="161" t="s">
        <v>35</v>
      </c>
      <c r="N1" s="237" t="s">
        <v>142</v>
      </c>
      <c r="Q1" s="106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85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43</v>
      </c>
      <c r="J4" s="23"/>
      <c r="K4" s="23"/>
    </row>
    <row r="5" spans="2:23" ht="11.25" customHeight="1">
      <c r="C5" s="94"/>
      <c r="D5" s="94"/>
      <c r="E5" s="94"/>
      <c r="F5" s="94"/>
      <c r="G5" s="94"/>
      <c r="H5" s="94"/>
      <c r="I5" s="88"/>
      <c r="J5" s="88"/>
      <c r="K5" s="88"/>
      <c r="L5" s="88"/>
      <c r="M5" s="88"/>
      <c r="N5" s="88"/>
      <c r="O5" s="88"/>
    </row>
    <row r="6" spans="2:23" ht="11.25" customHeight="1">
      <c r="C6" s="117" t="s">
        <v>11</v>
      </c>
      <c r="D6" s="118"/>
      <c r="E6" s="119"/>
      <c r="F6" s="119"/>
      <c r="G6" s="119"/>
      <c r="H6" s="119"/>
      <c r="I6" s="96"/>
    </row>
    <row r="7" spans="2:23" ht="11.25" customHeight="1">
      <c r="C7" s="116" t="s">
        <v>9</v>
      </c>
      <c r="D7" s="172" t="str">
        <f>IF('Input | General'!D14="Yes",'Input | General'!D13,"n/a")</f>
        <v>2015–16</v>
      </c>
      <c r="E7" s="172" t="str">
        <f>IF('Input | General'!E14="Yes",'Input | General'!E13,"n/a")</f>
        <v>2016–17</v>
      </c>
      <c r="F7" s="172" t="str">
        <f>IF('Input | General'!F14="Yes",'Input | General'!F13,"n/a")</f>
        <v>2017–18</v>
      </c>
      <c r="G7" s="172" t="str">
        <f>IF('Input | General'!G14="Yes",'Input | General'!G13,"n/a")</f>
        <v>2018–19</v>
      </c>
      <c r="H7" s="177" t="str">
        <f>IF('Input | General'!H14="Yes",'Input | General'!H13,"n/a")</f>
        <v>2019–20</v>
      </c>
      <c r="I7" s="96"/>
    </row>
    <row r="8" spans="2:23" ht="11.25" customHeight="1">
      <c r="C8" s="144" t="s">
        <v>94</v>
      </c>
      <c r="D8" s="235">
        <f>'Input | Inflation and Disc Rate'!G20</f>
        <v>3.4223677885352854E-2</v>
      </c>
      <c r="E8" s="162">
        <f>'Input | Inflation and Disc Rate'!H20</f>
        <v>3.4525892490292698E-2</v>
      </c>
      <c r="F8" s="162">
        <f>'Input | Inflation and Disc Rate'!I20</f>
        <v>3.4583434536381352E-2</v>
      </c>
      <c r="G8" s="162">
        <f>'Input | Inflation and Disc Rate'!J20</f>
        <v>3.4290771868183745E-2</v>
      </c>
      <c r="H8" s="163">
        <f>'Input | Inflation and Disc Rate'!K20</f>
        <v>3.3975376840037708E-2</v>
      </c>
      <c r="I8" s="96"/>
      <c r="J8" s="79"/>
      <c r="K8" s="79"/>
    </row>
    <row r="9" spans="2:23" ht="11.25" customHeight="1">
      <c r="C9" s="144" t="s">
        <v>95</v>
      </c>
      <c r="D9" s="235">
        <f>'Input | Inflation and Disc Rate'!G22</f>
        <v>5.1687117099176838E-2</v>
      </c>
      <c r="E9" s="162">
        <f>'Input | Inflation and Disc Rate'!H22</f>
        <v>4.9795647360998174E-2</v>
      </c>
      <c r="F9" s="162">
        <f>'Input | Inflation and Disc Rate'!I22</f>
        <v>5.4334572832075878E-2</v>
      </c>
      <c r="G9" s="162">
        <f>'Input | Inflation and Disc Rate'!J22</f>
        <v>5.2743774042460112E-2</v>
      </c>
      <c r="H9" s="163">
        <f>'Input | Inflation and Disc Rate'!K22</f>
        <v>5.3005598499670459E-2</v>
      </c>
      <c r="I9" s="96"/>
      <c r="J9" s="79"/>
      <c r="K9" s="79"/>
    </row>
    <row r="10" spans="2:23" ht="11.25" customHeight="1">
      <c r="C10" s="112" t="s">
        <v>13</v>
      </c>
      <c r="D10" s="236">
        <f>'Input | Reported Capex'!H$12*'Input | Inflation and Disc Rate'!G$15*(1+'Input | Inflation and Disc Rate'!G$20)^0.5</f>
        <v>682.54085623199478</v>
      </c>
      <c r="E10" s="164">
        <f>'Input | Reported Capex'!I$12*'Input | Inflation and Disc Rate'!H$15*(1+'Input | Inflation and Disc Rate'!H$20)^0.5</f>
        <v>623.85676429109265</v>
      </c>
      <c r="F10" s="164">
        <f>'Input | Reported Capex'!J$12*'Input | Inflation and Disc Rate'!I$15*(1+'Input | Inflation and Disc Rate'!I$20)^0.5</f>
        <v>584.62112191121935</v>
      </c>
      <c r="G10" s="164">
        <f>'Input | Reported Capex'!K$12*'Input | Inflation and Disc Rate'!J$15*(1+'Input | Inflation and Disc Rate'!J$20)^0.5</f>
        <v>551.74146625835442</v>
      </c>
      <c r="H10" s="165">
        <f>'Input | Reported Capex'!L$12*'Input | Inflation and Disc Rate'!K$15*(1+'Input | Inflation and Disc Rate'!K$20)^0.5</f>
        <v>550.72654104352557</v>
      </c>
      <c r="I10" s="96"/>
      <c r="J10" s="79"/>
      <c r="K10" s="79"/>
      <c r="N10" s="138"/>
    </row>
    <row r="11" spans="2:23" ht="11.25" customHeight="1">
      <c r="C11" s="112" t="s">
        <v>15</v>
      </c>
      <c r="D11" s="236">
        <f>'Input | Reported Capex'!H23*(1+D$9)^0.5</f>
        <v>620.43382072361646</v>
      </c>
      <c r="E11" s="164">
        <f>'Input | Reported Capex'!I23*(1+E$9)^0.5</f>
        <v>511.75600457473342</v>
      </c>
      <c r="F11" s="164">
        <f>'Input | Reported Capex'!J23*(1+F$9)^0.5</f>
        <v>498.8985309300333</v>
      </c>
      <c r="G11" s="164">
        <f>'Input | Reported Capex'!K23*(1+G$9)^0.5</f>
        <v>552.07201355210179</v>
      </c>
      <c r="H11" s="165">
        <f>'Input | Reported Capex'!L23*(1+H$9)^0.5</f>
        <v>550.44545377512532</v>
      </c>
      <c r="I11" s="96"/>
      <c r="J11" s="79"/>
      <c r="K11" s="79"/>
    </row>
    <row r="12" spans="2:23" s="19" customFormat="1" ht="11.25" customHeight="1">
      <c r="C12" s="112" t="s">
        <v>17</v>
      </c>
      <c r="D12" s="155">
        <f>(D10-D11)</f>
        <v>62.107035508378317</v>
      </c>
      <c r="E12" s="145">
        <f>(E10-E11)</f>
        <v>112.10075971635922</v>
      </c>
      <c r="F12" s="145">
        <f t="shared" ref="F12:H12" si="0">(F10-F11)</f>
        <v>85.722590981186045</v>
      </c>
      <c r="G12" s="145">
        <f t="shared" si="0"/>
        <v>-0.33054729374737235</v>
      </c>
      <c r="H12" s="148">
        <f t="shared" si="0"/>
        <v>0.28108726840025611</v>
      </c>
      <c r="I12" s="96"/>
      <c r="J12" s="79"/>
      <c r="K12" s="79"/>
    </row>
    <row r="13" spans="2:23" ht="11.25" customHeight="1">
      <c r="C13" s="112" t="s">
        <v>71</v>
      </c>
      <c r="D13" s="89"/>
      <c r="E13" s="145">
        <f>$D$12*$E$8</f>
        <v>2.1443008308530609</v>
      </c>
      <c r="F13" s="145">
        <f>$D$12*$F$8*(1+'Input | Inflation and Disc Rate'!H13)</f>
        <v>2.1795775428302444</v>
      </c>
      <c r="G13" s="145">
        <f>$D$12*$G$8*(1+'Input | Inflation and Disc Rate'!H13)*(1+'Input | Inflation and Disc Rate'!I13)</f>
        <v>2.2023908362880564</v>
      </c>
      <c r="H13" s="148">
        <f>$D$12*$H$8*(1+'Input | Inflation and Disc Rate'!H13)*(1+'Input | Inflation and Disc Rate'!I13)*(1+'Input | Inflation and Disc Rate'!J13)</f>
        <v>2.2210659010743883</v>
      </c>
      <c r="I13" s="96"/>
      <c r="J13" s="79"/>
      <c r="K13" s="79"/>
      <c r="L13" s="95"/>
      <c r="M13" s="95"/>
      <c r="N13" s="95"/>
      <c r="O13" s="95"/>
    </row>
    <row r="14" spans="2:23" ht="11.25" customHeight="1">
      <c r="C14" s="112" t="s">
        <v>72</v>
      </c>
      <c r="D14" s="89"/>
      <c r="E14" s="146"/>
      <c r="F14" s="145">
        <f>$E$12*F$8</f>
        <v>3.8768292851293249</v>
      </c>
      <c r="G14" s="145">
        <f>$E$12*G$8*(1+'Input | Inflation and Disc Rate'!I13)</f>
        <v>3.9174074441668099</v>
      </c>
      <c r="H14" s="148">
        <f>$E$12*H$8*(1+'Input | Inflation and Disc Rate'!I13)*(1+'Input | Inflation and Disc Rate'!J13)</f>
        <v>3.9506249079379421</v>
      </c>
      <c r="I14" s="96"/>
      <c r="J14" s="79"/>
      <c r="K14" s="79"/>
      <c r="L14" s="95"/>
      <c r="M14" s="95"/>
      <c r="N14" s="96"/>
      <c r="O14" s="96"/>
    </row>
    <row r="15" spans="2:23" ht="11.25" customHeight="1">
      <c r="C15" s="112" t="s">
        <v>73</v>
      </c>
      <c r="D15" s="89"/>
      <c r="E15" s="145"/>
      <c r="F15" s="145"/>
      <c r="G15" s="145">
        <f>$F$12*G$8</f>
        <v>2.9394938112854758</v>
      </c>
      <c r="H15" s="148">
        <f>$F$12*$H$8*(1+'Input | Inflation and Disc Rate'!J13)</f>
        <v>2.9644191044987811</v>
      </c>
      <c r="I15" s="96"/>
      <c r="J15" s="79"/>
      <c r="K15" s="79"/>
      <c r="L15" s="95"/>
      <c r="M15" s="95"/>
      <c r="N15" s="95"/>
      <c r="O15" s="95"/>
    </row>
    <row r="16" spans="2:23" ht="11.25" customHeight="1">
      <c r="C16" s="112" t="s">
        <v>74</v>
      </c>
      <c r="D16" s="89"/>
      <c r="E16" s="145"/>
      <c r="F16" s="145"/>
      <c r="G16" s="145"/>
      <c r="H16" s="148">
        <f>$G$12*$H$8</f>
        <v>-1.1230468868521616E-2</v>
      </c>
      <c r="I16" s="96"/>
      <c r="J16" s="79"/>
      <c r="K16" s="79"/>
      <c r="L16" s="95"/>
      <c r="M16" s="95"/>
      <c r="N16" s="95"/>
      <c r="O16" s="95"/>
    </row>
    <row r="17" spans="3:15" ht="11.25" customHeight="1">
      <c r="C17" s="112" t="s">
        <v>75</v>
      </c>
      <c r="D17" s="89"/>
      <c r="E17" s="145"/>
      <c r="F17" s="145"/>
      <c r="G17" s="145"/>
      <c r="H17" s="148"/>
      <c r="I17" s="96"/>
      <c r="J17" s="79"/>
      <c r="K17" s="79"/>
      <c r="L17" s="95"/>
      <c r="M17" s="95"/>
      <c r="N17" s="95"/>
      <c r="O17" s="95"/>
    </row>
    <row r="18" spans="3:15" s="19" customFormat="1" ht="11.25" customHeight="1">
      <c r="C18" s="113" t="s">
        <v>19</v>
      </c>
      <c r="D18" s="125">
        <f>SUM(D13:D17)</f>
        <v>0</v>
      </c>
      <c r="E18" s="149">
        <f>SUM(E13:E17)</f>
        <v>2.1443008308530609</v>
      </c>
      <c r="F18" s="149">
        <f t="shared" ref="F18:H18" si="1">SUM(F13:F17)</f>
        <v>6.0564068279595693</v>
      </c>
      <c r="G18" s="149">
        <f t="shared" si="1"/>
        <v>9.0592920917403426</v>
      </c>
      <c r="H18" s="150">
        <f t="shared" si="1"/>
        <v>9.1248794446425894</v>
      </c>
      <c r="I18" s="96"/>
      <c r="J18" s="79"/>
      <c r="K18" s="79"/>
      <c r="L18" s="95"/>
      <c r="M18" s="95"/>
      <c r="N18" s="95"/>
      <c r="O18" s="95"/>
    </row>
    <row r="19" spans="3:15" ht="11.25" customHeight="1">
      <c r="C19" s="114" t="s">
        <v>93</v>
      </c>
      <c r="D19" s="125">
        <f>E19*(1+E$9)</f>
        <v>1.2269774395007549</v>
      </c>
      <c r="E19" s="149">
        <f>F19*(1+F$9)</f>
        <v>1.1687774116659377</v>
      </c>
      <c r="F19" s="149">
        <f>G19*(1+G$9)</f>
        <v>1.1085450878523826</v>
      </c>
      <c r="G19" s="149">
        <f>H19*(1+H$9)</f>
        <v>1.0530055984996705</v>
      </c>
      <c r="H19" s="151">
        <v>1</v>
      </c>
      <c r="I19" s="96"/>
      <c r="J19" s="79"/>
      <c r="K19" s="79"/>
      <c r="L19" s="96"/>
      <c r="M19" s="96"/>
      <c r="N19" s="96"/>
      <c r="O19" s="96"/>
    </row>
    <row r="20" spans="3:15" s="19" customFormat="1" ht="11.25" customHeight="1">
      <c r="C20" s="112" t="s">
        <v>20</v>
      </c>
      <c r="D20" s="155">
        <f>D12*D19</f>
        <v>76.203931403052493</v>
      </c>
      <c r="E20" s="145">
        <f>E12*E19</f>
        <v>131.02083578707155</v>
      </c>
      <c r="F20" s="145">
        <f t="shared" ref="F20:H20" si="2">F12*F19</f>
        <v>95.027357150172747</v>
      </c>
      <c r="G20" s="145">
        <f t="shared" si="2"/>
        <v>-0.34806815088489818</v>
      </c>
      <c r="H20" s="148">
        <f t="shared" si="2"/>
        <v>0.28108726840025611</v>
      </c>
      <c r="I20" s="96"/>
      <c r="J20" s="79"/>
      <c r="K20" s="79"/>
      <c r="L20" s="96"/>
      <c r="M20" s="96"/>
      <c r="N20" s="96"/>
      <c r="O20" s="96"/>
    </row>
    <row r="21" spans="3:15" s="19" customFormat="1" ht="11.25" customHeight="1">
      <c r="C21" s="113" t="s">
        <v>21</v>
      </c>
      <c r="D21" s="125">
        <f>D18*D19</f>
        <v>0</v>
      </c>
      <c r="E21" s="149">
        <f>E18*E19</f>
        <v>2.5062103749175604</v>
      </c>
      <c r="F21" s="149">
        <f t="shared" ref="F21:H21" si="3">F18*F19</f>
        <v>6.7138000391702102</v>
      </c>
      <c r="G21" s="149">
        <f t="shared" si="3"/>
        <v>9.5394852910463701</v>
      </c>
      <c r="H21" s="150">
        <f t="shared" si="3"/>
        <v>9.1248794446425894</v>
      </c>
      <c r="I21" s="96"/>
      <c r="J21" s="79"/>
      <c r="K21" s="79"/>
      <c r="L21" s="96"/>
      <c r="M21" s="96"/>
      <c r="N21" s="96"/>
      <c r="O21" s="96"/>
    </row>
    <row r="22" spans="3:15" s="79" customFormat="1" ht="11.25" customHeight="1"/>
    <row r="23" spans="3:15" ht="11.25" customHeight="1">
      <c r="C23" s="117" t="s">
        <v>12</v>
      </c>
      <c r="D23" s="118"/>
      <c r="E23" s="119"/>
      <c r="F23" s="119"/>
      <c r="G23" s="119"/>
      <c r="H23" s="119"/>
      <c r="I23" s="96"/>
      <c r="J23" s="79"/>
      <c r="K23" s="79"/>
      <c r="L23" s="96"/>
      <c r="M23" s="96"/>
      <c r="N23" s="96"/>
      <c r="O23" s="96"/>
    </row>
    <row r="24" spans="3:15" ht="11.25" customHeight="1">
      <c r="C24" s="111" t="s">
        <v>9</v>
      </c>
      <c r="D24" s="178" t="str">
        <f>'Input | General'!$D$18</f>
        <v>2020-21</v>
      </c>
      <c r="E24" s="178" t="str">
        <f>'Input | General'!$E$18</f>
        <v>2021–22</v>
      </c>
      <c r="F24" s="178" t="str">
        <f>'Input | General'!$F$18</f>
        <v>2022–23</v>
      </c>
      <c r="G24" s="178" t="str">
        <f>'Input | General'!$G$18</f>
        <v>2023–24</v>
      </c>
      <c r="H24" s="179" t="str">
        <f>'Input | General'!$H$18</f>
        <v>2024–25</v>
      </c>
      <c r="I24" s="96"/>
      <c r="J24" s="79"/>
      <c r="K24" s="79"/>
      <c r="L24" s="96"/>
      <c r="M24" s="96"/>
      <c r="N24" s="96"/>
      <c r="O24" s="96"/>
    </row>
    <row r="25" spans="3:15" ht="11.25" customHeight="1">
      <c r="C25" s="115" t="s">
        <v>70</v>
      </c>
      <c r="D25" s="166">
        <f>'Input | Inflation and Disc Rate'!L$22</f>
        <v>4.7284068405474944E-2</v>
      </c>
      <c r="E25" s="166">
        <f>'Input | Inflation and Disc Rate'!M$22</f>
        <v>4.6002628135530133E-2</v>
      </c>
      <c r="F25" s="166">
        <f>'Input | Inflation and Disc Rate'!N$22</f>
        <v>4.4721187865585099E-2</v>
      </c>
      <c r="G25" s="166">
        <f>'Input | Inflation and Disc Rate'!O$22</f>
        <v>4.3439747595640288E-2</v>
      </c>
      <c r="H25" s="167">
        <f>'Input | Inflation and Disc Rate'!P$22</f>
        <v>4.2158307325695032E-2</v>
      </c>
      <c r="I25" s="96"/>
      <c r="J25" s="79"/>
      <c r="K25" s="79"/>
      <c r="L25" s="96"/>
      <c r="M25" s="96"/>
      <c r="N25" s="96"/>
      <c r="O25" s="96"/>
    </row>
    <row r="26" spans="3:15" ht="11.25" customHeight="1">
      <c r="C26" s="116" t="s">
        <v>14</v>
      </c>
      <c r="D26" s="164">
        <f>'Input | Reported Capex'!H31</f>
        <v>19.419590351995254</v>
      </c>
      <c r="E26" s="164">
        <f>'Input | Reported Capex'!I31</f>
        <v>14.147496201802548</v>
      </c>
      <c r="F26" s="164">
        <f>'Input | Reported Capex'!J31</f>
        <v>18.063918777041405</v>
      </c>
      <c r="G26" s="164">
        <f>'Input | Reported Capex'!K31</f>
        <v>11.404250964555507</v>
      </c>
      <c r="H26" s="165">
        <f>'Input | Reported Capex'!L31</f>
        <v>0</v>
      </c>
      <c r="I26" s="96"/>
      <c r="J26" s="79"/>
      <c r="K26" s="79"/>
      <c r="L26" s="96"/>
      <c r="M26" s="96"/>
      <c r="N26" s="96"/>
      <c r="O26" s="96"/>
    </row>
    <row r="27" spans="3:15" ht="11.25" customHeight="1">
      <c r="C27" s="116" t="s">
        <v>16</v>
      </c>
      <c r="D27" s="123">
        <f>1/(1+D25)^(0.5)</f>
        <v>0.97716465901854321</v>
      </c>
      <c r="E27" s="123">
        <f>1/((1+E25)^(0.5)*(1+D25))</f>
        <v>0.93361778272276674</v>
      </c>
      <c r="F27" s="123">
        <f>1/((1+F25)^(0.5)*(1+E25)*(1+D25))</f>
        <v>0.89310501075495252</v>
      </c>
      <c r="G27" s="123">
        <f>1/((1+G25)^(0.5)*(1+F25)*(1+E25)*(1+D25))</f>
        <v>0.85539879973374677</v>
      </c>
      <c r="H27" s="124">
        <f>1/((1+H25)^(0.5)*(1+G25)*(1+F25)*(1+E25)*(1+D25))</f>
        <v>0.82029129167890191</v>
      </c>
      <c r="I27" s="96"/>
      <c r="J27" s="79"/>
      <c r="K27" s="79"/>
      <c r="L27" s="96"/>
      <c r="M27" s="96"/>
      <c r="N27" s="96"/>
      <c r="O27" s="96"/>
    </row>
    <row r="28" spans="3:15" ht="11.25" customHeight="1">
      <c r="C28" s="111" t="s">
        <v>18</v>
      </c>
      <c r="D28" s="90">
        <f>D26*D27</f>
        <v>18.976137384587233</v>
      </c>
      <c r="E28" s="90">
        <f t="shared" ref="E28:G28" si="4">E26*E27</f>
        <v>13.208354035005659</v>
      </c>
      <c r="F28" s="90">
        <f t="shared" si="4"/>
        <v>16.132976373646152</v>
      </c>
      <c r="G28" s="90">
        <f t="shared" si="4"/>
        <v>9.7551825869432047</v>
      </c>
      <c r="H28" s="91">
        <f>H26*H27</f>
        <v>0</v>
      </c>
      <c r="I28" s="96"/>
      <c r="J28" s="79"/>
      <c r="K28" s="79"/>
      <c r="L28" s="96"/>
      <c r="M28" s="96"/>
      <c r="N28" s="96"/>
      <c r="O28" s="96"/>
    </row>
    <row r="29" spans="3:15" ht="11.25" customHeight="1">
      <c r="C29" s="95"/>
      <c r="D29" s="97"/>
      <c r="E29" s="97"/>
      <c r="F29" s="97"/>
      <c r="G29" s="97"/>
      <c r="H29" s="97"/>
      <c r="I29" s="96"/>
      <c r="J29" s="79"/>
      <c r="K29" s="79"/>
      <c r="L29" s="96"/>
      <c r="M29" s="96"/>
      <c r="N29" s="96"/>
      <c r="O29" s="96"/>
    </row>
    <row r="30" spans="3:15" ht="11.25" customHeight="1">
      <c r="C30" s="110" t="s">
        <v>22</v>
      </c>
      <c r="D30" s="120"/>
      <c r="E30" s="95"/>
      <c r="F30" s="95"/>
      <c r="G30" s="95"/>
      <c r="H30" s="95"/>
      <c r="I30" s="96"/>
      <c r="J30" s="79"/>
      <c r="K30" s="79"/>
      <c r="L30" s="96"/>
      <c r="M30" s="96"/>
      <c r="N30" s="96"/>
      <c r="O30" s="96"/>
    </row>
    <row r="31" spans="3:15" ht="11.25" customHeight="1">
      <c r="C31" s="112" t="s">
        <v>23</v>
      </c>
      <c r="D31" s="101">
        <f>SUM(D20:H20)-SUM(D28:H28)</f>
        <v>244.11249307762992</v>
      </c>
      <c r="E31" s="95"/>
      <c r="F31" s="95"/>
      <c r="G31" s="95"/>
      <c r="H31" s="95"/>
      <c r="I31" s="96"/>
      <c r="J31" s="79"/>
      <c r="K31" s="79"/>
      <c r="L31" s="96"/>
      <c r="M31" s="96"/>
      <c r="N31" s="96"/>
      <c r="O31" s="96"/>
    </row>
    <row r="32" spans="3:15" ht="11.25" customHeight="1">
      <c r="C32" s="112" t="s">
        <v>24</v>
      </c>
      <c r="D32" s="100">
        <v>0.3</v>
      </c>
      <c r="E32" s="95"/>
      <c r="F32" s="95"/>
      <c r="G32" s="95"/>
      <c r="H32" s="95"/>
      <c r="I32" s="96"/>
      <c r="J32" s="79"/>
      <c r="K32" s="79"/>
      <c r="L32" s="96"/>
      <c r="M32" s="96"/>
      <c r="N32" s="96"/>
      <c r="O32" s="96"/>
    </row>
    <row r="33" spans="1:16382" ht="11.25" customHeight="1">
      <c r="C33" s="112" t="s">
        <v>25</v>
      </c>
      <c r="D33" s="101">
        <f>(1-D32)*D31</f>
        <v>170.87874515434095</v>
      </c>
      <c r="E33" s="95"/>
      <c r="F33" s="95"/>
      <c r="G33" s="95"/>
      <c r="H33" s="95"/>
      <c r="I33" s="96"/>
      <c r="J33" s="79"/>
      <c r="K33" s="79"/>
      <c r="L33" s="96"/>
      <c r="M33" s="96"/>
      <c r="N33" s="96"/>
      <c r="O33" s="96"/>
    </row>
    <row r="34" spans="1:16382" ht="11.25" customHeight="1">
      <c r="C34" s="112" t="s">
        <v>26</v>
      </c>
      <c r="D34" s="101">
        <f>D32*D31</f>
        <v>73.233747923288973</v>
      </c>
      <c r="E34" s="95"/>
      <c r="F34" s="95"/>
      <c r="G34" s="95"/>
      <c r="H34" s="95"/>
      <c r="I34" s="96"/>
      <c r="J34" s="79"/>
      <c r="K34" s="79"/>
      <c r="L34" s="96"/>
      <c r="M34" s="96"/>
      <c r="N34" s="96"/>
      <c r="O34" s="96"/>
    </row>
    <row r="35" spans="1:16382" ht="11.25" customHeight="1">
      <c r="C35" s="112" t="s">
        <v>27</v>
      </c>
      <c r="D35" s="101">
        <f>SUM(D21:H21)</f>
        <v>27.88437514977673</v>
      </c>
      <c r="E35" s="95"/>
      <c r="F35" s="95"/>
      <c r="G35" s="95"/>
      <c r="H35" s="95"/>
      <c r="I35" s="96"/>
      <c r="J35" s="79"/>
      <c r="K35" s="79"/>
      <c r="L35" s="96"/>
      <c r="M35" s="96"/>
      <c r="N35" s="96"/>
      <c r="O35" s="96"/>
    </row>
    <row r="36" spans="1:16382" ht="11.25" customHeight="1">
      <c r="C36" s="113" t="s">
        <v>28</v>
      </c>
      <c r="D36" s="102">
        <f>D34-D35</f>
        <v>45.349372773512243</v>
      </c>
      <c r="E36" s="95"/>
      <c r="F36" s="95"/>
      <c r="G36" s="95"/>
      <c r="H36" s="95"/>
      <c r="I36" s="96"/>
      <c r="J36" s="79"/>
      <c r="K36" s="79"/>
      <c r="L36" s="96"/>
      <c r="M36" s="96"/>
      <c r="N36" s="96"/>
      <c r="O36" s="96"/>
    </row>
    <row r="37" spans="1:16382" ht="11.25" customHeight="1">
      <c r="D37" s="25"/>
      <c r="J37" s="2"/>
    </row>
    <row r="38" spans="1:16382" s="8" customFormat="1" ht="12" customHeight="1">
      <c r="B38" s="29" t="s">
        <v>44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  <c r="J39" s="241" t="str">
        <f>"Based on "&amp;'Input | General'!$D$6&amp;"'s "&amp;'Input | General'!$D$7&amp;" of Actual Capex"</f>
        <v>Based on Ergon Energy's 2018-20 True-up of Actual Capex</v>
      </c>
      <c r="K39" s="242"/>
      <c r="L39" s="242"/>
      <c r="M39" s="242"/>
      <c r="N39" s="242"/>
    </row>
    <row r="40" spans="1:16382" s="30" customFormat="1" ht="11.25" customHeight="1">
      <c r="C40" s="92"/>
      <c r="D40" s="180" t="str">
        <f>'Input | General'!D18</f>
        <v>2020-21</v>
      </c>
      <c r="E40" s="180" t="str">
        <f>'Input | General'!E18</f>
        <v>2021–22</v>
      </c>
      <c r="F40" s="180" t="str">
        <f>'Input | General'!F18</f>
        <v>2022–23</v>
      </c>
      <c r="G40" s="180" t="str">
        <f>'Input | General'!G18</f>
        <v>2023–24</v>
      </c>
      <c r="H40" s="180" t="str">
        <f>'Input | General'!H18</f>
        <v>2024–25</v>
      </c>
      <c r="I40" s="93"/>
      <c r="J40" s="243" t="str">
        <f>D40</f>
        <v>2020-21</v>
      </c>
      <c r="K40" s="243" t="str">
        <f t="shared" ref="K40:N41" si="5">E40</f>
        <v>2021–22</v>
      </c>
      <c r="L40" s="243" t="str">
        <f t="shared" si="5"/>
        <v>2022–23</v>
      </c>
      <c r="M40" s="243" t="str">
        <f t="shared" si="5"/>
        <v>2023–24</v>
      </c>
      <c r="N40" s="243" t="str">
        <f t="shared" si="5"/>
        <v>2024–25</v>
      </c>
      <c r="O40" s="93"/>
    </row>
    <row r="41" spans="1:16382" s="30" customFormat="1" ht="11.25" customHeight="1">
      <c r="C41" s="99" t="s">
        <v>99</v>
      </c>
      <c r="D41" s="168">
        <f>1/(1+'Input | Inflation and Disc Rate'!L21)</f>
        <v>0.97656398273695377</v>
      </c>
      <c r="E41" s="168">
        <f>D41/(1+'Input | Inflation and Disc Rate'!M21)</f>
        <v>0.95484554633119456</v>
      </c>
      <c r="F41" s="168">
        <f>E41/(1+'Input | Inflation and Disc Rate'!N21)</f>
        <v>0.93475527324547092</v>
      </c>
      <c r="G41" s="168">
        <f>F41/(1+'Input | Inflation and Disc Rate'!O21)</f>
        <v>0.91621151841953796</v>
      </c>
      <c r="H41" s="169">
        <f>G41/(1+'Input | Inflation and Disc Rate'!P21)</f>
        <v>0.89913986288273695</v>
      </c>
      <c r="I41" s="93"/>
      <c r="J41" s="244">
        <f>D41</f>
        <v>0.97656398273695377</v>
      </c>
      <c r="K41" s="168">
        <f>E41</f>
        <v>0.95484554633119456</v>
      </c>
      <c r="L41" s="168">
        <f t="shared" si="5"/>
        <v>0.93475527324547092</v>
      </c>
      <c r="M41" s="168">
        <f t="shared" si="5"/>
        <v>0.91621151841953796</v>
      </c>
      <c r="N41" s="169">
        <f t="shared" si="5"/>
        <v>0.89913986288273695</v>
      </c>
      <c r="O41" s="93"/>
    </row>
    <row r="42" spans="1:16382" s="30" customFormat="1" ht="11.25" customHeight="1">
      <c r="C42" s="186" t="s">
        <v>138</v>
      </c>
      <c r="D42" s="109">
        <f>D36/SUM(D41:H41)</f>
        <v>9.6868986445509719</v>
      </c>
      <c r="E42" s="109">
        <f>D42</f>
        <v>9.6868986445509719</v>
      </c>
      <c r="F42" s="109">
        <f t="shared" ref="F42:H42" si="6">E42</f>
        <v>9.6868986445509719</v>
      </c>
      <c r="G42" s="109">
        <f t="shared" si="6"/>
        <v>9.6868986445509719</v>
      </c>
      <c r="H42" s="109">
        <f t="shared" si="6"/>
        <v>9.6868986445509719</v>
      </c>
      <c r="I42" s="93"/>
      <c r="J42" s="245">
        <v>6.3552855216609938</v>
      </c>
      <c r="K42" s="109">
        <v>6.3552855216609938</v>
      </c>
      <c r="L42" s="109">
        <v>6.3552855216609938</v>
      </c>
      <c r="M42" s="109">
        <v>6.3552855216609938</v>
      </c>
      <c r="N42" s="246">
        <v>6.3552855216609938</v>
      </c>
      <c r="O42" s="93"/>
    </row>
    <row r="43" spans="1:16382" s="30" customFormat="1" ht="11.25" customHeight="1">
      <c r="C43" s="79"/>
      <c r="D43" s="79"/>
      <c r="E43" s="79"/>
      <c r="F43" s="79"/>
      <c r="G43" s="79"/>
      <c r="H43" s="79"/>
      <c r="I43" s="79"/>
      <c r="J43" s="245">
        <f>D36/(SUM(J41:N41))</f>
        <v>9.6868986445509719</v>
      </c>
      <c r="K43" s="109">
        <f>J43</f>
        <v>9.6868986445509719</v>
      </c>
      <c r="L43" s="109">
        <f t="shared" ref="L43" si="7">K43</f>
        <v>9.6868986445509719</v>
      </c>
      <c r="M43" s="109">
        <f t="shared" ref="M43" si="8">L43</f>
        <v>9.6868986445509719</v>
      </c>
      <c r="N43" s="246">
        <f t="shared" ref="N43" si="9">M43</f>
        <v>9.6868986445509719</v>
      </c>
      <c r="O43" s="79"/>
    </row>
    <row r="44" spans="1:16382" s="79" customFormat="1" ht="11.25" customHeight="1">
      <c r="J44" s="239"/>
      <c r="K44" s="247"/>
      <c r="L44" s="247"/>
      <c r="M44" s="247"/>
      <c r="N44" s="239"/>
    </row>
    <row r="45" spans="1:16382" s="30" customFormat="1" ht="11.25" customHeight="1">
      <c r="C45" s="186" t="str">
        <f>CONCATENATE("Total CESS Payment ($", 'Output | Models'!$F$8," million)")</f>
        <v>Total CESS Payment ($2019–20 million)</v>
      </c>
      <c r="D45" s="154">
        <f>SUM(D42:H42)</f>
        <v>48.43449322275486</v>
      </c>
      <c r="E45" s="70"/>
      <c r="F45" s="70"/>
      <c r="G45" s="70"/>
      <c r="H45" s="70"/>
      <c r="I45" s="93"/>
      <c r="J45" s="248">
        <f>SUM(J42:N42)</f>
        <v>31.776427608304971</v>
      </c>
      <c r="K45" s="247"/>
      <c r="L45" s="247"/>
      <c r="M45" s="247"/>
      <c r="N45" s="247"/>
      <c r="O45" s="93"/>
    </row>
    <row r="46" spans="1:16382" s="30" customFormat="1" ht="11.25" customHeight="1">
      <c r="C46" s="69"/>
      <c r="D46" s="98"/>
      <c r="E46" s="70"/>
      <c r="F46" s="70"/>
      <c r="G46" s="70"/>
      <c r="H46" s="70"/>
      <c r="I46" s="93"/>
      <c r="J46" s="247"/>
      <c r="K46" s="247"/>
      <c r="L46" s="247"/>
      <c r="M46" s="247"/>
      <c r="N46" s="247"/>
      <c r="O46" s="93"/>
    </row>
    <row r="47" spans="1:16382" s="30" customFormat="1" ht="11.25" customHeight="1">
      <c r="C47" s="103"/>
      <c r="D47" s="103"/>
      <c r="E47" s="103"/>
      <c r="F47" s="103"/>
      <c r="G47" s="103"/>
      <c r="H47" s="103"/>
      <c r="I47" s="103"/>
      <c r="J47" s="249">
        <f>D45-J45</f>
        <v>16.658065614449889</v>
      </c>
      <c r="K47" s="250" t="s">
        <v>120</v>
      </c>
      <c r="L47" s="251"/>
      <c r="M47" s="251"/>
      <c r="N47" s="251"/>
      <c r="O47" s="103"/>
    </row>
    <row r="48" spans="1:16382" ht="12" customHeight="1">
      <c r="A48" s="29"/>
      <c r="B48" s="29" t="s">
        <v>33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28515625" style="52" customWidth="1"/>
    <col min="7" max="9" width="2.71093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Ergon Energy 2020-25 2018-20 True-up - Capital expenditure sharing scheme model</v>
      </c>
      <c r="C1" s="35"/>
      <c r="D1" s="35"/>
      <c r="E1" s="35"/>
      <c r="F1" s="36"/>
      <c r="G1" s="36"/>
      <c r="H1" s="36"/>
      <c r="I1" s="36"/>
      <c r="J1" s="104"/>
      <c r="K1" s="105" t="s">
        <v>46</v>
      </c>
      <c r="L1" s="156" t="s">
        <v>47</v>
      </c>
      <c r="M1" s="161" t="s">
        <v>35</v>
      </c>
      <c r="R1" s="106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60"/>
      <c r="K3" s="260"/>
      <c r="L3" s="260"/>
      <c r="M3" s="42"/>
      <c r="N3" s="260"/>
      <c r="O3" s="260"/>
      <c r="P3" s="260"/>
      <c r="Q3" s="260"/>
      <c r="R3" s="260"/>
      <c r="S3" s="260"/>
      <c r="T3" s="260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55</v>
      </c>
      <c r="C4" s="44"/>
      <c r="D4" s="44"/>
      <c r="E4" s="44"/>
      <c r="F4" s="44"/>
      <c r="G4" s="46"/>
      <c r="H4" s="46"/>
      <c r="I4" s="46"/>
      <c r="J4" s="47" t="s">
        <v>56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51</v>
      </c>
      <c r="F6" s="55" t="s">
        <v>4</v>
      </c>
      <c r="H6" s="55"/>
      <c r="I6" s="55"/>
      <c r="J6" s="181" t="str">
        <f>'Calc | CESS Revenue Increments'!D40</f>
        <v>2020-21</v>
      </c>
      <c r="K6" s="181" t="str">
        <f>'Calc | CESS Revenue Increments'!E40</f>
        <v>2021–22</v>
      </c>
      <c r="L6" s="181" t="str">
        <f>'Calc | CESS Revenue Increments'!F40</f>
        <v>2022–23</v>
      </c>
      <c r="M6" s="181" t="str">
        <f>'Calc | CESS Revenue Increments'!G40</f>
        <v>2023–24</v>
      </c>
      <c r="N6" s="181" t="str">
        <f>'Calc | CESS Revenue Increments'!H40</f>
        <v>2024–25</v>
      </c>
      <c r="O6" s="56" t="s">
        <v>87</v>
      </c>
      <c r="P6" s="135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84</v>
      </c>
      <c r="D8" s="183" t="s">
        <v>57</v>
      </c>
      <c r="E8" s="52" t="s">
        <v>49</v>
      </c>
      <c r="F8" s="182" t="str">
        <f>IF(LEN(J6)&gt;4,CONCATENATE(LEFT(J6,4)-1&amp;"–"&amp;IF(RIGHT(J6,2)="00","99",IF(RIGHT(J6,2)-1&lt;10,"0","")&amp;RIGHT(J6,2)-1)),J6-1)</f>
        <v>2019–20</v>
      </c>
      <c r="H8" s="55"/>
      <c r="I8" s="55"/>
      <c r="J8" s="132">
        <f>'Calc | CESS Revenue Increments'!D42</f>
        <v>9.6868986445509719</v>
      </c>
      <c r="K8" s="132">
        <f>'Calc | CESS Revenue Increments'!E42</f>
        <v>9.6868986445509719</v>
      </c>
      <c r="L8" s="132">
        <f>'Calc | CESS Revenue Increments'!F42</f>
        <v>9.6868986445509719</v>
      </c>
      <c r="M8" s="132">
        <f>'Calc | CESS Revenue Increments'!G42</f>
        <v>9.6868986445509719</v>
      </c>
      <c r="N8" s="132">
        <f>'Calc | CESS Revenue Increments'!H42</f>
        <v>9.6868986445509719</v>
      </c>
      <c r="O8" s="60">
        <f>SUM(J8:N8)</f>
        <v>48.43449322275486</v>
      </c>
      <c r="P8" s="136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3"/>
      <c r="K10" s="133"/>
      <c r="L10" s="133"/>
      <c r="M10" s="133"/>
      <c r="N10" s="133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33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idden="1">
      <c r="M17" s="61"/>
      <c r="N17" s="61"/>
      <c r="O17" s="61"/>
      <c r="P17" s="61"/>
      <c r="Q17" s="61"/>
      <c r="R17" s="61"/>
      <c r="S17" s="61"/>
      <c r="T17" s="61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19F5-6D14-42FD-8682-B7FF157EBE6A}">
  <sheetPr>
    <tabColor rgb="FF8DB4E2"/>
  </sheetPr>
  <dimension ref="A1:S37"/>
  <sheetViews>
    <sheetView tabSelected="1" workbookViewId="0">
      <selection activeCell="N17" sqref="N17"/>
    </sheetView>
  </sheetViews>
  <sheetFormatPr defaultColWidth="0" defaultRowHeight="15" zeroHeight="1"/>
  <cols>
    <col min="1" max="1" width="2.7109375" customWidth="1"/>
    <col min="2" max="2" width="1.5703125" customWidth="1"/>
    <col min="3" max="3" width="40.7109375" customWidth="1"/>
    <col min="4" max="4" width="40.28515625" customWidth="1"/>
    <col min="5" max="5" width="9.5703125" customWidth="1"/>
    <col min="6" max="7" width="9.140625" customWidth="1"/>
    <col min="8" max="8" width="11.28515625" customWidth="1"/>
    <col min="9" max="11" width="9.140625" customWidth="1"/>
    <col min="12" max="12" width="10.42578125" customWidth="1"/>
    <col min="13" max="19" width="9.140625" customWidth="1"/>
    <col min="20" max="16384" width="9.140625" hidden="1"/>
  </cols>
  <sheetData>
    <row r="1" spans="1:19" ht="29.25">
      <c r="A1" s="79"/>
      <c r="B1" s="12" t="s">
        <v>123</v>
      </c>
      <c r="C1" s="79"/>
      <c r="D1" s="12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202" t="s">
        <v>46</v>
      </c>
      <c r="Q1" s="203" t="s">
        <v>47</v>
      </c>
      <c r="R1" s="204" t="s">
        <v>35</v>
      </c>
      <c r="S1" s="237" t="s">
        <v>142</v>
      </c>
    </row>
    <row r="2" spans="1:19" ht="15.75">
      <c r="A2" s="79"/>
      <c r="B2" s="79"/>
      <c r="C2" s="79"/>
      <c r="D2" s="79"/>
      <c r="E2" s="12"/>
      <c r="F2" s="12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>
      <c r="A3" s="29"/>
      <c r="B3" s="29" t="s">
        <v>124</v>
      </c>
      <c r="C3" s="8"/>
      <c r="D3" s="29"/>
      <c r="E3" s="8"/>
      <c r="F3" s="8"/>
      <c r="G3" s="8"/>
      <c r="H3" s="8"/>
      <c r="I3" s="8"/>
      <c r="J3" s="8"/>
      <c r="K3" s="8"/>
      <c r="L3" s="8"/>
      <c r="M3" s="8"/>
      <c r="N3" s="23"/>
      <c r="O3" s="23"/>
      <c r="P3" s="23"/>
      <c r="Q3" s="23"/>
      <c r="R3" s="23"/>
      <c r="S3" s="23"/>
    </row>
    <row r="4" spans="1:19">
      <c r="A4" s="79"/>
      <c r="B4" s="79"/>
      <c r="C4" s="207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19">
      <c r="A5" s="79"/>
      <c r="B5" s="79"/>
      <c r="C5" s="79"/>
      <c r="D5" s="188" t="s">
        <v>6</v>
      </c>
      <c r="E5" s="188" t="s">
        <v>51</v>
      </c>
      <c r="F5" s="188" t="s">
        <v>4</v>
      </c>
      <c r="G5" s="208"/>
      <c r="H5" s="209" t="str">
        <f>'Input | General'!D18</f>
        <v>2020-21</v>
      </c>
      <c r="I5" s="209" t="str">
        <f>'Input | General'!E18</f>
        <v>2021–22</v>
      </c>
      <c r="J5" s="209" t="str">
        <f>'Input | General'!F18</f>
        <v>2022–23</v>
      </c>
      <c r="K5" s="209" t="str">
        <f>'Input | General'!G18</f>
        <v>2023–24</v>
      </c>
      <c r="L5" s="209" t="str">
        <f>'Input | General'!H18</f>
        <v>2024–25</v>
      </c>
      <c r="M5" s="209" t="str">
        <f>'Input | General'!D21</f>
        <v>2025–26</v>
      </c>
      <c r="N5" s="209" t="str">
        <f>'Input | General'!E21</f>
        <v>2026–27</v>
      </c>
      <c r="O5" s="209" t="str">
        <f>'Input | General'!F21</f>
        <v>2027–28</v>
      </c>
      <c r="P5" s="209" t="str">
        <f>'Input | General'!G21</f>
        <v>2028–29</v>
      </c>
      <c r="Q5" s="209" t="str">
        <f>'Input | General'!H21</f>
        <v>2029–30</v>
      </c>
      <c r="R5" s="79"/>
      <c r="S5" s="79"/>
    </row>
    <row r="6" spans="1:19">
      <c r="A6" s="79"/>
      <c r="B6" s="79"/>
      <c r="C6" s="210" t="s">
        <v>112</v>
      </c>
      <c r="D6" s="210" t="s">
        <v>133</v>
      </c>
      <c r="E6" s="78" t="s">
        <v>50</v>
      </c>
      <c r="F6" s="79"/>
      <c r="G6" s="79"/>
      <c r="H6" s="232">
        <v>2.3998445239976629E-2</v>
      </c>
      <c r="I6" s="232">
        <v>2.2429515237719189E-2</v>
      </c>
      <c r="J6" s="232">
        <v>2.1803719524386755E-2</v>
      </c>
      <c r="K6" s="232">
        <v>2.2573324923264249E-2</v>
      </c>
      <c r="L6" s="232">
        <v>2.3056871865892781E-2</v>
      </c>
      <c r="M6" s="198"/>
      <c r="N6" s="198"/>
      <c r="O6" s="198"/>
      <c r="P6" s="198"/>
      <c r="Q6" s="198"/>
      <c r="R6" s="79"/>
      <c r="S6" s="79"/>
    </row>
    <row r="7" spans="1:19">
      <c r="A7" s="79"/>
      <c r="B7" s="79"/>
      <c r="C7" s="210" t="s">
        <v>113</v>
      </c>
      <c r="D7" s="210" t="str">
        <f>'Input | General'!D6&amp;" 2025–30 PTRM"</f>
        <v>Ergon Energy 2025–30 PTRM</v>
      </c>
      <c r="E7" s="78" t="s">
        <v>50</v>
      </c>
      <c r="F7" s="79"/>
      <c r="G7" s="79"/>
      <c r="H7" s="198"/>
      <c r="I7" s="198"/>
      <c r="J7" s="198"/>
      <c r="K7" s="198"/>
      <c r="L7" s="198"/>
      <c r="M7" s="253">
        <v>3.2815002262318725E-2</v>
      </c>
      <c r="N7" s="253">
        <v>3.3052086325600617E-2</v>
      </c>
      <c r="O7" s="253">
        <v>3.3533319638007028E-2</v>
      </c>
      <c r="P7" s="253">
        <v>3.4364008641049493E-2</v>
      </c>
      <c r="Q7" s="253">
        <v>3.5217381383691834E-2</v>
      </c>
      <c r="R7" s="79"/>
      <c r="S7" s="79"/>
    </row>
    <row r="8" spans="1:19">
      <c r="A8" s="79"/>
      <c r="B8" s="79"/>
      <c r="C8" s="210" t="s">
        <v>114</v>
      </c>
      <c r="D8" s="210" t="s">
        <v>134</v>
      </c>
      <c r="E8" s="78" t="s">
        <v>50</v>
      </c>
      <c r="F8" s="79"/>
      <c r="G8" s="212"/>
      <c r="H8" s="232">
        <v>8.6058519793459354E-3</v>
      </c>
      <c r="I8" s="232">
        <v>3.4982935153583528E-2</v>
      </c>
      <c r="J8" s="232">
        <v>7.8318219291014124E-2</v>
      </c>
      <c r="K8" s="232">
        <v>4.0519877675840865E-2</v>
      </c>
      <c r="L8" s="253">
        <v>2.4246877296105973E-2</v>
      </c>
      <c r="M8" s="199"/>
      <c r="N8" s="199"/>
      <c r="O8" s="199"/>
      <c r="P8" s="199"/>
      <c r="Q8" s="199"/>
      <c r="R8" s="79"/>
      <c r="S8" s="79"/>
    </row>
    <row r="9" spans="1:19">
      <c r="A9" s="79"/>
      <c r="B9" s="79"/>
      <c r="C9" s="210" t="s">
        <v>115</v>
      </c>
      <c r="D9" s="210"/>
      <c r="E9" s="78" t="s">
        <v>29</v>
      </c>
      <c r="F9" s="79"/>
      <c r="G9" s="213"/>
      <c r="H9" s="200">
        <f>(1+H8)</f>
        <v>1.0086058519793459</v>
      </c>
      <c r="I9" s="200">
        <f>H9*(1+I8)</f>
        <v>1.0438898450946643</v>
      </c>
      <c r="J9" s="200">
        <f t="shared" ref="J9:L9" si="0">I9*(1+J8)</f>
        <v>1.1256454388984509</v>
      </c>
      <c r="K9" s="200">
        <f t="shared" si="0"/>
        <v>1.1712564543889843</v>
      </c>
      <c r="L9" s="200">
        <f t="shared" si="0"/>
        <v>1.1996557659208262</v>
      </c>
      <c r="M9" s="198"/>
      <c r="N9" s="198"/>
      <c r="O9" s="198"/>
      <c r="P9" s="198"/>
      <c r="Q9" s="198"/>
      <c r="R9" s="79"/>
      <c r="S9" s="79"/>
    </row>
    <row r="10" spans="1:19">
      <c r="A10" s="79"/>
      <c r="B10" s="79"/>
      <c r="C10" s="210" t="s">
        <v>116</v>
      </c>
      <c r="D10" s="210"/>
      <c r="E10" s="78" t="s">
        <v>50</v>
      </c>
      <c r="F10" s="79"/>
      <c r="G10" s="79"/>
      <c r="H10" s="201">
        <f>(1+H6)*(1+H8)-1</f>
        <v>3.2810824286792162E-2</v>
      </c>
      <c r="I10" s="201">
        <f t="shared" ref="I10:L10" si="1">(1+I6)*(1+I8)-1</f>
        <v>5.8197100668390123E-2</v>
      </c>
      <c r="J10" s="201">
        <f t="shared" si="1"/>
        <v>0.10182956730247161</v>
      </c>
      <c r="K10" s="201">
        <f t="shared" si="1"/>
        <v>6.4007870963732838E-2</v>
      </c>
      <c r="L10" s="201">
        <f t="shared" si="1"/>
        <v>4.786280630496309E-2</v>
      </c>
      <c r="M10" s="198"/>
      <c r="N10" s="198"/>
      <c r="O10" s="198"/>
      <c r="P10" s="198"/>
      <c r="Q10" s="198"/>
      <c r="R10" s="79"/>
      <c r="S10" s="79"/>
    </row>
    <row r="11" spans="1:19">
      <c r="A11" s="79"/>
      <c r="B11" s="79"/>
      <c r="C11" s="79"/>
      <c r="D11" s="239"/>
      <c r="E11" s="210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>
      <c r="A12" s="79"/>
      <c r="B12" s="79"/>
      <c r="C12" s="210" t="s">
        <v>84</v>
      </c>
      <c r="D12" s="252" t="s">
        <v>135</v>
      </c>
      <c r="E12" s="78" t="s">
        <v>49</v>
      </c>
      <c r="F12" s="78" t="s">
        <v>101</v>
      </c>
      <c r="G12" s="79"/>
      <c r="H12" s="214">
        <f>'Calc | CESS Revenue Increments'!D42</f>
        <v>9.6868986445509719</v>
      </c>
      <c r="I12" s="214">
        <f>'Calc | CESS Revenue Increments'!E42</f>
        <v>9.6868986445509719</v>
      </c>
      <c r="J12" s="214">
        <f>'Calc | CESS Revenue Increments'!F42</f>
        <v>9.6868986445509719</v>
      </c>
      <c r="K12" s="214">
        <f>'Calc | CESS Revenue Increments'!G42</f>
        <v>9.6868986445509719</v>
      </c>
      <c r="L12" s="214">
        <f>'Calc | CESS Revenue Increments'!H42</f>
        <v>9.6868986445509719</v>
      </c>
      <c r="M12" s="79"/>
      <c r="N12" s="79"/>
      <c r="O12" s="79"/>
      <c r="P12" s="79"/>
      <c r="Q12" s="79"/>
      <c r="R12" s="79"/>
      <c r="S12" s="79"/>
    </row>
    <row r="13" spans="1:19">
      <c r="A13" s="79"/>
      <c r="B13" s="79"/>
      <c r="C13" s="210" t="s">
        <v>84</v>
      </c>
      <c r="D13" s="252" t="s">
        <v>136</v>
      </c>
      <c r="E13" s="78" t="s">
        <v>49</v>
      </c>
      <c r="F13" s="78" t="s">
        <v>101</v>
      </c>
      <c r="G13" s="79"/>
      <c r="H13" s="214">
        <f>'Calc | CESS Revenue Increments'!J42</f>
        <v>6.3552855216609938</v>
      </c>
      <c r="I13" s="214">
        <f>'Calc | CESS Revenue Increments'!K42</f>
        <v>6.3552855216609938</v>
      </c>
      <c r="J13" s="214">
        <f>'Calc | CESS Revenue Increments'!L42</f>
        <v>6.3552855216609938</v>
      </c>
      <c r="K13" s="214">
        <f>'Calc | CESS Revenue Increments'!M42</f>
        <v>6.3552855216609938</v>
      </c>
      <c r="L13" s="214">
        <f>'Calc | CESS Revenue Increments'!N42</f>
        <v>6.3552855216609938</v>
      </c>
      <c r="M13" s="79"/>
      <c r="N13" s="79"/>
      <c r="O13" s="79"/>
      <c r="P13" s="79"/>
      <c r="Q13" s="79"/>
      <c r="R13" s="79"/>
      <c r="S13" s="79"/>
    </row>
    <row r="14" spans="1:19">
      <c r="A14" s="79"/>
      <c r="B14" s="79"/>
      <c r="C14" s="210"/>
      <c r="D14" s="210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>
      <c r="A15" s="79"/>
      <c r="B15" s="79"/>
      <c r="C15" s="210" t="s">
        <v>117</v>
      </c>
      <c r="D15" s="78"/>
      <c r="E15" s="78" t="s">
        <v>49</v>
      </c>
      <c r="F15" s="78" t="s">
        <v>101</v>
      </c>
      <c r="G15" s="79"/>
      <c r="H15" s="214">
        <f>H13-H12</f>
        <v>-3.3316131228899781</v>
      </c>
      <c r="I15" s="214">
        <f t="shared" ref="I15:L15" si="2">I13-I12</f>
        <v>-3.3316131228899781</v>
      </c>
      <c r="J15" s="214">
        <f t="shared" si="2"/>
        <v>-3.3316131228899781</v>
      </c>
      <c r="K15" s="214">
        <f t="shared" si="2"/>
        <v>-3.3316131228899781</v>
      </c>
      <c r="L15" s="214">
        <f t="shared" si="2"/>
        <v>-3.3316131228899781</v>
      </c>
      <c r="M15" s="79"/>
      <c r="N15" s="79"/>
      <c r="O15" s="79"/>
      <c r="P15" s="79"/>
      <c r="Q15" s="79"/>
      <c r="R15" s="79"/>
      <c r="S15" s="79"/>
    </row>
    <row r="16" spans="1:19">
      <c r="A16" s="79"/>
      <c r="B16" s="79"/>
      <c r="C16" s="210" t="s">
        <v>117</v>
      </c>
      <c r="D16" s="78"/>
      <c r="E16" s="215" t="s">
        <v>49</v>
      </c>
      <c r="F16" s="215" t="s">
        <v>52</v>
      </c>
      <c r="G16" s="79"/>
      <c r="H16" s="214">
        <f>H15*H9</f>
        <v>-3.3602844922780157</v>
      </c>
      <c r="I16" s="214">
        <f>I15*I9</f>
        <v>-3.4778371067689702</v>
      </c>
      <c r="J16" s="214">
        <f>J15*J9</f>
        <v>-3.7502151159553283</v>
      </c>
      <c r="K16" s="214">
        <f>K15*K9</f>
        <v>-3.9021733737119271</v>
      </c>
      <c r="L16" s="214">
        <f>L15*L9</f>
        <v>-3.9967888926924524</v>
      </c>
      <c r="M16" s="79"/>
      <c r="N16" s="79"/>
      <c r="O16" s="79"/>
      <c r="P16" s="79"/>
      <c r="Q16" s="79"/>
      <c r="R16" s="79"/>
      <c r="S16" s="79"/>
    </row>
    <row r="17" spans="1:19">
      <c r="A17" s="79"/>
      <c r="B17" s="79"/>
      <c r="C17" s="210" t="s">
        <v>71</v>
      </c>
      <c r="D17" s="210"/>
      <c r="E17" s="215"/>
      <c r="F17" s="215"/>
      <c r="G17" s="79"/>
      <c r="H17" s="214"/>
      <c r="I17" s="214">
        <f>$H$16*I$6</f>
        <v>-7.5369552222621247E-2</v>
      </c>
      <c r="J17" s="214">
        <f>$H$16*I$9/$H$9*J$6</f>
        <v>-7.5829784827495333E-2</v>
      </c>
      <c r="K17" s="214">
        <f>$H$16*J$9/$H$9*K$6</f>
        <v>-8.465482434459673E-2</v>
      </c>
      <c r="L17" s="214">
        <f>$H$16*K$9/$H$9*L$6</f>
        <v>-8.9971911476174449E-2</v>
      </c>
      <c r="M17" s="79"/>
      <c r="N17" s="79"/>
      <c r="O17" s="79"/>
      <c r="P17" s="79"/>
      <c r="Q17" s="79"/>
      <c r="R17" s="79"/>
      <c r="S17" s="79"/>
    </row>
    <row r="18" spans="1:19">
      <c r="A18" s="79"/>
      <c r="B18" s="79"/>
      <c r="C18" s="210" t="s">
        <v>72</v>
      </c>
      <c r="D18" s="210"/>
      <c r="E18" s="215"/>
      <c r="F18" s="215"/>
      <c r="G18" s="79"/>
      <c r="H18" s="214"/>
      <c r="I18" s="214"/>
      <c r="J18" s="214">
        <f>$I$16*J$6</f>
        <v>-7.5829784827495333E-2</v>
      </c>
      <c r="K18" s="214">
        <f>$I$16*J$9/$I$9*K$6</f>
        <v>-8.465482434459673E-2</v>
      </c>
      <c r="L18" s="214">
        <f>$I$16*K$9/$I$9*L$6</f>
        <v>-8.9971911476174463E-2</v>
      </c>
      <c r="M18" s="79"/>
      <c r="N18" s="79"/>
      <c r="O18" s="79"/>
      <c r="P18" s="79"/>
      <c r="Q18" s="79"/>
      <c r="R18" s="79"/>
      <c r="S18" s="79"/>
    </row>
    <row r="19" spans="1:19">
      <c r="A19" s="79"/>
      <c r="B19" s="79"/>
      <c r="C19" s="210" t="s">
        <v>73</v>
      </c>
      <c r="D19" s="210"/>
      <c r="E19" s="215"/>
      <c r="F19" s="215"/>
      <c r="G19" s="79"/>
      <c r="H19" s="214"/>
      <c r="I19" s="214"/>
      <c r="J19" s="214"/>
      <c r="K19" s="214">
        <f>$J$16*K$6</f>
        <v>-8.465482434459673E-2</v>
      </c>
      <c r="L19" s="214">
        <f>$J$16*K$9/$J$9*L$6</f>
        <v>-8.9971911476174463E-2</v>
      </c>
      <c r="M19" s="79"/>
      <c r="N19" s="79"/>
      <c r="O19" s="79"/>
      <c r="P19" s="79"/>
      <c r="Q19" s="79"/>
      <c r="R19" s="79"/>
      <c r="S19" s="79"/>
    </row>
    <row r="20" spans="1:19">
      <c r="A20" s="79"/>
      <c r="B20" s="79"/>
      <c r="C20" s="210" t="s">
        <v>74</v>
      </c>
      <c r="D20" s="210"/>
      <c r="E20" s="215"/>
      <c r="F20" s="215"/>
      <c r="G20" s="79"/>
      <c r="H20" s="214"/>
      <c r="I20" s="214"/>
      <c r="J20" s="214"/>
      <c r="K20" s="214"/>
      <c r="L20" s="214">
        <f>$K$16*L$6</f>
        <v>-8.9971911476174449E-2</v>
      </c>
      <c r="M20" s="79"/>
      <c r="N20" s="79"/>
      <c r="O20" s="79"/>
      <c r="P20" s="79"/>
      <c r="Q20" s="79"/>
      <c r="R20" s="79"/>
      <c r="S20" s="79"/>
    </row>
    <row r="21" spans="1:19">
      <c r="A21" s="79"/>
      <c r="B21" s="79"/>
      <c r="C21" s="210" t="s">
        <v>75</v>
      </c>
      <c r="D21" s="210"/>
      <c r="E21" s="215"/>
      <c r="F21" s="215"/>
      <c r="G21" s="79"/>
      <c r="H21" s="211"/>
      <c r="I21" s="211"/>
      <c r="J21" s="211"/>
      <c r="K21" s="211"/>
      <c r="L21" s="211"/>
      <c r="M21" s="79"/>
      <c r="N21" s="79"/>
      <c r="O21" s="79"/>
      <c r="P21" s="79"/>
      <c r="Q21" s="79"/>
      <c r="R21" s="79"/>
      <c r="S21" s="79"/>
    </row>
    <row r="22" spans="1:19">
      <c r="A22" s="79"/>
      <c r="B22" s="79"/>
      <c r="C22" s="210" t="s">
        <v>19</v>
      </c>
      <c r="D22" s="78"/>
      <c r="E22" s="215" t="s">
        <v>49</v>
      </c>
      <c r="F22" s="215"/>
      <c r="G22" s="79"/>
      <c r="H22" s="214">
        <f>SUM(H17:H21)</f>
        <v>0</v>
      </c>
      <c r="I22" s="214">
        <f>SUM(I17:I21)</f>
        <v>-7.5369552222621247E-2</v>
      </c>
      <c r="J22" s="214">
        <f t="shared" ref="J22:L22" si="3">SUM(J17:J21)</f>
        <v>-0.15165956965499067</v>
      </c>
      <c r="K22" s="214">
        <f t="shared" si="3"/>
        <v>-0.25396447303379022</v>
      </c>
      <c r="L22" s="214">
        <f t="shared" si="3"/>
        <v>-0.35988764590469779</v>
      </c>
      <c r="M22" s="79"/>
      <c r="N22" s="79"/>
      <c r="O22" s="79"/>
      <c r="P22" s="79"/>
      <c r="Q22" s="79"/>
      <c r="R22" s="79"/>
      <c r="S22" s="79"/>
    </row>
    <row r="23" spans="1:19">
      <c r="A23" s="79"/>
      <c r="B23" s="79"/>
      <c r="C23" s="210"/>
      <c r="D23" s="210"/>
      <c r="E23" s="215"/>
      <c r="F23" s="215"/>
      <c r="G23" s="79"/>
      <c r="H23" s="211"/>
      <c r="I23" s="211"/>
      <c r="J23" s="211"/>
      <c r="K23" s="211"/>
      <c r="L23" s="211"/>
      <c r="M23" s="79"/>
      <c r="N23" s="79"/>
      <c r="O23" s="79"/>
      <c r="P23" s="79"/>
      <c r="Q23" s="79"/>
      <c r="R23" s="79"/>
      <c r="S23" s="79"/>
    </row>
    <row r="24" spans="1:19">
      <c r="A24" s="79"/>
      <c r="B24" s="79"/>
      <c r="C24" s="210" t="s">
        <v>93</v>
      </c>
      <c r="D24" s="210"/>
      <c r="E24" s="215"/>
      <c r="F24" s="215"/>
      <c r="G24" s="79"/>
      <c r="H24" s="214">
        <f>I24*(1+I10)</f>
        <v>1.2999607978232177</v>
      </c>
      <c r="I24" s="214">
        <f>J24*(1+J10)</f>
        <v>1.2284675482498697</v>
      </c>
      <c r="J24" s="214">
        <f>K24*(1+K10)</f>
        <v>1.1149342735986261</v>
      </c>
      <c r="K24" s="216">
        <f>L24*(1+L10)</f>
        <v>1.0478628063049631</v>
      </c>
      <c r="L24" s="214">
        <v>1</v>
      </c>
      <c r="M24" s="79"/>
      <c r="N24" s="79"/>
      <c r="O24" s="79"/>
      <c r="P24" s="79"/>
      <c r="Q24" s="79"/>
      <c r="R24" s="79"/>
      <c r="S24" s="79"/>
    </row>
    <row r="25" spans="1:19">
      <c r="A25" s="79"/>
      <c r="B25" s="79"/>
      <c r="C25" s="210" t="s">
        <v>118</v>
      </c>
      <c r="D25" s="210"/>
      <c r="E25" s="215" t="s">
        <v>49</v>
      </c>
      <c r="F25" s="215"/>
      <c r="G25" s="79"/>
      <c r="H25" s="214">
        <f>H16*H24</f>
        <v>-4.3682381094947154</v>
      </c>
      <c r="I25" s="214">
        <f t="shared" ref="I25:L25" si="4">I16*I24</f>
        <v>-4.2724100237648974</v>
      </c>
      <c r="J25" s="214">
        <f t="shared" si="4"/>
        <v>-4.1812433661462416</v>
      </c>
      <c r="K25" s="214">
        <f t="shared" si="4"/>
        <v>-4.0889423420662858</v>
      </c>
      <c r="L25" s="214">
        <f t="shared" si="4"/>
        <v>-3.9967888926924524</v>
      </c>
      <c r="M25" s="79"/>
      <c r="N25" s="79"/>
      <c r="O25" s="79"/>
      <c r="P25" s="79"/>
      <c r="Q25" s="79"/>
      <c r="R25" s="79"/>
      <c r="S25" s="79"/>
    </row>
    <row r="26" spans="1:19">
      <c r="A26" s="79"/>
      <c r="B26" s="79"/>
      <c r="C26" s="210" t="s">
        <v>21</v>
      </c>
      <c r="D26" s="210"/>
      <c r="E26" s="215" t="s">
        <v>49</v>
      </c>
      <c r="F26" s="215"/>
      <c r="G26" s="79"/>
      <c r="H26" s="217">
        <f>H22*H24</f>
        <v>0</v>
      </c>
      <c r="I26" s="217">
        <f t="shared" ref="I26:L26" si="5">I22*I24</f>
        <v>-9.2589049031614037E-2</v>
      </c>
      <c r="J26" s="217">
        <f t="shared" si="5"/>
        <v>-0.16909045212756726</v>
      </c>
      <c r="K26" s="217">
        <f t="shared" si="5"/>
        <v>-0.26611992541494855</v>
      </c>
      <c r="L26" s="217">
        <f t="shared" si="5"/>
        <v>-0.35988764590469779</v>
      </c>
      <c r="M26" s="79"/>
      <c r="N26" s="79"/>
      <c r="O26" s="79"/>
      <c r="P26" s="79"/>
      <c r="Q26" s="79"/>
      <c r="R26" s="79"/>
      <c r="S26" s="79"/>
    </row>
    <row r="27" spans="1:19">
      <c r="A27" s="79"/>
      <c r="B27" s="79"/>
      <c r="C27" s="195" t="s">
        <v>119</v>
      </c>
      <c r="D27" s="218"/>
      <c r="E27" s="219" t="s">
        <v>49</v>
      </c>
      <c r="F27" s="205"/>
      <c r="G27" s="79"/>
      <c r="H27" s="195"/>
      <c r="I27" s="195"/>
      <c r="J27" s="195"/>
      <c r="K27" s="206"/>
      <c r="L27" s="223">
        <f>SUM(H25:L26)</f>
        <v>-21.79530980664342</v>
      </c>
      <c r="M27" s="79"/>
      <c r="N27" s="220"/>
      <c r="O27" s="79"/>
      <c r="P27" s="79"/>
      <c r="Q27" s="79"/>
      <c r="R27" s="79"/>
      <c r="S27" s="79"/>
    </row>
    <row r="28" spans="1:19">
      <c r="A28" s="79"/>
      <c r="B28" s="79"/>
      <c r="C28" s="79"/>
      <c r="D28" s="79"/>
      <c r="E28" s="79"/>
      <c r="F28" s="79"/>
      <c r="G28" s="79"/>
      <c r="H28" s="221"/>
      <c r="I28" s="221"/>
      <c r="J28" s="221"/>
      <c r="K28" s="221"/>
      <c r="L28" s="79"/>
      <c r="M28" s="79"/>
      <c r="N28" s="79"/>
      <c r="O28" s="79"/>
      <c r="P28" s="79"/>
      <c r="Q28" s="79"/>
      <c r="R28" s="79"/>
      <c r="S28" s="79"/>
    </row>
    <row r="29" spans="1:19">
      <c r="A29" s="29"/>
      <c r="B29" s="224"/>
      <c r="C29" s="225" t="s">
        <v>55</v>
      </c>
      <c r="D29" s="226"/>
      <c r="E29" s="226"/>
      <c r="F29" s="227" t="s">
        <v>56</v>
      </c>
      <c r="G29" s="227"/>
      <c r="H29" s="224"/>
      <c r="I29" s="224"/>
      <c r="J29" s="224"/>
      <c r="K29" s="228"/>
      <c r="L29" s="228"/>
      <c r="M29" s="228"/>
      <c r="N29" s="226"/>
      <c r="O29" s="229"/>
      <c r="P29" s="226"/>
      <c r="Q29" s="226"/>
      <c r="R29" s="226"/>
      <c r="S29" s="62"/>
    </row>
    <row r="30" spans="1:19">
      <c r="A30" s="79"/>
      <c r="B30" s="79"/>
      <c r="C30" s="222" t="s">
        <v>122</v>
      </c>
      <c r="D30" s="79"/>
      <c r="E30" s="188" t="s">
        <v>51</v>
      </c>
      <c r="F30" s="188" t="s">
        <v>4</v>
      </c>
      <c r="G30" s="79"/>
      <c r="H30" s="209" t="s">
        <v>107</v>
      </c>
      <c r="I30" s="209" t="s">
        <v>108</v>
      </c>
      <c r="J30" s="209" t="s">
        <v>109</v>
      </c>
      <c r="K30" s="209" t="s">
        <v>110</v>
      </c>
      <c r="L30" s="209" t="s">
        <v>111</v>
      </c>
      <c r="M30" s="209" t="s">
        <v>87</v>
      </c>
      <c r="N30" s="220"/>
      <c r="O30" s="79"/>
      <c r="P30" s="79"/>
      <c r="Q30" s="79"/>
      <c r="R30" s="79"/>
      <c r="S30" s="79"/>
    </row>
    <row r="31" spans="1:19">
      <c r="A31" s="79"/>
      <c r="B31" s="79"/>
      <c r="C31" s="210" t="s">
        <v>99</v>
      </c>
      <c r="D31" s="79"/>
      <c r="E31" s="78"/>
      <c r="F31" s="78"/>
      <c r="G31" s="79"/>
      <c r="H31" s="214">
        <f>1/(1+M7)</f>
        <v>0.96822760882593728</v>
      </c>
      <c r="I31" s="214">
        <f>H31/(1+N7)</f>
        <v>0.93724955560543566</v>
      </c>
      <c r="J31" s="214">
        <f>I31/(1+O7)</f>
        <v>0.90684019353503331</v>
      </c>
      <c r="K31" s="214">
        <f>J31/(1+P7)</f>
        <v>0.87671282639314052</v>
      </c>
      <c r="L31" s="214">
        <f>K31/(1+Q7)</f>
        <v>0.84688766065858456</v>
      </c>
      <c r="M31" s="79"/>
      <c r="N31" s="79"/>
      <c r="O31" s="79"/>
      <c r="P31" s="79"/>
      <c r="Q31" s="79"/>
      <c r="R31" s="79"/>
      <c r="S31" s="79"/>
    </row>
    <row r="32" spans="1:19">
      <c r="A32" s="79"/>
      <c r="B32" s="79"/>
      <c r="C32" s="210"/>
      <c r="D32" s="79"/>
      <c r="E32" s="78"/>
      <c r="F32" s="78"/>
      <c r="G32" s="79"/>
      <c r="H32" s="230"/>
      <c r="I32" s="230"/>
      <c r="J32" s="230"/>
      <c r="K32" s="230"/>
      <c r="L32" s="230"/>
      <c r="M32" s="79"/>
      <c r="N32" s="79"/>
      <c r="O32" s="79"/>
      <c r="P32" s="79"/>
      <c r="Q32" s="79"/>
      <c r="R32" s="79"/>
      <c r="S32" s="79"/>
    </row>
    <row r="33" spans="1:19">
      <c r="A33" s="79"/>
      <c r="B33" s="79"/>
      <c r="C33" s="210" t="s">
        <v>137</v>
      </c>
      <c r="D33" s="79"/>
      <c r="E33" s="78" t="s">
        <v>49</v>
      </c>
      <c r="F33" s="78" t="s">
        <v>107</v>
      </c>
      <c r="G33" s="79"/>
      <c r="H33" s="206">
        <f>$L$27/SUM($H$31:$L$31)</f>
        <v>-4.8050495073630017</v>
      </c>
      <c r="I33" s="206">
        <f t="shared" ref="I33:L33" si="6">$L$27/SUM($H$31:$L$31)</f>
        <v>-4.8050495073630017</v>
      </c>
      <c r="J33" s="206">
        <f t="shared" si="6"/>
        <v>-4.8050495073630017</v>
      </c>
      <c r="K33" s="206">
        <f t="shared" si="6"/>
        <v>-4.8050495073630017</v>
      </c>
      <c r="L33" s="206">
        <f t="shared" si="6"/>
        <v>-4.8050495073630017</v>
      </c>
      <c r="M33" s="206">
        <f>SUM(H33:L33)</f>
        <v>-24.025247536815009</v>
      </c>
      <c r="N33" s="79"/>
      <c r="O33" s="79"/>
      <c r="P33" s="79"/>
      <c r="Q33" s="79"/>
      <c r="R33" s="79"/>
      <c r="S33" s="79"/>
    </row>
    <row r="34" spans="1:19">
      <c r="A34" s="79"/>
      <c r="B34" s="79"/>
      <c r="C34" s="210"/>
      <c r="D34" s="79"/>
      <c r="E34" s="79"/>
      <c r="F34" s="79"/>
      <c r="G34" s="79"/>
      <c r="H34" s="221"/>
      <c r="I34" s="221"/>
      <c r="J34" s="221"/>
      <c r="K34" s="221"/>
      <c r="L34" s="221"/>
      <c r="M34" s="221"/>
      <c r="N34" s="79"/>
      <c r="O34" s="79"/>
      <c r="P34" s="79"/>
      <c r="Q34" s="79"/>
      <c r="R34" s="79"/>
      <c r="S34" s="79"/>
    </row>
    <row r="35" spans="1:19">
      <c r="A35" s="79"/>
      <c r="B35" s="79"/>
      <c r="C35" s="210"/>
      <c r="D35" s="79"/>
      <c r="E35" s="79"/>
      <c r="F35" s="79"/>
      <c r="G35" s="79"/>
      <c r="H35" s="221"/>
      <c r="I35" s="221"/>
      <c r="J35" s="221"/>
      <c r="K35" s="221"/>
      <c r="L35" s="221"/>
      <c r="M35" s="257"/>
      <c r="N35" s="79"/>
      <c r="O35" s="79"/>
      <c r="P35" s="79"/>
      <c r="Q35" s="79"/>
      <c r="R35" s="79"/>
      <c r="S35" s="79"/>
    </row>
    <row r="36" spans="1:19">
      <c r="A36" s="79"/>
      <c r="B36" s="79"/>
      <c r="C36" s="79"/>
      <c r="D36" s="79"/>
      <c r="E36" s="79"/>
      <c r="F36" s="79"/>
      <c r="G36" s="79"/>
      <c r="H36" s="79"/>
      <c r="I36" s="221"/>
      <c r="J36" s="79"/>
      <c r="K36" s="79"/>
      <c r="L36" s="79"/>
      <c r="M36" s="256"/>
      <c r="N36" s="79"/>
      <c r="O36" s="79"/>
      <c r="P36" s="79"/>
      <c r="Q36" s="79"/>
      <c r="R36" s="79"/>
      <c r="S36" s="79"/>
    </row>
    <row r="37" spans="1:19">
      <c r="A37" s="29"/>
      <c r="B37" s="29" t="s">
        <v>33</v>
      </c>
      <c r="C37" s="29"/>
      <c r="D37" s="63"/>
      <c r="E37" s="63"/>
      <c r="F37" s="63"/>
      <c r="G37" s="63"/>
      <c r="H37" s="63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Input | General</vt:lpstr>
      <vt:lpstr>Input | Inflation and Disc Rate</vt:lpstr>
      <vt:lpstr>FY19 Capex</vt:lpstr>
      <vt:lpstr>FY20 Capex</vt:lpstr>
      <vt:lpstr>Input | Reported Capex</vt:lpstr>
      <vt:lpstr>Calc | CESS Revenue Increments</vt:lpstr>
      <vt:lpstr>Output | Models</vt:lpstr>
      <vt:lpstr>Output| CESS true-up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2025-04-02T03:12:43Z</dcterms:created>
  <dcterms:modified xsi:type="dcterms:W3CDTF">2025-04-02T03:12:46Z</dcterms:modified>
  <cp:category/>
  <cp:contentStatus/>
</cp:coreProperties>
</file>