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4" documentId="13_ncr:1_{8BEE3ECD-86A5-48DD-AC9A-6ED63F52E852}" xr6:coauthVersionLast="47" xr6:coauthVersionMax="47" xr10:uidLastSave="{B984C900-8909-4A96-8566-0E3C006BE431}"/>
  <bookViews>
    <workbookView xWindow="-28920" yWindow="-120" windowWidth="29040" windowHeight="15840" tabRatio="691" activeTab="6" xr2:uid="{00000000-000D-0000-FFFF-FFFF00000000}"/>
  </bookViews>
  <sheets>
    <sheet name="Index" sheetId="5" r:id="rId1"/>
    <sheet name="AER final decision amendments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definedNames>
    <definedName name="A10remlife">#REF!</definedName>
    <definedName name="A10stdlife">#REF!</definedName>
    <definedName name="A10taxremlife">#REF!</definedName>
    <definedName name="A10taxstdlife">#REF!</definedName>
    <definedName name="A10taxvalue">#REF!</definedName>
    <definedName name="A10value">#REF!</definedName>
    <definedName name="A11remlife">#REF!</definedName>
    <definedName name="A11stdlife">#REF!</definedName>
    <definedName name="A11taxremlife">#REF!</definedName>
    <definedName name="A11taxstdlife">#REF!</definedName>
    <definedName name="A11taxvalue">#REF!</definedName>
    <definedName name="A11value">#REF!</definedName>
    <definedName name="A12remlife">#REF!</definedName>
    <definedName name="A12stdlife">#REF!</definedName>
    <definedName name="A12taxremlife">#REF!</definedName>
    <definedName name="A12taxstdlife">#REF!</definedName>
    <definedName name="A12taxvalue">#REF!</definedName>
    <definedName name="A12value">#REF!</definedName>
    <definedName name="A13remlife">#REF!</definedName>
    <definedName name="A13stdlife">#REF!</definedName>
    <definedName name="A13taxremlife">#REF!</definedName>
    <definedName name="A13taxstdlife">#REF!</definedName>
    <definedName name="A13taxvalue">#REF!</definedName>
    <definedName name="A13value">#REF!</definedName>
    <definedName name="A14remlife">#REF!</definedName>
    <definedName name="A14stdlife">#REF!</definedName>
    <definedName name="A14taxremlife">#REF!</definedName>
    <definedName name="A14taxstdlife">#REF!</definedName>
    <definedName name="A14taxvalue">#REF!</definedName>
    <definedName name="A14value">#REF!</definedName>
    <definedName name="A15remlife">#REF!</definedName>
    <definedName name="A15stdlife">#REF!</definedName>
    <definedName name="A15taxremlife">#REF!</definedName>
    <definedName name="A15taxstdlife">#REF!</definedName>
    <definedName name="A15taxvalue">#REF!</definedName>
    <definedName name="A15value">#REF!</definedName>
    <definedName name="A16remlife">#REF!</definedName>
    <definedName name="A16stdlife">#REF!</definedName>
    <definedName name="A16taxremlife">#REF!</definedName>
    <definedName name="A16taxstdlife">#REF!</definedName>
    <definedName name="A16taxvalue">#REF!</definedName>
    <definedName name="A16value">#REF!</definedName>
    <definedName name="A17remlife">#REF!</definedName>
    <definedName name="A17stdlife">#REF!</definedName>
    <definedName name="A17taxremlife">#REF!</definedName>
    <definedName name="A17taxstdlife">#REF!</definedName>
    <definedName name="A17taxvalue">#REF!</definedName>
    <definedName name="A17value">#REF!</definedName>
    <definedName name="A18remlife">#REF!</definedName>
    <definedName name="A18stdlife">#REF!</definedName>
    <definedName name="A18taxremlife">#REF!</definedName>
    <definedName name="A18taxstdlife">#REF!</definedName>
    <definedName name="A18taxvalue">#REF!</definedName>
    <definedName name="A18value">#REF!</definedName>
    <definedName name="A19remlife">#REF!</definedName>
    <definedName name="A19stdlife">#REF!</definedName>
    <definedName name="A19taxremlife">#REF!</definedName>
    <definedName name="A19taxstdlife">#REF!</definedName>
    <definedName name="A19taxvalue">#REF!</definedName>
    <definedName name="A19value">#REF!</definedName>
    <definedName name="A1remlife">#REF!</definedName>
    <definedName name="A1stdlife">#REF!</definedName>
    <definedName name="A1taxremlife">#REF!</definedName>
    <definedName name="A1taxstdlife">#REF!</definedName>
    <definedName name="A1taxvalue">#REF!</definedName>
    <definedName name="A1value">#REF!</definedName>
    <definedName name="A20remlife">#REF!</definedName>
    <definedName name="A20stdlife">#REF!</definedName>
    <definedName name="A20taxremlife">#REF!</definedName>
    <definedName name="A20taxstdlife">#REF!</definedName>
    <definedName name="A20taxvalue">#REF!</definedName>
    <definedName name="A20value">#REF!</definedName>
    <definedName name="A21remlife">#REF!</definedName>
    <definedName name="A21stdlife">#REF!</definedName>
    <definedName name="A21taxremlife">#REF!</definedName>
    <definedName name="A21taxstdlife">#REF!</definedName>
    <definedName name="A21taxvalue">#REF!</definedName>
    <definedName name="A21value">#REF!</definedName>
    <definedName name="A22remlife">#REF!</definedName>
    <definedName name="A22stdlife">#REF!</definedName>
    <definedName name="A22taxremlife">#REF!</definedName>
    <definedName name="A22taxstdlife">#REF!</definedName>
    <definedName name="A22taxvalue">#REF!</definedName>
    <definedName name="A22value">#REF!</definedName>
    <definedName name="A23remlife">#REF!</definedName>
    <definedName name="A23stdlife">#REF!</definedName>
    <definedName name="A23taxremlife">#REF!</definedName>
    <definedName name="A23taxstdlife">#REF!</definedName>
    <definedName name="A23taxvalue">#REF!</definedName>
    <definedName name="A23value">#REF!</definedName>
    <definedName name="A24remlife">#REF!</definedName>
    <definedName name="A24stdlife">#REF!</definedName>
    <definedName name="A24taxremlife">#REF!</definedName>
    <definedName name="A24taxstdlife">#REF!</definedName>
    <definedName name="A24taxvalue">#REF!</definedName>
    <definedName name="A24value">#REF!</definedName>
    <definedName name="A25remlife">#REF!</definedName>
    <definedName name="A25stdlife">#REF!</definedName>
    <definedName name="A25taxremlife">#REF!</definedName>
    <definedName name="A25taxstdlife">#REF!</definedName>
    <definedName name="A25taxvalue">#REF!</definedName>
    <definedName name="A25value">#REF!</definedName>
    <definedName name="A26remlife">#REF!</definedName>
    <definedName name="A26stdlife">#REF!</definedName>
    <definedName name="A26taxremlife">#REF!</definedName>
    <definedName name="A26taxstdlife">#REF!</definedName>
    <definedName name="A26taxvalue">#REF!</definedName>
    <definedName name="A26value">#REF!</definedName>
    <definedName name="A27remlife">#REF!</definedName>
    <definedName name="A27stdlife">#REF!</definedName>
    <definedName name="A27taxremlife">#REF!</definedName>
    <definedName name="A27taxstdlife">#REF!</definedName>
    <definedName name="A27taxvalue">#REF!</definedName>
    <definedName name="A27value">#REF!</definedName>
    <definedName name="A28remlife">#REF!</definedName>
    <definedName name="A28stdlife">#REF!</definedName>
    <definedName name="A28taxremlife">#REF!</definedName>
    <definedName name="A28taxstdlife">#REF!</definedName>
    <definedName name="A28taxvalue">#REF!</definedName>
    <definedName name="A28value">#REF!</definedName>
    <definedName name="A29remlife">#REF!</definedName>
    <definedName name="A29stdlife">#REF!</definedName>
    <definedName name="A29taxremlife">#REF!</definedName>
    <definedName name="A29taxstdlife">#REF!</definedName>
    <definedName name="A29taxvalue">#REF!</definedName>
    <definedName name="A29value">#REF!</definedName>
    <definedName name="A2remlife">#REF!</definedName>
    <definedName name="A2stdlife">#REF!</definedName>
    <definedName name="A2taxremlife">#REF!</definedName>
    <definedName name="A2taxstdlife">#REF!</definedName>
    <definedName name="A2taxvalue">#REF!</definedName>
    <definedName name="A2value">#REF!</definedName>
    <definedName name="A30remlife">#REF!</definedName>
    <definedName name="A30stdlife">#REF!</definedName>
    <definedName name="A30taxremlife">#REF!</definedName>
    <definedName name="A30taxstdlife">#REF!</definedName>
    <definedName name="A30taxvalue">#REF!</definedName>
    <definedName name="A30value">#REF!</definedName>
    <definedName name="A31remlife">#REF!</definedName>
    <definedName name="A31stdlife">#REF!</definedName>
    <definedName name="A31taxremlife">#REF!</definedName>
    <definedName name="A31taxstdlife">#REF!</definedName>
    <definedName name="A31taxvalue">#REF!</definedName>
    <definedName name="A31value">#REF!</definedName>
    <definedName name="A32remlife">#REF!</definedName>
    <definedName name="A32stdlife">#REF!</definedName>
    <definedName name="A32taxremlife">#REF!</definedName>
    <definedName name="A32taxstdlife">#REF!</definedName>
    <definedName name="A32taxvalue">#REF!</definedName>
    <definedName name="A32value">#REF!</definedName>
    <definedName name="A33remlife">#REF!</definedName>
    <definedName name="A33stdlife">#REF!</definedName>
    <definedName name="A33taxremlife">#REF!</definedName>
    <definedName name="A33taxstdlife">#REF!</definedName>
    <definedName name="A33taxvalue">#REF!</definedName>
    <definedName name="A33value">#REF!</definedName>
    <definedName name="A34remlife">#REF!</definedName>
    <definedName name="A34stdlife">#REF!</definedName>
    <definedName name="A34taxremlife">#REF!</definedName>
    <definedName name="A34taxstdlife">#REF!</definedName>
    <definedName name="A34taxvalue">#REF!</definedName>
    <definedName name="A34value">#REF!</definedName>
    <definedName name="A35remlife">#REF!</definedName>
    <definedName name="A35stdlife">#REF!</definedName>
    <definedName name="A35taxremlife">#REF!</definedName>
    <definedName name="A35taxstdlife">#REF!</definedName>
    <definedName name="A35taxvalue">#REF!</definedName>
    <definedName name="A35value">#REF!</definedName>
    <definedName name="A36remlife">#REF!</definedName>
    <definedName name="A36stdlife">#REF!</definedName>
    <definedName name="A36taxremlife">#REF!</definedName>
    <definedName name="A36taxstdlife">#REF!</definedName>
    <definedName name="A36taxvalue">#REF!</definedName>
    <definedName name="A36value">#REF!</definedName>
    <definedName name="A37remlife">#REF!</definedName>
    <definedName name="A37stdlife">#REF!</definedName>
    <definedName name="A37taxremlife">#REF!</definedName>
    <definedName name="A37taxstdlife">#REF!</definedName>
    <definedName name="A37taxvalue">#REF!</definedName>
    <definedName name="A37value">#REF!</definedName>
    <definedName name="A38remlife">#REF!</definedName>
    <definedName name="A38stdlife">#REF!</definedName>
    <definedName name="A38taxremlife">#REF!</definedName>
    <definedName name="A38taxstdlife">#REF!</definedName>
    <definedName name="A38taxvalue">#REF!</definedName>
    <definedName name="A38value">#REF!</definedName>
    <definedName name="A39remlife">#REF!</definedName>
    <definedName name="A39stdlife">#REF!</definedName>
    <definedName name="A39taxremlife">#REF!</definedName>
    <definedName name="A39taxstdlife">#REF!</definedName>
    <definedName name="A39taxvalue">#REF!</definedName>
    <definedName name="A39value">#REF!</definedName>
    <definedName name="A3remlife">#REF!</definedName>
    <definedName name="A3stdlife">#REF!</definedName>
    <definedName name="A3taxremlife">#REF!</definedName>
    <definedName name="A3taxstdlife">#REF!</definedName>
    <definedName name="A3taxvalue">#REF!</definedName>
    <definedName name="A3value">#REF!</definedName>
    <definedName name="A40remlife">#REF!</definedName>
    <definedName name="A40stdlife">#REF!</definedName>
    <definedName name="A40taxremlife">#REF!</definedName>
    <definedName name="A40taxstdlife">#REF!</definedName>
    <definedName name="A40taxvalue">#REF!</definedName>
    <definedName name="A40value">#REF!</definedName>
    <definedName name="A41remlife">#REF!</definedName>
    <definedName name="A41stdlife">#REF!</definedName>
    <definedName name="A41taxremlife">#REF!</definedName>
    <definedName name="A41taxstdlife">#REF!</definedName>
    <definedName name="A41taxvalue">#REF!</definedName>
    <definedName name="A41value">#REF!</definedName>
    <definedName name="A42remlife">#REF!</definedName>
    <definedName name="A42stdlife">#REF!</definedName>
    <definedName name="A42taxremlife">#REF!</definedName>
    <definedName name="A42taxstdlife">#REF!</definedName>
    <definedName name="A42taxvalue">#REF!</definedName>
    <definedName name="A42value">#REF!</definedName>
    <definedName name="A43remlife">#REF!</definedName>
    <definedName name="A43stdlife">#REF!</definedName>
    <definedName name="A43taxremlife">#REF!</definedName>
    <definedName name="A43taxstdlife">#REF!</definedName>
    <definedName name="A43taxvalue">#REF!</definedName>
    <definedName name="A43value">#REF!</definedName>
    <definedName name="A44remlife">#REF!</definedName>
    <definedName name="A44stdlife">#REF!</definedName>
    <definedName name="A44taxremlife">#REF!</definedName>
    <definedName name="A44taxstdlife">#REF!</definedName>
    <definedName name="A44taxvalue">#REF!</definedName>
    <definedName name="A44value">#REF!</definedName>
    <definedName name="A45remlife">#REF!</definedName>
    <definedName name="A45stdlife">#REF!</definedName>
    <definedName name="A45taxremlife">#REF!</definedName>
    <definedName name="A45taxstdlife">#REF!</definedName>
    <definedName name="A45taxvalue">#REF!</definedName>
    <definedName name="A45value">#REF!</definedName>
    <definedName name="A46remlife">#REF!</definedName>
    <definedName name="A46stdlife">#REF!</definedName>
    <definedName name="A46taxremlife">#REF!</definedName>
    <definedName name="A46taxstdlife">#REF!</definedName>
    <definedName name="A46taxvalue">#REF!</definedName>
    <definedName name="A46value">#REF!</definedName>
    <definedName name="A47remlife">#REF!</definedName>
    <definedName name="A47stdlife">#REF!</definedName>
    <definedName name="A47taxremlife">#REF!</definedName>
    <definedName name="A47taxstdlife">#REF!</definedName>
    <definedName name="A47taxvalue">#REF!</definedName>
    <definedName name="A47value">#REF!</definedName>
    <definedName name="A48remlife">#REF!</definedName>
    <definedName name="A48stdlife">#REF!</definedName>
    <definedName name="A48taxremlife">#REF!</definedName>
    <definedName name="A48taxstdlife">#REF!</definedName>
    <definedName name="A48taxvalue">#REF!</definedName>
    <definedName name="A48value">#REF!</definedName>
    <definedName name="A49remlife">#REF!</definedName>
    <definedName name="A49stdlife">#REF!</definedName>
    <definedName name="A49taxremlife">#REF!</definedName>
    <definedName name="A49taxstdlife">#REF!</definedName>
    <definedName name="A49taxvalue">#REF!</definedName>
    <definedName name="A49value">#REF!</definedName>
    <definedName name="A4remlife">#REF!</definedName>
    <definedName name="A4stdlife">#REF!</definedName>
    <definedName name="A4taxremlife">#REF!</definedName>
    <definedName name="A4taxstdlife">#REF!</definedName>
    <definedName name="A4taxvalue">#REF!</definedName>
    <definedName name="A4value">#REF!</definedName>
    <definedName name="A50remlife">#REF!</definedName>
    <definedName name="A50stdlife">#REF!</definedName>
    <definedName name="A50taxremlife">#REF!</definedName>
    <definedName name="A50taxstdlife">#REF!</definedName>
    <definedName name="A50taxvalue">#REF!</definedName>
    <definedName name="A50value">#REF!</definedName>
    <definedName name="A5remlife">#REF!</definedName>
    <definedName name="A5stdlife">#REF!</definedName>
    <definedName name="A5taxremlife">#REF!</definedName>
    <definedName name="A5taxstdlife">#REF!</definedName>
    <definedName name="A5taxvalue">#REF!</definedName>
    <definedName name="A5value">#REF!</definedName>
    <definedName name="A6remlife">#REF!</definedName>
    <definedName name="A6stdlife">#REF!</definedName>
    <definedName name="A6taxremlife">#REF!</definedName>
    <definedName name="A6taxstdlife">#REF!</definedName>
    <definedName name="A6taxvalue">#REF!</definedName>
    <definedName name="A6value">#REF!</definedName>
    <definedName name="A7remlife">#REF!</definedName>
    <definedName name="A7stdlife">#REF!</definedName>
    <definedName name="A7taxremlife">#REF!</definedName>
    <definedName name="A7taxstdlife">#REF!</definedName>
    <definedName name="A7taxvalue">#REF!</definedName>
    <definedName name="A7value">#REF!</definedName>
    <definedName name="A8remlife">#REF!</definedName>
    <definedName name="A8stdlife">#REF!</definedName>
    <definedName name="A8taxremlife">#REF!</definedName>
    <definedName name="A8taxstdlife">#REF!</definedName>
    <definedName name="A8taxvalue">#REF!</definedName>
    <definedName name="A8value">#REF!</definedName>
    <definedName name="A9remlife">#REF!</definedName>
    <definedName name="A9stdlife">#REF!</definedName>
    <definedName name="A9taxremlife">#REF!</definedName>
    <definedName name="A9taxstdlife">#REF!</definedName>
    <definedName name="A9taxvalue">#REF!</definedName>
    <definedName name="A9value">#REF!</definedName>
    <definedName name="anscount" hidden="1">1</definedName>
    <definedName name="Asset1">#REF!</definedName>
    <definedName name="Asset10">#REF!</definedName>
    <definedName name="Asset11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21">#REF!</definedName>
    <definedName name="Asset22">#REF!</definedName>
    <definedName name="Asset23">#REF!</definedName>
    <definedName name="Asset24" localSheetId="1">#REF!</definedName>
    <definedName name="Asset25" localSheetId="1">#REF!</definedName>
    <definedName name="Asset26" localSheetId="1">#REF!</definedName>
    <definedName name="Asset27">#REF!</definedName>
    <definedName name="Asset28">#REF!</definedName>
    <definedName name="Asset29">#REF!</definedName>
    <definedName name="Asset3">#REF!</definedName>
    <definedName name="Asset30">#REF!</definedName>
    <definedName name="Asset31">#REF!</definedName>
    <definedName name="Asset32">#REF!</definedName>
    <definedName name="Asset33">#REF!</definedName>
    <definedName name="Asset34">#REF!</definedName>
    <definedName name="Asset35">#REF!</definedName>
    <definedName name="Asset36">#REF!</definedName>
    <definedName name="Asset37">#REF!</definedName>
    <definedName name="Asset38">#REF!</definedName>
    <definedName name="Asset39">#REF!</definedName>
    <definedName name="Asset4">#REF!</definedName>
    <definedName name="Asset40">#REF!</definedName>
    <definedName name="Asset41">#REF!</definedName>
    <definedName name="Asset42">#REF!</definedName>
    <definedName name="Asset43">#REF!</definedName>
    <definedName name="Asset44">#REF!</definedName>
    <definedName name="Asset45">#REF!</definedName>
    <definedName name="Asset46">#REF!</definedName>
    <definedName name="Asset47">#REF!</definedName>
    <definedName name="Asset48">#REF!</definedName>
    <definedName name="Asset49">#REF!</definedName>
    <definedName name="Asset5">#REF!</definedName>
    <definedName name="Asset50">#REF!</definedName>
    <definedName name="Asset6">#REF!</definedName>
    <definedName name="Asset7">#REF!</definedName>
    <definedName name="Asset8">#REF!</definedName>
    <definedName name="Asset9">#REF!</definedName>
    <definedName name="CRCP_final_year">#REF!</definedName>
    <definedName name="CRCP_span">CONCATENATE(CRCP_y1, " to ",CRCP_y5)</definedName>
    <definedName name="CRCP_y1">#REF!</definedName>
    <definedName name="CRCP_y10">#REF!</definedName>
    <definedName name="CRCP_y11">#REF!</definedName>
    <definedName name="CRCP_y12">#REF!</definedName>
    <definedName name="CRCP_y13">#REF!</definedName>
    <definedName name="CRCP_y14">#REF!</definedName>
    <definedName name="CRCP_y15">#REF!</definedName>
    <definedName name="CRCP_y2">#REF!</definedName>
    <definedName name="CRCP_y3">#REF!</definedName>
    <definedName name="CRCP_y4">#REF!</definedName>
    <definedName name="CRCP_y5">#REF!</definedName>
    <definedName name="CRCP_y6">#REF!</definedName>
    <definedName name="CRCP_y7">#REF!</definedName>
    <definedName name="CRCP_y8">#REF!</definedName>
    <definedName name="CRCP_y9">#REF!</definedName>
    <definedName name="dms_060301_checkvalue">#REF!</definedName>
    <definedName name="dms_060301_LastRow">#REF!</definedName>
    <definedName name="dms_060701_ARR_MaxRows">#REF!</definedName>
    <definedName name="dms_060701_Reset_MaxRows">#REF!</definedName>
    <definedName name="dms_060701_StartDateTxt">#REF!</definedName>
    <definedName name="dms_0608_LastRow">#REF!</definedName>
    <definedName name="dms_0608_OffsetRows">#REF!</definedName>
    <definedName name="dms_663_List">#REF!</definedName>
    <definedName name="dms_AAD_AC_VALUES">#REF!</definedName>
    <definedName name="dms_ABN_List">#REF!</definedName>
    <definedName name="dms_ACE_AC_VALUES">#REF!</definedName>
    <definedName name="dms_Addr1_List">#REF!</definedName>
    <definedName name="dms_Addr2_List">#REF!</definedName>
    <definedName name="dms_Amendment_Text">#REF!</definedName>
    <definedName name="dms_Cal_Year_B4_CRY">#REF!</definedName>
    <definedName name="dms_CBD_flag">#REF!</definedName>
    <definedName name="dms_CF_8.1_Neg">#REF!</definedName>
    <definedName name="dms_CF_TradingName">#REF!</definedName>
    <definedName name="dms_Confid_status_List">#REF!</definedName>
    <definedName name="dms_CRCP_start_row">#REF!</definedName>
    <definedName name="dms_CRCPlength_List">#REF!</definedName>
    <definedName name="dms_CRCPlength_Num">#REF!</definedName>
    <definedName name="dms_CRY_RYE">#REF!</definedName>
    <definedName name="dms_CRY_start_row">#REF!</definedName>
    <definedName name="dms_CRY_start_year">#REF!</definedName>
    <definedName name="dms_DataQuality_List">#REF!</definedName>
    <definedName name="dms_DeterminationRef_List">#REF!</definedName>
    <definedName name="dms_DollarReal_year">#REF!</definedName>
    <definedName name="dms_FeederName_1">#REF!</definedName>
    <definedName name="dms_FeederName_2">#REF!</definedName>
    <definedName name="dms_FeederName_3">#REF!</definedName>
    <definedName name="dms_FeederName_4">#REF!</definedName>
    <definedName name="dms_FeederName_5">#REF!</definedName>
    <definedName name="dms_FeederType_5_flag">#REF!</definedName>
    <definedName name="dms_FifthFeeder_flag_NSP">#REF!</definedName>
    <definedName name="dms_FormControl_List">#REF!</definedName>
    <definedName name="dms_FRCP_start_row">#REF!</definedName>
    <definedName name="dms_FRCPlength_List">#REF!</definedName>
    <definedName name="dms_FRCPlength_Num">#REF!</definedName>
    <definedName name="dms_Header_Span">#REF!</definedName>
    <definedName name="dms_JurisdictionList">#REF!</definedName>
    <definedName name="dms_LeapYear_Result">#REF!</definedName>
    <definedName name="dms_LongRural_flag">#REF!</definedName>
    <definedName name="dms_Model">#REF!</definedName>
    <definedName name="dms_Model_List">#REF!</definedName>
    <definedName name="dms_Model_Span">#REF!</definedName>
    <definedName name="dms_Model_Span_List">#REF!</definedName>
    <definedName name="dms_MultiYear_Flag">#REF!</definedName>
    <definedName name="dms_MultiYear_ResponseFlag">#REF!</definedName>
    <definedName name="dms_PAddr1_List">#REF!</definedName>
    <definedName name="dms_PAddr2_List">#REF!</definedName>
    <definedName name="dms_PRCP_start_row">#REF!</definedName>
    <definedName name="dms_PRCPlength_List">#REF!</definedName>
    <definedName name="dms_PRCPlength_Num">#REF!</definedName>
    <definedName name="dms_Previous_DollarReal_year">#REF!</definedName>
    <definedName name="dms_PState_List">#REF!</definedName>
    <definedName name="dms_PSuburb_List">#REF!</definedName>
    <definedName name="dms_Public_Lighting_List">#REF!</definedName>
    <definedName name="dms_Reset_final_year">#REF!</definedName>
    <definedName name="dms_Reset_RYE">#REF!</definedName>
    <definedName name="dms_RPT">#REF!</definedName>
    <definedName name="dms_RPT_List">#REF!</definedName>
    <definedName name="dms_RPTMonth">#REF!</definedName>
    <definedName name="dms_RPTMonth_List">#REF!</definedName>
    <definedName name="dms_RYE_result">#REF!</definedName>
    <definedName name="dms_RYE_start_row">#REF!</definedName>
    <definedName name="dms_Sector_List">#REF!</definedName>
    <definedName name="dms_Segment">#REF!</definedName>
    <definedName name="dms_Segment_List">#REF!</definedName>
    <definedName name="dms_Selected_Source">#REF!</definedName>
    <definedName name="dms_ShortRural_flag">#REF!</definedName>
    <definedName name="dms_SingleYear_Model">#REF!</definedName>
    <definedName name="dms_SingleYearModel">#REF!</definedName>
    <definedName name="dms_SourceList">#REF!</definedName>
    <definedName name="dms_Specified_FinalYear">#REF!</definedName>
    <definedName name="dms_Specified_RYE">#REF!</definedName>
    <definedName name="dms_SpecifiedYear_Span">#REF!</definedName>
    <definedName name="dms_start_year">#REF!</definedName>
    <definedName name="dms_State_List">#REF!</definedName>
    <definedName name="dms_Suburb_List">#REF!</definedName>
    <definedName name="dms_TradingName">#REF!</definedName>
    <definedName name="dms_TradingName_List">#REF!</definedName>
    <definedName name="dms_TradingNameFull_List">#REF!</definedName>
    <definedName name="dms_Typed_Submission_Date">#REF!</definedName>
    <definedName name="dms_Urban_flag">#REF!</definedName>
    <definedName name="dms_Worksheet_List">#REF!</definedName>
    <definedName name="dms_y1">#REF!</definedName>
    <definedName name="dollars" localSheetId="1">#REF!</definedName>
    <definedName name="dollars">#REF!</definedName>
    <definedName name="factor" localSheetId="1">#REF!</definedName>
    <definedName name="factor">#REF!</definedName>
    <definedName name="FRCP_final_year">#REF!</definedName>
    <definedName name="FRCP_y1">#REF!</definedName>
    <definedName name="FRCP_y10">#REF!</definedName>
    <definedName name="FRCP_y11">#REF!</definedName>
    <definedName name="FRCP_y12">#REF!</definedName>
    <definedName name="FRCP_y13">#REF!</definedName>
    <definedName name="FRCP_y14">#REF!</definedName>
    <definedName name="FRCP_y15">#REF!</definedName>
    <definedName name="FRCP_y2">#REF!</definedName>
    <definedName name="FRCP_y3">#REF!</definedName>
    <definedName name="FRCP_y4">#REF!</definedName>
    <definedName name="FRCP_y5">#REF!</definedName>
    <definedName name="FRCP_y6">#REF!</definedName>
    <definedName name="FRCP_y7">#REF!</definedName>
    <definedName name="FRCP_y8">#REF!</definedName>
    <definedName name="FRCP_y9">#REF!</definedName>
    <definedName name="millions" localSheetId="1">#REF!</definedName>
    <definedName name="millions">#REF!</definedName>
    <definedName name="Nominal_to_Real" localSheetId="1">#REF!</definedName>
    <definedName name="Nominal_to_Real">#REF!</definedName>
    <definedName name="number" localSheetId="1">#REF!</definedName>
    <definedName name="number">#REF!</definedName>
    <definedName name="percent" localSheetId="1">#REF!</definedName>
    <definedName name="percent" localSheetId="6">#REF!</definedName>
    <definedName name="percent">#REF!</definedName>
    <definedName name="PRCP_final_year">#REF!</definedName>
    <definedName name="PRCP_y1">#REF!</definedName>
    <definedName name="PRCP_y10">#REF!</definedName>
    <definedName name="PRCP_y2">#REF!</definedName>
    <definedName name="PRCP_y3">#REF!</definedName>
    <definedName name="PRCP_y4">#REF!</definedName>
    <definedName name="PRCP_y5">#REF!</definedName>
    <definedName name="PRCP_y6">#REF!</definedName>
    <definedName name="PRCP_y7">#REF!</definedName>
    <definedName name="PRCP_y8">#REF!</definedName>
    <definedName name="PRCP_y9">#REF!</definedName>
    <definedName name="previous_vanilla">#REF!</definedName>
    <definedName name="RAB">#REF!</definedName>
    <definedName name="thousands" localSheetId="1">#REF!</definedName>
    <definedName name="thousands">#REF!</definedName>
    <definedName name="unit" localSheetId="1">#REF!</definedName>
    <definedName name="unit">#REF!</definedName>
    <definedName name="vanilla1">#REF!</definedName>
    <definedName name="vanilla10">#REF!</definedName>
    <definedName name="vanilla2">#REF!</definedName>
    <definedName name="vanilla3">#REF!</definedName>
    <definedName name="vanilla4">#REF!</definedName>
    <definedName name="vanilla5">#REF!</definedName>
    <definedName name="vanilla6">#REF!</definedName>
    <definedName name="vanilla7">#REF!</definedName>
    <definedName name="vanilla8">#REF!</definedName>
    <definedName name="vanilla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3" l="1"/>
  <c r="K23" i="3"/>
  <c r="J23" i="3"/>
  <c r="I23" i="3"/>
  <c r="H23" i="3"/>
  <c r="L12" i="3"/>
  <c r="K12" i="3"/>
  <c r="J12" i="3"/>
  <c r="I12" i="3"/>
  <c r="H12" i="3"/>
  <c r="G13" i="13" l="1"/>
  <c r="H13" i="13"/>
  <c r="I13" i="13"/>
  <c r="M9" i="13" l="1"/>
  <c r="N9" i="13" s="1"/>
  <c r="O9" i="13" s="1"/>
  <c r="P9" i="13" s="1"/>
  <c r="K22" i="13"/>
  <c r="H9" i="4" s="1"/>
  <c r="J22" i="13"/>
  <c r="G9" i="4" s="1"/>
  <c r="I22" i="13"/>
  <c r="F9" i="4" s="1"/>
  <c r="H22" i="13"/>
  <c r="E9" i="4" s="1"/>
  <c r="H13" i="2"/>
  <c r="G13" i="2"/>
  <c r="F13" i="2"/>
  <c r="E13" i="2"/>
  <c r="D13" i="2"/>
  <c r="D18" i="2"/>
  <c r="E18" i="2"/>
  <c r="F18" i="2"/>
  <c r="G18" i="2"/>
  <c r="H18" i="2"/>
  <c r="G7" i="13"/>
  <c r="F7" i="13" s="1"/>
  <c r="M7" i="13"/>
  <c r="N7" i="13"/>
  <c r="N19" i="13" s="1"/>
  <c r="O7" i="13"/>
  <c r="P7" i="13"/>
  <c r="L7" i="13"/>
  <c r="L19" i="13" s="1"/>
  <c r="H7" i="13"/>
  <c r="I7" i="13"/>
  <c r="I19" i="13" s="1"/>
  <c r="J7" i="13"/>
  <c r="J19" i="13" s="1"/>
  <c r="K7" i="13"/>
  <c r="D18" i="4"/>
  <c r="D8" i="4"/>
  <c r="E7" i="4"/>
  <c r="F7" i="4"/>
  <c r="G7" i="4"/>
  <c r="H7" i="4"/>
  <c r="D7" i="4"/>
  <c r="M19" i="13"/>
  <c r="P19" i="13"/>
  <c r="O19" i="13"/>
  <c r="H19" i="13"/>
  <c r="K19" i="13"/>
  <c r="H8" i="4"/>
  <c r="G8" i="4"/>
  <c r="F8" i="4"/>
  <c r="E8" i="4"/>
  <c r="B1" i="2"/>
  <c r="B1" i="4" s="1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C42" i="4"/>
  <c r="C44" i="4"/>
  <c r="C15" i="13" l="1"/>
  <c r="C10" i="13"/>
  <c r="G19" i="13"/>
  <c r="B1" i="5"/>
  <c r="B1" i="10"/>
  <c r="B1" i="13"/>
  <c r="G10" i="13"/>
  <c r="H10" i="13" s="1"/>
  <c r="I10" i="13" s="1"/>
  <c r="J10" i="13" s="1"/>
  <c r="K10" i="13" s="1"/>
  <c r="G19" i="4"/>
  <c r="F19" i="4" s="1"/>
  <c r="E19" i="4" s="1"/>
  <c r="D19" i="4" s="1"/>
  <c r="D21" i="4" s="1"/>
  <c r="L10" i="13" l="1"/>
  <c r="I30" i="3" s="1"/>
  <c r="I31" i="3" s="1"/>
  <c r="H30" i="3"/>
  <c r="H31" i="3" s="1"/>
  <c r="M14" i="13"/>
  <c r="G15" i="13"/>
  <c r="G22" i="13"/>
  <c r="D9" i="4" s="1"/>
  <c r="M10" i="13"/>
  <c r="J30" i="3" s="1"/>
  <c r="J31" i="3" s="1"/>
  <c r="D10" i="4" l="1"/>
  <c r="H15" i="13"/>
  <c r="N14" i="13"/>
  <c r="N10" i="13"/>
  <c r="K30" i="3" s="1"/>
  <c r="K31" i="3" s="1"/>
  <c r="I15" i="13" l="1"/>
  <c r="E10" i="4"/>
  <c r="O14" i="13"/>
  <c r="O10" i="13"/>
  <c r="L30" i="3" s="1"/>
  <c r="L31" i="3" s="1"/>
  <c r="P14" i="13" l="1"/>
  <c r="F10" i="4"/>
  <c r="J15" i="13"/>
  <c r="P10" i="13"/>
  <c r="G10" i="4" l="1"/>
  <c r="K15" i="13"/>
  <c r="D26" i="4" l="1"/>
  <c r="H10" i="4"/>
  <c r="L15" i="13"/>
  <c r="M15" i="13" l="1"/>
  <c r="E26" i="4"/>
  <c r="N15" i="13" l="1"/>
  <c r="F26" i="4"/>
  <c r="O15" i="13" l="1"/>
  <c r="G26" i="4"/>
  <c r="P15" i="13" l="1"/>
  <c r="H26" i="4"/>
  <c r="H11" i="4" l="1"/>
  <c r="H12" i="4" s="1"/>
  <c r="H20" i="4" s="1"/>
  <c r="G11" i="4" l="1"/>
  <c r="G12" i="4" s="1"/>
  <c r="H16" i="4" l="1"/>
  <c r="G20" i="4"/>
  <c r="E11" i="4" l="1"/>
  <c r="E12" i="4" s="1"/>
  <c r="F11" i="4"/>
  <c r="F12" i="4" s="1"/>
  <c r="D11" i="4"/>
  <c r="D12" i="4" s="1"/>
  <c r="E13" i="4" l="1"/>
  <c r="E18" i="4" s="1"/>
  <c r="E21" i="4" s="1"/>
  <c r="F13" i="4"/>
  <c r="G13" i="4"/>
  <c r="H13" i="4"/>
  <c r="D20" i="4"/>
  <c r="H15" i="4"/>
  <c r="G15" i="4"/>
  <c r="F20" i="4"/>
  <c r="G14" i="4"/>
  <c r="F14" i="4"/>
  <c r="H14" i="4"/>
  <c r="E20" i="4"/>
  <c r="F18" i="4" l="1"/>
  <c r="F21" i="4" s="1"/>
  <c r="H18" i="4"/>
  <c r="H21" i="4" s="1"/>
  <c r="G18" i="4"/>
  <c r="G21" i="4" s="1"/>
  <c r="D35" i="4" l="1"/>
  <c r="M22" i="13"/>
  <c r="E25" i="4" s="1"/>
  <c r="O22" i="13"/>
  <c r="G25" i="4" s="1"/>
  <c r="P22" i="13"/>
  <c r="H25" i="4" s="1"/>
  <c r="N22" i="13"/>
  <c r="F25" i="4" s="1"/>
  <c r="L22" i="13" l="1"/>
  <c r="D25" i="4" s="1"/>
  <c r="D27" i="4" s="1"/>
  <c r="D28" i="4" s="1"/>
  <c r="D41" i="4"/>
  <c r="E41" i="4" s="1"/>
  <c r="F41" i="4" s="1"/>
  <c r="G41" i="4" s="1"/>
  <c r="H41" i="4" s="1"/>
  <c r="E27" i="4" l="1"/>
  <c r="E28" i="4" s="1"/>
  <c r="H27" i="4"/>
  <c r="H28" i="4" s="1"/>
  <c r="F27" i="4"/>
  <c r="F28" i="4" s="1"/>
  <c r="G27" i="4"/>
  <c r="G28" i="4" s="1"/>
  <c r="D31" i="4" l="1"/>
  <c r="D34" i="4" s="1"/>
  <c r="D36" i="4" s="1"/>
  <c r="D42" i="4" s="1"/>
  <c r="D33" i="4" l="1"/>
  <c r="J8" i="10"/>
  <c r="E42" i="4"/>
  <c r="K8" i="10" l="1"/>
  <c r="F42" i="4"/>
  <c r="L8" i="10" l="1"/>
  <c r="G42" i="4"/>
  <c r="M8" i="10" l="1"/>
  <c r="H42" i="4"/>
  <c r="N8" i="10" l="1"/>
  <c r="D44" i="4"/>
  <c r="O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tc={D6856467-DAF3-4C66-8A18-87B03A01A205}</author>
    <author>tc={C2240DE7-4D64-4E0C-9230-915BEC5C794C}</author>
    <author>tc={5B4BD455-1F0B-4C2C-87AA-7A223441B07E}</author>
  </authors>
  <commentList>
    <comment ref="K8" authorId="0" shapeId="0" xr:uid="{22945692-BE93-4329-BA1C-85799084169B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Updated for Cyclone Kirrily and Cyclone Jasper cost pass throughs. </t>
        </r>
      </text>
    </comment>
    <comment ref="H18" authorId="1" shapeId="0" xr:uid="{D6856467-DAF3-4C66-8A18-87B03A01A205}">
      <text>
        <t>[Threaded comment]
Your version of Excel allows you to read this threaded comment; however, any edits to it will get removed if the file is opened in a newer version of Excel. Learn more: https://go.microsoft.com/fwlink/?linkid=870924
Comment:
    Ex-post adjustments $103.55
ICT Exclusion 45.62</t>
      </text>
    </comment>
    <comment ref="I18" authorId="2" shapeId="0" xr:uid="{C2240DE7-4D64-4E0C-9230-915BEC5C794C}">
      <text>
        <t>[Threaded comment]
Your version of Excel allows you to read this threaded comment; however, any edits to it will get removed if the file is opened in a newer version of Excel. Learn more: https://go.microsoft.com/fwlink/?linkid=870924
Comment:
    Ex-post adjustments $122.69
ICT Exclusion 35.46</t>
      </text>
    </comment>
    <comment ref="J18" authorId="3" shapeId="0" xr:uid="{5B4BD455-1F0B-4C2C-87AA-7A223441B07E}">
      <text>
        <t>[Threaded comment]
Your version of Excel allows you to read this threaded comment; however, any edits to it will get removed if the file is opened in a newer version of Excel. Learn more: https://go.microsoft.com/fwlink/?linkid=870924
Comment:
    Ex-post adjustments $131.74
ICT Exclusion 21.12</t>
      </text>
    </comment>
    <comment ref="K19" authorId="0" shapeId="0" xr:uid="{8D1E93D0-A95F-4E6C-9C06-FEBC6027B26D}">
      <text>
        <r>
          <rPr>
            <b/>
            <sz val="9"/>
            <color indexed="81"/>
            <rFont val="Tahoma"/>
            <family val="2"/>
          </rPr>
          <t xml:space="preserve">AER:
</t>
        </r>
        <r>
          <rPr>
            <sz val="9"/>
            <color indexed="81"/>
            <rFont val="Tahoma"/>
            <family val="2"/>
          </rPr>
          <t xml:space="preserve">Corrected to be consistent with annual RIN and RFM.  </t>
        </r>
      </text>
    </comment>
  </commentList>
</comments>
</file>

<file path=xl/sharedStrings.xml><?xml version="1.0" encoding="utf-8"?>
<sst xmlns="http://schemas.openxmlformats.org/spreadsheetml/2006/main" count="227" uniqueCount="121">
  <si>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</si>
  <si>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</si>
  <si>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</si>
  <si>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</si>
  <si>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</si>
  <si>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</si>
  <si>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</si>
  <si>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</si>
  <si>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</si>
  <si>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</si>
  <si>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</si>
  <si>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</si>
  <si>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</si>
  <si>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</si>
  <si>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</si>
  <si>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</si>
  <si>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</si>
  <si>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</si>
  <si>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</si>
  <si>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</si>
  <si>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</si>
  <si>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</si>
  <si>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</si>
  <si>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</si>
  <si>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</si>
  <si>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</si>
  <si>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</si>
  <si>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</si>
  <si>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</si>
  <si>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</si>
  <si>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</si>
  <si>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</si>
  <si>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</si>
  <si>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</si>
  <si>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</si>
  <si>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</si>
  <si>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</si>
  <si>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</si>
  <si>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</si>
  <si>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</si>
  <si>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</si>
  <si>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</si>
  <si>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</si>
  <si>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</si>
  <si>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</si>
  <si>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</si>
  <si>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</si>
  <si>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</si>
  <si>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</si>
  <si>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</si>
  <si>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</si>
  <si>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</si>
  <si>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</si>
  <si>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</si>
  <si>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</si>
  <si>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</si>
  <si>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</si>
  <si>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</si>
  <si>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</si>
  <si>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</si>
  <si>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</si>
  <si>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</si>
  <si>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</si>
  <si>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</si>
  <si>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</si>
  <si>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</si>
  <si>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</si>
  <si>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</si>
  <si>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</si>
  <si>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</si>
  <si>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</si>
  <si>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</si>
  <si>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</si>
  <si>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</si>
  <si>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</si>
  <si>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</si>
  <si>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</si>
  <si>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</si>
  <si>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</si>
  <si>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</si>
  <si>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</si>
  <si>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</si>
  <si>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</si>
  <si>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</si>
  <si>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</si>
  <si>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</si>
  <si>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</si>
  <si>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</si>
  <si>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</si>
  <si>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</si>
  <si>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</si>
  <si>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</si>
  <si>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</si>
  <si>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</si>
  <si>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</si>
  <si>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</si>
  <si>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</si>
  <si>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</si>
  <si>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</si>
  <si>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</si>
  <si>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</si>
  <si>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2025-26</t>
  </si>
  <si>
    <t>Ergon</t>
  </si>
  <si>
    <t>2025-30</t>
  </si>
  <si>
    <t>2020–21</t>
  </si>
  <si>
    <t>2021–22</t>
  </si>
  <si>
    <t>2022–23</t>
  </si>
  <si>
    <t>2023–24</t>
  </si>
  <si>
    <t>2024–25</t>
  </si>
  <si>
    <t>2019–20</t>
  </si>
  <si>
    <t>2026–27</t>
  </si>
  <si>
    <t>2027–28</t>
  </si>
  <si>
    <t>2028–29</t>
  </si>
  <si>
    <t>2029–30</t>
  </si>
  <si>
    <t>the AER's final decision amendments are highlighted in green</t>
  </si>
  <si>
    <t>Final Decision</t>
  </si>
  <si>
    <t>AER final decision amendments</t>
  </si>
  <si>
    <t>the NSPs updated data highlighted in blue</t>
  </si>
  <si>
    <t>Ergon 2025-30 Final Decision - Capital expenditure sharing scheme model</t>
  </si>
  <si>
    <t>Revised proposal</t>
  </si>
  <si>
    <t>AER Final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</si>
</sst>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&quot;$&quot;#,##0_);[Red]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&quot;$&quot;#,##0.00"/>
    <numFmt numFmtId="170" formatCode="_-* #,##0_-;\-* #,##0_-;_-* &quot;-&quot;??_-;_-@_-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4BACC6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5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8">
      <alignment horizontal="right" vertical="center"/>
      <protection locked="0"/>
    </xf>
    <xf numFmtId="168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3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3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7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5" fillId="50" borderId="0" applyBorder="0" applyAlignment="0"/>
    <xf numFmtId="192" fontId="96" fillId="28" borderId="35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71" fillId="57" borderId="0">
      <alignment horizontal="left" vertical="center"/>
      <protection locked="0"/>
    </xf>
    <xf numFmtId="0" fontId="104" fillId="56" borderId="0">
      <alignment vertical="center"/>
      <protection locked="0"/>
    </xf>
    <xf numFmtId="0" fontId="23" fillId="0" borderId="0" applyFill="0"/>
    <xf numFmtId="0" fontId="23" fillId="0" borderId="0"/>
    <xf numFmtId="0" fontId="11" fillId="0" borderId="0"/>
    <xf numFmtId="0" fontId="105" fillId="56" borderId="44">
      <alignment vertical="center"/>
    </xf>
    <xf numFmtId="167" fontId="106" fillId="0" borderId="0" applyFont="0" applyFill="0" applyBorder="0" applyAlignment="0" applyProtection="0"/>
    <xf numFmtId="0" fontId="106" fillId="0" borderId="0"/>
    <xf numFmtId="0" fontId="23" fillId="0" borderId="0"/>
  </cellStyleXfs>
  <cellXfs count="221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9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70" fontId="17" fillId="0" borderId="0" xfId="3" applyNumberFormat="1" applyFont="1" applyProtection="1"/>
    <xf numFmtId="170" fontId="19" fillId="0" borderId="0" xfId="3" applyNumberFormat="1" applyFont="1" applyAlignment="1" applyProtection="1">
      <alignment horizontal="center"/>
    </xf>
    <xf numFmtId="170" fontId="17" fillId="0" borderId="0" xfId="3" applyNumberFormat="1" applyFont="1" applyAlignment="1" applyProtection="1">
      <alignment horizontal="center"/>
    </xf>
    <xf numFmtId="170" fontId="22" fillId="0" borderId="0" xfId="3" applyNumberFormat="1" applyFont="1" applyProtection="1"/>
    <xf numFmtId="170" fontId="21" fillId="0" borderId="0" xfId="3" applyNumberFormat="1" applyFont="1" applyAlignment="1" applyProtection="1">
      <alignment horizontal="center"/>
    </xf>
    <xf numFmtId="170" fontId="22" fillId="0" borderId="20" xfId="3" applyNumberFormat="1" applyFont="1" applyBorder="1" applyAlignment="1" applyProtection="1">
      <alignment horizontal="center"/>
    </xf>
    <xf numFmtId="170" fontId="17" fillId="0" borderId="0" xfId="3" applyNumberFormat="1" applyFont="1" applyAlignment="1" applyProtection="1">
      <alignment horizontal="left" indent="1"/>
    </xf>
    <xf numFmtId="170" fontId="13" fillId="0" borderId="0" xfId="263" applyNumberFormat="1" applyFont="1" applyAlignment="1" applyProtection="1">
      <alignment horizontal="center"/>
    </xf>
    <xf numFmtId="170" fontId="17" fillId="0" borderId="0" xfId="3" applyNumberFormat="1" applyFont="1" applyBorder="1" applyProtection="1"/>
    <xf numFmtId="189" fontId="20" fillId="0" borderId="24" xfId="55" applyNumberFormat="1" applyFont="1" applyFill="1" applyBorder="1" applyAlignment="1" applyProtection="1">
      <alignment horizontal="center" vertical="center"/>
    </xf>
    <xf numFmtId="190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70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70" fontId="19" fillId="3" borderId="2" xfId="0" applyNumberFormat="1" applyFont="1" applyFill="1" applyBorder="1" applyAlignment="1" applyProtection="1">
      <alignment horizontal="center" vertical="center"/>
    </xf>
    <xf numFmtId="170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9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9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70" fontId="22" fillId="0" borderId="0" xfId="3" applyNumberFormat="1" applyFont="1" applyBorder="1" applyAlignment="1" applyProtection="1">
      <alignment horizontal="center"/>
    </xf>
    <xf numFmtId="189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9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9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0" fontId="8" fillId="3" borderId="0" xfId="0" applyFont="1" applyFill="1"/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304" applyNumberFormat="1" applyFont="1" applyFill="1" applyBorder="1" applyAlignment="1" applyProtection="1">
      <alignment horizontal="center" vertical="center"/>
    </xf>
    <xf numFmtId="10" fontId="8" fillId="3" borderId="0" xfId="0" applyNumberFormat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91" fillId="3" borderId="0" xfId="0" applyNumberFormat="1" applyFont="1" applyFill="1" applyAlignment="1">
      <alignment vertical="center"/>
    </xf>
    <xf numFmtId="164" fontId="3" fillId="3" borderId="0" xfId="0" applyNumberFormat="1" applyFont="1" applyFill="1" applyBorder="1" applyAlignment="1">
      <alignment horizontal="center" vertical="center"/>
    </xf>
    <xf numFmtId="0" fontId="24" fillId="58" borderId="24" xfId="1" applyFont="1" applyFill="1" applyBorder="1" applyAlignment="1">
      <alignment horizontal="center" vertical="center"/>
    </xf>
    <xf numFmtId="0" fontId="100" fillId="58" borderId="0" xfId="265" applyFont="1" applyFill="1" applyBorder="1" applyAlignment="1" applyProtection="1">
      <alignment horizontal="center" vertical="center" wrapText="1"/>
    </xf>
    <xf numFmtId="0" fontId="23" fillId="0" borderId="0" xfId="358" applyAlignment="1">
      <alignment vertical="top"/>
    </xf>
    <xf numFmtId="0" fontId="23" fillId="0" borderId="0" xfId="147"/>
    <xf numFmtId="0" fontId="23" fillId="58" borderId="0" xfId="147" applyFill="1"/>
    <xf numFmtId="2" fontId="24" fillId="59" borderId="24" xfId="1" applyNumberFormat="1" applyFont="1" applyFill="1" applyBorder="1" applyAlignment="1">
      <alignment horizontal="center" vertical="center"/>
    </xf>
    <xf numFmtId="2" fontId="24" fillId="60" borderId="24" xfId="1" applyNumberFormat="1" applyFont="1" applyFill="1" applyBorder="1" applyAlignment="1">
      <alignment horizontal="center" vertical="center"/>
    </xf>
    <xf numFmtId="0" fontId="23" fillId="59" borderId="0" xfId="147" applyFont="1" applyFill="1"/>
    <xf numFmtId="10" fontId="24" fillId="58" borderId="26" xfId="0" applyNumberFormat="1" applyFont="1" applyFill="1" applyBorder="1" applyAlignment="1">
      <alignment horizontal="center" vertical="center"/>
    </xf>
    <xf numFmtId="2" fontId="24" fillId="61" borderId="24" xfId="1" applyNumberFormat="1" applyFont="1" applyFill="1" applyBorder="1" applyAlignment="1">
      <alignment horizontal="center" vertical="center"/>
    </xf>
    <xf numFmtId="0" fontId="99" fillId="3" borderId="0" xfId="265" applyFont="1" applyFill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0" fontId="99" fillId="62" borderId="0" xfId="0" applyFont="1" applyFill="1" applyAlignment="1">
      <alignment horizontal="center" vertical="center"/>
    </xf>
    <xf numFmtId="0" fontId="100" fillId="58" borderId="0" xfId="265" applyFont="1" applyFill="1" applyAlignment="1">
      <alignment horizontal="center" vertical="center" wrapText="1"/>
    </xf>
    <xf numFmtId="2" fontId="24" fillId="58" borderId="24" xfId="1" applyNumberFormat="1" applyFont="1" applyFill="1" applyBorder="1" applyAlignment="1">
      <alignment horizontal="center" vertical="center"/>
    </xf>
    <xf numFmtId="10" fontId="24" fillId="62" borderId="26" xfId="0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5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40" xr:uid="{00000000-0005-0000-0000-000050000000}"/>
    <cellStyle name="Comma 15" xfId="345" xr:uid="{00000000-0005-0000-0000-000051000000}"/>
    <cellStyle name="Comma 2" xfId="71" xr:uid="{00000000-0005-0000-0000-000052000000}"/>
    <cellStyle name="Comma 2 2" xfId="72" xr:uid="{00000000-0005-0000-0000-000053000000}"/>
    <cellStyle name="Comma 2 2 2" xfId="308" xr:uid="{00000000-0005-0000-0000-000054000000}"/>
    <cellStyle name="Comma 2 3" xfId="73" xr:uid="{00000000-0005-0000-0000-000055000000}"/>
    <cellStyle name="Comma 2 3 2" xfId="74" xr:uid="{00000000-0005-0000-0000-000056000000}"/>
    <cellStyle name="Comma 2 3 2 2" xfId="310" xr:uid="{00000000-0005-0000-0000-000057000000}"/>
    <cellStyle name="Comma 2 3 3" xfId="309" xr:uid="{00000000-0005-0000-0000-000058000000}"/>
    <cellStyle name="Comma 2 4" xfId="75" xr:uid="{00000000-0005-0000-0000-000059000000}"/>
    <cellStyle name="Comma 2 4 2" xfId="311" xr:uid="{00000000-0005-0000-0000-00005A000000}"/>
    <cellStyle name="Comma 2 5" xfId="76" xr:uid="{00000000-0005-0000-0000-00005B000000}"/>
    <cellStyle name="Comma 2 5 2" xfId="312" xr:uid="{00000000-0005-0000-0000-00005C000000}"/>
    <cellStyle name="Comma 2 6" xfId="307" xr:uid="{00000000-0005-0000-0000-00005D000000}"/>
    <cellStyle name="Comma 3" xfId="77" xr:uid="{00000000-0005-0000-0000-00005E000000}"/>
    <cellStyle name="Comma 3 2" xfId="78" xr:uid="{00000000-0005-0000-0000-00005F000000}"/>
    <cellStyle name="Comma 3 3" xfId="79" xr:uid="{00000000-0005-0000-0000-000060000000}"/>
    <cellStyle name="Comma 3 3 2" xfId="313" xr:uid="{00000000-0005-0000-0000-000061000000}"/>
    <cellStyle name="Comma 4" xfId="80" xr:uid="{00000000-0005-0000-0000-000062000000}"/>
    <cellStyle name="Comma 4 2" xfId="314" xr:uid="{00000000-0005-0000-0000-000063000000}"/>
    <cellStyle name="Comma 5" xfId="81" xr:uid="{00000000-0005-0000-0000-000064000000}"/>
    <cellStyle name="Comma 5 2" xfId="315" xr:uid="{00000000-0005-0000-0000-000065000000}"/>
    <cellStyle name="Comma 6" xfId="82" xr:uid="{00000000-0005-0000-0000-000066000000}"/>
    <cellStyle name="Comma 6 2" xfId="316" xr:uid="{00000000-0005-0000-0000-000067000000}"/>
    <cellStyle name="Comma 7" xfId="83" xr:uid="{00000000-0005-0000-0000-000068000000}"/>
    <cellStyle name="Comma 7 2" xfId="317" xr:uid="{00000000-0005-0000-0000-000069000000}"/>
    <cellStyle name="Comma 8" xfId="84" xr:uid="{00000000-0005-0000-0000-00006A000000}"/>
    <cellStyle name="Comma 8 2" xfId="318" xr:uid="{00000000-0005-0000-0000-00006B000000}"/>
    <cellStyle name="Comma 9" xfId="267" xr:uid="{00000000-0005-0000-0000-00006C000000}"/>
    <cellStyle name="Comma 9 2" xfId="332" xr:uid="{00000000-0005-0000-0000-00006D000000}"/>
    <cellStyle name="Comma 9 4" xfId="356" xr:uid="{00000000-0005-0000-0000-00006E000000}"/>
    <cellStyle name="Comma0" xfId="85" xr:uid="{00000000-0005-0000-0000-00006F000000}"/>
    <cellStyle name="Currency 11" xfId="86" xr:uid="{00000000-0005-0000-0000-000070000000}"/>
    <cellStyle name="Currency 11 2" xfId="87" xr:uid="{00000000-0005-0000-0000-000071000000}"/>
    <cellStyle name="Currency 11 2 2" xfId="320" xr:uid="{00000000-0005-0000-0000-000072000000}"/>
    <cellStyle name="Currency 11 3" xfId="319" xr:uid="{00000000-0005-0000-0000-000073000000}"/>
    <cellStyle name="Currency 2" xfId="88" xr:uid="{00000000-0005-0000-0000-000074000000}"/>
    <cellStyle name="Currency 2 2" xfId="89" xr:uid="{00000000-0005-0000-0000-000075000000}"/>
    <cellStyle name="Currency 2 2 2" xfId="322" xr:uid="{00000000-0005-0000-0000-000076000000}"/>
    <cellStyle name="Currency 2 2 3" xfId="346" xr:uid="{00000000-0005-0000-0000-000077000000}"/>
    <cellStyle name="Currency 2 3" xfId="321" xr:uid="{00000000-0005-0000-0000-000078000000}"/>
    <cellStyle name="Currency 2 3 2" xfId="347" xr:uid="{00000000-0005-0000-0000-000079000000}"/>
    <cellStyle name="Currency 3" xfId="90" xr:uid="{00000000-0005-0000-0000-00007A000000}"/>
    <cellStyle name="Currency 3 2" xfId="91" xr:uid="{00000000-0005-0000-0000-00007B000000}"/>
    <cellStyle name="Currency 3 2 2" xfId="324" xr:uid="{00000000-0005-0000-0000-00007C000000}"/>
    <cellStyle name="Currency 3 3" xfId="323" xr:uid="{00000000-0005-0000-0000-00007D000000}"/>
    <cellStyle name="Currency 4" xfId="92" xr:uid="{00000000-0005-0000-0000-00007E000000}"/>
    <cellStyle name="Currency 4 2" xfId="93" xr:uid="{00000000-0005-0000-0000-00007F000000}"/>
    <cellStyle name="Currency 4 2 2" xfId="326" xr:uid="{00000000-0005-0000-0000-000080000000}"/>
    <cellStyle name="Currency 4 3" xfId="325" xr:uid="{00000000-0005-0000-0000-000081000000}"/>
    <cellStyle name="Currency 5" xfId="94" xr:uid="{00000000-0005-0000-0000-000082000000}"/>
    <cellStyle name="Currency 5 2" xfId="284" xr:uid="{00000000-0005-0000-0000-000083000000}"/>
    <cellStyle name="Currency 5 2 2" xfId="335" xr:uid="{00000000-0005-0000-0000-000084000000}"/>
    <cellStyle name="Currency 5 3" xfId="327" xr:uid="{00000000-0005-0000-0000-000085000000}"/>
    <cellStyle name="Currency 6" xfId="341" xr:uid="{00000000-0005-0000-0000-000086000000}"/>
    <cellStyle name="D4_B8B1_005004B79812_.wvu.PrintTitlest" xfId="95" xr:uid="{00000000-0005-0000-0000-000087000000}"/>
    <cellStyle name="Date" xfId="96" xr:uid="{00000000-0005-0000-0000-000088000000}"/>
    <cellStyle name="Date 2" xfId="97" xr:uid="{00000000-0005-0000-0000-000089000000}"/>
    <cellStyle name="dms_1" xfId="355" xr:uid="{00000000-0005-0000-0000-00008A000000}"/>
    <cellStyle name="Emphasis 1" xfId="98" xr:uid="{00000000-0005-0000-0000-00008B000000}"/>
    <cellStyle name="Emphasis 2" xfId="99" xr:uid="{00000000-0005-0000-0000-00008C000000}"/>
    <cellStyle name="Emphasis 3" xfId="100" xr:uid="{00000000-0005-0000-0000-00008D000000}"/>
    <cellStyle name="Empty_Cell" xfId="101" xr:uid="{00000000-0005-0000-0000-00008E000000}"/>
    <cellStyle name="Euro" xfId="102" xr:uid="{00000000-0005-0000-0000-00008F000000}"/>
    <cellStyle name="Explanatory Text 2" xfId="103" xr:uid="{00000000-0005-0000-0000-000090000000}"/>
    <cellStyle name="Fixed" xfId="104" xr:uid="{00000000-0005-0000-0000-000091000000}"/>
    <cellStyle name="Fixed 2" xfId="105" xr:uid="{00000000-0005-0000-0000-000092000000}"/>
    <cellStyle name="Gilsans" xfId="106" xr:uid="{00000000-0005-0000-0000-000093000000}"/>
    <cellStyle name="Gilsansl" xfId="107" xr:uid="{00000000-0005-0000-0000-000094000000}"/>
    <cellStyle name="Good 2" xfId="108" xr:uid="{00000000-0005-0000-0000-000095000000}"/>
    <cellStyle name="Header1" xfId="109" xr:uid="{00000000-0005-0000-0000-000096000000}"/>
    <cellStyle name="Header2" xfId="110" xr:uid="{00000000-0005-0000-0000-000097000000}"/>
    <cellStyle name="Header3" xfId="111" xr:uid="{00000000-0005-0000-0000-000098000000}"/>
    <cellStyle name="Header4" xfId="112" xr:uid="{00000000-0005-0000-0000-000099000000}"/>
    <cellStyle name="Header5" xfId="113" xr:uid="{00000000-0005-0000-0000-00009A000000}"/>
    <cellStyle name="Heading 1 2" xfId="114" xr:uid="{00000000-0005-0000-0000-00009B000000}"/>
    <cellStyle name="Heading 1 2 2" xfId="115" xr:uid="{00000000-0005-0000-0000-00009C000000}"/>
    <cellStyle name="Heading 1 3" xfId="116" xr:uid="{00000000-0005-0000-0000-00009D000000}"/>
    <cellStyle name="Heading 2 2" xfId="117" xr:uid="{00000000-0005-0000-0000-00009E000000}"/>
    <cellStyle name="Heading 2 2 2" xfId="118" xr:uid="{00000000-0005-0000-0000-00009F000000}"/>
    <cellStyle name="Heading 2 3" xfId="119" xr:uid="{00000000-0005-0000-0000-0000A0000000}"/>
    <cellStyle name="Heading 3 2" xfId="120" xr:uid="{00000000-0005-0000-0000-0000A1000000}"/>
    <cellStyle name="Heading 3 2 2" xfId="121" xr:uid="{00000000-0005-0000-0000-0000A2000000}"/>
    <cellStyle name="Heading 3 3" xfId="122" xr:uid="{00000000-0005-0000-0000-0000A3000000}"/>
    <cellStyle name="Heading 4 2" xfId="123" xr:uid="{00000000-0005-0000-0000-0000A4000000}"/>
    <cellStyle name="Heading 4 2 2" xfId="124" xr:uid="{00000000-0005-0000-0000-0000A5000000}"/>
    <cellStyle name="Heading 4 3" xfId="125" xr:uid="{00000000-0005-0000-0000-0000A6000000}"/>
    <cellStyle name="Heading(4)" xfId="126" xr:uid="{00000000-0005-0000-0000-0000A7000000}"/>
    <cellStyle name="Hyperlink" xfId="2" builtinId="8"/>
    <cellStyle name="Hyperlink 2" xfId="127" xr:uid="{00000000-0005-0000-0000-0000A9000000}"/>
    <cellStyle name="Hyperlink 3" xfId="263" xr:uid="{00000000-0005-0000-0000-0000AA000000}"/>
    <cellStyle name="Hyperlink 4" xfId="282" xr:uid="{00000000-0005-0000-0000-0000AB000000}"/>
    <cellStyle name="Hyperlink Arrow" xfId="128" xr:uid="{00000000-0005-0000-0000-0000AC000000}"/>
    <cellStyle name="Hyperlink Text" xfId="129" xr:uid="{00000000-0005-0000-0000-0000AD000000}"/>
    <cellStyle name="import" xfId="293" xr:uid="{00000000-0005-0000-0000-0000AE000000}"/>
    <cellStyle name="import%" xfId="294" xr:uid="{00000000-0005-0000-0000-0000AF000000}"/>
    <cellStyle name="import_ICRC Electricity model 1-1  (1 Feb 2003) " xfId="295" xr:uid="{00000000-0005-0000-0000-0000B0000000}"/>
    <cellStyle name="Input" xfId="1" builtinId="20"/>
    <cellStyle name="Input 2" xfId="130" xr:uid="{00000000-0005-0000-0000-0000B2000000}"/>
    <cellStyle name="Input 2 2" xfId="276" xr:uid="{00000000-0005-0000-0000-0000B3000000}"/>
    <cellStyle name="Input|Date" xfId="131" xr:uid="{00000000-0005-0000-0000-0000B4000000}"/>
    <cellStyle name="Input1" xfId="132" xr:uid="{00000000-0005-0000-0000-0000B5000000}"/>
    <cellStyle name="Input1 2" xfId="133" xr:uid="{00000000-0005-0000-0000-0000B6000000}"/>
    <cellStyle name="Input1 2 2" xfId="329" xr:uid="{00000000-0005-0000-0000-0000B7000000}"/>
    <cellStyle name="Input1 3" xfId="296" xr:uid="{00000000-0005-0000-0000-0000B8000000}"/>
    <cellStyle name="Input1 3 2" xfId="336" xr:uid="{00000000-0005-0000-0000-0000B9000000}"/>
    <cellStyle name="Input1 4" xfId="328" xr:uid="{00000000-0005-0000-0000-0000BA000000}"/>
    <cellStyle name="Input1 5" xfId="342" xr:uid="{00000000-0005-0000-0000-0000BB000000}"/>
    <cellStyle name="Input1%" xfId="297" xr:uid="{00000000-0005-0000-0000-0000BC000000}"/>
    <cellStyle name="Input1_ICRC Electricity model 1-1  (1 Feb 2003) " xfId="298" xr:uid="{00000000-0005-0000-0000-0000BD000000}"/>
    <cellStyle name="Input1default" xfId="299" xr:uid="{00000000-0005-0000-0000-0000BE000000}"/>
    <cellStyle name="Input1default%" xfId="300" xr:uid="{00000000-0005-0000-0000-0000BF000000}"/>
    <cellStyle name="Input2" xfId="134" xr:uid="{00000000-0005-0000-0000-0000C0000000}"/>
    <cellStyle name="Input2 2" xfId="135" xr:uid="{00000000-0005-0000-0000-0000C1000000}"/>
    <cellStyle name="Input3" xfId="136" xr:uid="{00000000-0005-0000-0000-0000C2000000}"/>
    <cellStyle name="Input3 2" xfId="137" xr:uid="{00000000-0005-0000-0000-0000C3000000}"/>
    <cellStyle name="Input3 2 2" xfId="331" xr:uid="{00000000-0005-0000-0000-0000C4000000}"/>
    <cellStyle name="Input3 3" xfId="330" xr:uid="{00000000-0005-0000-0000-0000C5000000}"/>
    <cellStyle name="Input3 4" xfId="343" xr:uid="{00000000-0005-0000-0000-0000C6000000}"/>
    <cellStyle name="Inputs_Divider" xfId="138" xr:uid="{00000000-0005-0000-0000-0000C7000000}"/>
    <cellStyle name="InSheet" xfId="139" xr:uid="{00000000-0005-0000-0000-0000C8000000}"/>
    <cellStyle name="key result" xfId="301" xr:uid="{00000000-0005-0000-0000-0000C9000000}"/>
    <cellStyle name="Lines" xfId="140" xr:uid="{00000000-0005-0000-0000-0000CA000000}"/>
    <cellStyle name="Linked Cell 2" xfId="141" xr:uid="{00000000-0005-0000-0000-0000CB000000}"/>
    <cellStyle name="Local import" xfId="302" xr:uid="{00000000-0005-0000-0000-0000CC000000}"/>
    <cellStyle name="Local import %" xfId="303" xr:uid="{00000000-0005-0000-0000-0000CD000000}"/>
    <cellStyle name="Mine" xfId="142" xr:uid="{00000000-0005-0000-0000-0000CE000000}"/>
    <cellStyle name="Model Name" xfId="143" xr:uid="{00000000-0005-0000-0000-0000CF000000}"/>
    <cellStyle name="Neutral 2" xfId="144" xr:uid="{00000000-0005-0000-0000-0000D0000000}"/>
    <cellStyle name="Normal" xfId="0" builtinId="0"/>
    <cellStyle name="Normal - Style1" xfId="145" xr:uid="{00000000-0005-0000-0000-0000D2000000}"/>
    <cellStyle name="Normal 10" xfId="146" xr:uid="{00000000-0005-0000-0000-0000D3000000}"/>
    <cellStyle name="Normal 10 2" xfId="285" xr:uid="{00000000-0005-0000-0000-0000D4000000}"/>
    <cellStyle name="Normal 10 2 2" xfId="353" xr:uid="{00000000-0005-0000-0000-0000D5000000}"/>
    <cellStyle name="Normal 10 3" xfId="357" xr:uid="{00000000-0005-0000-0000-0000D6000000}"/>
    <cellStyle name="Normal 11" xfId="265" xr:uid="{00000000-0005-0000-0000-0000D7000000}"/>
    <cellStyle name="Normal 114" xfId="352" xr:uid="{00000000-0005-0000-0000-0000D8000000}"/>
    <cellStyle name="Normal 12" xfId="281" xr:uid="{00000000-0005-0000-0000-0000D9000000}"/>
    <cellStyle name="Normal 13" xfId="147" xr:uid="{00000000-0005-0000-0000-0000DA000000}"/>
    <cellStyle name="Normal 13 2" xfId="148" xr:uid="{00000000-0005-0000-0000-0000DB000000}"/>
    <cellStyle name="Normal 13_29(d) - Gas extensions -tariffs" xfId="149" xr:uid="{00000000-0005-0000-0000-0000DC000000}"/>
    <cellStyle name="Normal 14" xfId="271" xr:uid="{00000000-0005-0000-0000-0000DD000000}"/>
    <cellStyle name="Normal 15" xfId="150" xr:uid="{00000000-0005-0000-0000-0000DE000000}"/>
    <cellStyle name="Normal 16" xfId="151" xr:uid="{00000000-0005-0000-0000-0000DF000000}"/>
    <cellStyle name="Normal 17" xfId="339" xr:uid="{00000000-0005-0000-0000-0000E0000000}"/>
    <cellStyle name="Normal 18" xfId="348" xr:uid="{00000000-0005-0000-0000-0000E1000000}"/>
    <cellStyle name="Normal 2" xfId="3" xr:uid="{00000000-0005-0000-0000-0000E2000000}"/>
    <cellStyle name="Normal 2 2" xfId="152" xr:uid="{00000000-0005-0000-0000-0000E3000000}"/>
    <cellStyle name="Normal 2 2 2" xfId="153" xr:uid="{00000000-0005-0000-0000-0000E4000000}"/>
    <cellStyle name="Normal 2 3" xfId="154" xr:uid="{00000000-0005-0000-0000-0000E5000000}"/>
    <cellStyle name="Normal 2 3 2" xfId="155" xr:uid="{00000000-0005-0000-0000-0000E6000000}"/>
    <cellStyle name="Normal 2 3_29(d) - Gas extensions -tariffs" xfId="156" xr:uid="{00000000-0005-0000-0000-0000E7000000}"/>
    <cellStyle name="Normal 2 4" xfId="157" xr:uid="{00000000-0005-0000-0000-0000E8000000}"/>
    <cellStyle name="Normal 2 5" xfId="158" xr:uid="{00000000-0005-0000-0000-0000E9000000}"/>
    <cellStyle name="Normal 2 6" xfId="283" xr:uid="{00000000-0005-0000-0000-0000EA000000}"/>
    <cellStyle name="Normal 2_29(d) - Gas extensions -tariffs" xfId="159" xr:uid="{00000000-0005-0000-0000-0000EB000000}"/>
    <cellStyle name="Normal 3" xfId="160" xr:uid="{00000000-0005-0000-0000-0000EC000000}"/>
    <cellStyle name="Normal 3 2" xfId="161" xr:uid="{00000000-0005-0000-0000-0000ED000000}"/>
    <cellStyle name="Normal 3 3" xfId="290" xr:uid="{00000000-0005-0000-0000-0000EE000000}"/>
    <cellStyle name="Normal 3_29(d) - Gas extensions -tariffs" xfId="162" xr:uid="{00000000-0005-0000-0000-0000EF000000}"/>
    <cellStyle name="Normal 34" xfId="270" xr:uid="{00000000-0005-0000-0000-0000F0000000}"/>
    <cellStyle name="Normal 38" xfId="163" xr:uid="{00000000-0005-0000-0000-0000F1000000}"/>
    <cellStyle name="Normal 38 2" xfId="164" xr:uid="{00000000-0005-0000-0000-0000F2000000}"/>
    <cellStyle name="Normal 38_29(d) - Gas extensions -tariffs" xfId="165" xr:uid="{00000000-0005-0000-0000-0000F3000000}"/>
    <cellStyle name="Normal 4" xfId="166" xr:uid="{00000000-0005-0000-0000-0000F4000000}"/>
    <cellStyle name="Normal 4 2" xfId="167" xr:uid="{00000000-0005-0000-0000-0000F5000000}"/>
    <cellStyle name="Normal 4 3" xfId="168" xr:uid="{00000000-0005-0000-0000-0000F6000000}"/>
    <cellStyle name="Normal 4 3 2" xfId="286" xr:uid="{00000000-0005-0000-0000-0000F7000000}"/>
    <cellStyle name="Normal 4_29(d) - Gas extensions -tariffs" xfId="169" xr:uid="{00000000-0005-0000-0000-0000F8000000}"/>
    <cellStyle name="Normal 40" xfId="170" xr:uid="{00000000-0005-0000-0000-0000F9000000}"/>
    <cellStyle name="Normal 40 2" xfId="171" xr:uid="{00000000-0005-0000-0000-0000FA000000}"/>
    <cellStyle name="Normal 40_29(d) - Gas extensions -tariffs" xfId="172" xr:uid="{00000000-0005-0000-0000-0000FB000000}"/>
    <cellStyle name="Normal 45" xfId="358" xr:uid="{F8D4BA5D-290A-4D15-ABE3-F19A332CA630}"/>
    <cellStyle name="Normal 5" xfId="173" xr:uid="{00000000-0005-0000-0000-0000FC000000}"/>
    <cellStyle name="Normal 5 2" xfId="174" xr:uid="{00000000-0005-0000-0000-0000FD000000}"/>
    <cellStyle name="Normal 5 3" xfId="354" xr:uid="{00000000-0005-0000-0000-0000FE000000}"/>
    <cellStyle name="Normal 6" xfId="175" xr:uid="{00000000-0005-0000-0000-0000FF000000}"/>
    <cellStyle name="Normal 6 2" xfId="176" xr:uid="{00000000-0005-0000-0000-000000010000}"/>
    <cellStyle name="Normal 7" xfId="177" xr:uid="{00000000-0005-0000-0000-000001010000}"/>
    <cellStyle name="Normal 7 2" xfId="178" xr:uid="{00000000-0005-0000-0000-000002010000}"/>
    <cellStyle name="Normal 7 2 2" xfId="287" xr:uid="{00000000-0005-0000-0000-000003010000}"/>
    <cellStyle name="Normal 8" xfId="179" xr:uid="{00000000-0005-0000-0000-000004010000}"/>
    <cellStyle name="Normal 9" xfId="180" xr:uid="{00000000-0005-0000-0000-000005010000}"/>
    <cellStyle name="Note 2" xfId="181" xr:uid="{00000000-0005-0000-0000-000006010000}"/>
    <cellStyle name="Note 2 2" xfId="277" xr:uid="{00000000-0005-0000-0000-000007010000}"/>
    <cellStyle name="OffSheet" xfId="182" xr:uid="{00000000-0005-0000-0000-000008010000}"/>
    <cellStyle name="Output 2" xfId="183" xr:uid="{00000000-0005-0000-0000-000009010000}"/>
    <cellStyle name="Output 2 2" xfId="278" xr:uid="{00000000-0005-0000-0000-00000A010000}"/>
    <cellStyle name="Percent" xfId="268" builtinId="5"/>
    <cellStyle name="Percent [2]" xfId="184" xr:uid="{00000000-0005-0000-0000-00000C010000}"/>
    <cellStyle name="Percent [2] 2" xfId="185" xr:uid="{00000000-0005-0000-0000-00000D010000}"/>
    <cellStyle name="Percent [2]_29(d) - Gas extensions -tariffs" xfId="186" xr:uid="{00000000-0005-0000-0000-00000E010000}"/>
    <cellStyle name="Percent 10" xfId="272" xr:uid="{00000000-0005-0000-0000-00000F010000}"/>
    <cellStyle name="Percent 11" xfId="344" xr:uid="{00000000-0005-0000-0000-000010010000}"/>
    <cellStyle name="Percent 12" xfId="349" xr:uid="{00000000-0005-0000-0000-000011010000}"/>
    <cellStyle name="Percent 2" xfId="187" xr:uid="{00000000-0005-0000-0000-000012010000}"/>
    <cellStyle name="Percent 2 2" xfId="188" xr:uid="{00000000-0005-0000-0000-000013010000}"/>
    <cellStyle name="Percent 2 3" xfId="291" xr:uid="{00000000-0005-0000-0000-000014010000}"/>
    <cellStyle name="Percent 3" xfId="189" xr:uid="{00000000-0005-0000-0000-000015010000}"/>
    <cellStyle name="Percent 3 2" xfId="190" xr:uid="{00000000-0005-0000-0000-000016010000}"/>
    <cellStyle name="Percent 4" xfId="191" xr:uid="{00000000-0005-0000-0000-000017010000}"/>
    <cellStyle name="Percent 5" xfId="192" xr:uid="{00000000-0005-0000-0000-000018010000}"/>
    <cellStyle name="Percent 5 2" xfId="288" xr:uid="{00000000-0005-0000-0000-000019010000}"/>
    <cellStyle name="Percent 6" xfId="264" xr:uid="{00000000-0005-0000-0000-00001A010000}"/>
    <cellStyle name="Percent 7" xfId="193" xr:uid="{00000000-0005-0000-0000-00001B010000}"/>
    <cellStyle name="Percent 8" xfId="266" xr:uid="{00000000-0005-0000-0000-00001C010000}"/>
    <cellStyle name="Percent 9" xfId="289" xr:uid="{00000000-0005-0000-0000-00001D010000}"/>
    <cellStyle name="Percentage" xfId="194" xr:uid="{00000000-0005-0000-0000-00001E010000}"/>
    <cellStyle name="Period Title" xfId="195" xr:uid="{00000000-0005-0000-0000-00001F010000}"/>
    <cellStyle name="PSChar" xfId="196" xr:uid="{00000000-0005-0000-0000-000020010000}"/>
    <cellStyle name="PSDate" xfId="197" xr:uid="{00000000-0005-0000-0000-000021010000}"/>
    <cellStyle name="PSDec" xfId="198" xr:uid="{00000000-0005-0000-0000-000022010000}"/>
    <cellStyle name="PSDetail" xfId="199" xr:uid="{00000000-0005-0000-0000-000023010000}"/>
    <cellStyle name="PSHeading" xfId="200" xr:uid="{00000000-0005-0000-0000-000024010000}"/>
    <cellStyle name="PSInt" xfId="201" xr:uid="{00000000-0005-0000-0000-000025010000}"/>
    <cellStyle name="PSSpacer" xfId="202" xr:uid="{00000000-0005-0000-0000-000026010000}"/>
    <cellStyle name="Ratio" xfId="203" xr:uid="{00000000-0005-0000-0000-000027010000}"/>
    <cellStyle name="Ratio 2" xfId="204" xr:uid="{00000000-0005-0000-0000-000028010000}"/>
    <cellStyle name="Ratio_29(d) - Gas extensions -tariffs" xfId="205" xr:uid="{00000000-0005-0000-0000-000029010000}"/>
    <cellStyle name="Right Date" xfId="206" xr:uid="{00000000-0005-0000-0000-00002A010000}"/>
    <cellStyle name="Right Number" xfId="207" xr:uid="{00000000-0005-0000-0000-00002B010000}"/>
    <cellStyle name="Right Year" xfId="208" xr:uid="{00000000-0005-0000-0000-00002C010000}"/>
    <cellStyle name="SAPError" xfId="209" xr:uid="{00000000-0005-0000-0000-00002D010000}"/>
    <cellStyle name="SAPError 2" xfId="210" xr:uid="{00000000-0005-0000-0000-00002E010000}"/>
    <cellStyle name="SAPKey" xfId="211" xr:uid="{00000000-0005-0000-0000-00002F010000}"/>
    <cellStyle name="SAPKey 2" xfId="212" xr:uid="{00000000-0005-0000-0000-000030010000}"/>
    <cellStyle name="SAPLocked" xfId="213" xr:uid="{00000000-0005-0000-0000-000031010000}"/>
    <cellStyle name="SAPLocked 2" xfId="214" xr:uid="{00000000-0005-0000-0000-000032010000}"/>
    <cellStyle name="SAPOutput" xfId="215" xr:uid="{00000000-0005-0000-0000-000033010000}"/>
    <cellStyle name="SAPOutput 2" xfId="216" xr:uid="{00000000-0005-0000-0000-000034010000}"/>
    <cellStyle name="SAPSpace" xfId="217" xr:uid="{00000000-0005-0000-0000-000035010000}"/>
    <cellStyle name="SAPSpace 2" xfId="218" xr:uid="{00000000-0005-0000-0000-000036010000}"/>
    <cellStyle name="SAPText" xfId="219" xr:uid="{00000000-0005-0000-0000-000037010000}"/>
    <cellStyle name="SAPText 2" xfId="220" xr:uid="{00000000-0005-0000-0000-000038010000}"/>
    <cellStyle name="SAPUnLocked" xfId="221" xr:uid="{00000000-0005-0000-0000-000039010000}"/>
    <cellStyle name="SAPUnLocked 2" xfId="222" xr:uid="{00000000-0005-0000-0000-00003A010000}"/>
    <cellStyle name="Sheet Title" xfId="223" xr:uid="{00000000-0005-0000-0000-00003B010000}"/>
    <cellStyle name="SheetHeader1" xfId="224" xr:uid="{00000000-0005-0000-0000-00003C010000}"/>
    <cellStyle name="SheetHeader2" xfId="225" xr:uid="{00000000-0005-0000-0000-00003D010000}"/>
    <cellStyle name="SheetHeader3" xfId="226" xr:uid="{00000000-0005-0000-0000-00003E010000}"/>
    <cellStyle name="Style 1" xfId="227" xr:uid="{00000000-0005-0000-0000-00003F010000}"/>
    <cellStyle name="Style 1 2" xfId="228" xr:uid="{00000000-0005-0000-0000-000040010000}"/>
    <cellStyle name="Style 1_29(d) - Gas extensions -tariffs" xfId="229" xr:uid="{00000000-0005-0000-0000-000041010000}"/>
    <cellStyle name="Style2" xfId="230" xr:uid="{00000000-0005-0000-0000-000042010000}"/>
    <cellStyle name="Style3" xfId="231" xr:uid="{00000000-0005-0000-0000-000043010000}"/>
    <cellStyle name="Style4" xfId="232" xr:uid="{00000000-0005-0000-0000-000044010000}"/>
    <cellStyle name="Style4 2" xfId="233" xr:uid="{00000000-0005-0000-0000-000045010000}"/>
    <cellStyle name="Style4_29(d) - Gas extensions -tariffs" xfId="234" xr:uid="{00000000-0005-0000-0000-000046010000}"/>
    <cellStyle name="Style5" xfId="235" xr:uid="{00000000-0005-0000-0000-000047010000}"/>
    <cellStyle name="Style5 2" xfId="236" xr:uid="{00000000-0005-0000-0000-000048010000}"/>
    <cellStyle name="Style5_29(d) - Gas extensions -tariffs" xfId="237" xr:uid="{00000000-0005-0000-0000-000049010000}"/>
    <cellStyle name="Table Head Green" xfId="238" xr:uid="{00000000-0005-0000-0000-00004A010000}"/>
    <cellStyle name="Table Head_pldt" xfId="239" xr:uid="{00000000-0005-0000-0000-00004B010000}"/>
    <cellStyle name="Table Source" xfId="240" xr:uid="{00000000-0005-0000-0000-00004C010000}"/>
    <cellStyle name="Table Units" xfId="241" xr:uid="{00000000-0005-0000-0000-00004D010000}"/>
    <cellStyle name="Table_Heading" xfId="242" xr:uid="{00000000-0005-0000-0000-00004E010000}"/>
    <cellStyle name="TableLvl2" xfId="350" xr:uid="{00000000-0005-0000-0000-00004F010000}"/>
    <cellStyle name="TableLvl3" xfId="351" xr:uid="{00000000-0005-0000-0000-000050010000}"/>
    <cellStyle name="Technical_Input" xfId="243" xr:uid="{00000000-0005-0000-0000-000051010000}"/>
    <cellStyle name="Text" xfId="244" xr:uid="{00000000-0005-0000-0000-000052010000}"/>
    <cellStyle name="Text 2" xfId="245" xr:uid="{00000000-0005-0000-0000-000053010000}"/>
    <cellStyle name="Text 3" xfId="246" xr:uid="{00000000-0005-0000-0000-000054010000}"/>
    <cellStyle name="Text Head 1" xfId="247" xr:uid="{00000000-0005-0000-0000-000055010000}"/>
    <cellStyle name="Text Head 2" xfId="248" xr:uid="{00000000-0005-0000-0000-000056010000}"/>
    <cellStyle name="Text Indent 2" xfId="249" xr:uid="{00000000-0005-0000-0000-000057010000}"/>
    <cellStyle name="Theirs" xfId="250" xr:uid="{00000000-0005-0000-0000-000058010000}"/>
    <cellStyle name="Title 2" xfId="251" xr:uid="{00000000-0005-0000-0000-000059010000}"/>
    <cellStyle name="TOC 1" xfId="252" xr:uid="{00000000-0005-0000-0000-00005A010000}"/>
    <cellStyle name="TOC 2" xfId="253" xr:uid="{00000000-0005-0000-0000-00005B010000}"/>
    <cellStyle name="TOC 3" xfId="254" xr:uid="{00000000-0005-0000-0000-00005C010000}"/>
    <cellStyle name="Total 2" xfId="255" xr:uid="{00000000-0005-0000-0000-00005D010000}"/>
    <cellStyle name="Total 2 2" xfId="279" xr:uid="{00000000-0005-0000-0000-00005E010000}"/>
    <cellStyle name="Totals" xfId="256" xr:uid="{00000000-0005-0000-0000-00005F010000}"/>
    <cellStyle name="unit" xfId="257" xr:uid="{00000000-0005-0000-0000-000060010000}"/>
    <cellStyle name="User_Input" xfId="258" xr:uid="{00000000-0005-0000-0000-000061010000}"/>
    <cellStyle name="Warning Text 2" xfId="259" xr:uid="{00000000-0005-0000-0000-000062010000}"/>
    <cellStyle name="year" xfId="260" xr:uid="{00000000-0005-0000-0000-000063010000}"/>
    <cellStyle name="year 2" xfId="261" xr:uid="{00000000-0005-0000-0000-000064010000}"/>
    <cellStyle name="year_29(d) - Gas extensions -tariffs" xfId="262" xr:uid="{00000000-0005-0000-0000-000065010000}"/>
  </cellStyles>
  <dxfs count="6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4BACC6"/>
      <color rgb="FFFFFF99"/>
      <color rgb="FFDAEEF3"/>
      <color rgb="FFFF00FF"/>
      <color rgb="FF0000FF"/>
      <color rgb="FF006100"/>
      <color rgb="FFC6EFCE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8" dT="2024-09-02T03:41:13.03" personId="{00000000-0000-0000-0000-000000000000}" id="{D6856467-DAF3-4C66-8A18-87B03A01A205}">
    <text>Ex-post adjustments $103.55
ICT Exclusion 45.62</text>
  </threadedComment>
  <threadedComment ref="I18" dT="2024-09-02T03:41:00.97" personId="{00000000-0000-0000-0000-000000000000}" id="{C2240DE7-4D64-4E0C-9230-915BEC5C794C}">
    <text>Ex-post adjustments $122.69
ICT Exclusion 35.46</text>
  </threadedComment>
  <threadedComment ref="J18" dT="2024-09-02T03:41:37.47" personId="{00000000-0000-0000-0000-000000000000}" id="{5B4BD455-1F0B-4C2C-87AA-7A223441B07E}">
    <text>Ex-post adjustments $131.74
ICT Exclusion 21.12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customWidth="1"/>
    <col min="29" max="16384" width="9.140625" style="2" hidden="1"/>
  </cols>
  <sheetData>
    <row r="1" spans="2:6" s="5" customFormat="1" ht="18" customHeight="1">
      <c r="B1" s="3" t="str">
        <f>'Input | General'!$B$1</f>
        <v>Ergon 2025-30 Final Decision - Capital expenditure sharing scheme model</v>
      </c>
      <c r="D1" s="4"/>
      <c r="E1" s="4"/>
    </row>
    <row r="2" spans="2:6" ht="18" customHeight="1">
      <c r="B2" s="33" t="s">
        <v>30</v>
      </c>
    </row>
    <row r="3" spans="2:6" ht="3" customHeight="1">
      <c r="C3" s="2"/>
    </row>
    <row r="4" spans="2:6" s="8" customFormat="1" ht="12.75" customHeight="1">
      <c r="C4" s="29" t="s">
        <v>31</v>
      </c>
      <c r="D4" s="7"/>
      <c r="E4" s="7"/>
    </row>
    <row r="5" spans="2:6" ht="11.25" customHeight="1"/>
    <row r="6" spans="2:6" ht="11.25" customHeight="1">
      <c r="C6" s="31" t="s">
        <v>32</v>
      </c>
      <c r="D6" s="31" t="s">
        <v>33</v>
      </c>
      <c r="E6" s="31"/>
    </row>
    <row r="7" spans="2:6" ht="11.25" customHeight="1">
      <c r="C7" s="108" t="s">
        <v>35</v>
      </c>
      <c r="D7" s="32" t="s">
        <v>46</v>
      </c>
      <c r="E7" s="32"/>
      <c r="F7" s="30"/>
    </row>
    <row r="8" spans="2:6" ht="11.25" customHeight="1">
      <c r="C8" s="108" t="s">
        <v>79</v>
      </c>
      <c r="D8" s="32" t="s">
        <v>78</v>
      </c>
      <c r="E8" s="32"/>
      <c r="F8" s="30"/>
    </row>
    <row r="9" spans="2:6" ht="11.25" customHeight="1">
      <c r="C9" s="108" t="s">
        <v>55</v>
      </c>
      <c r="D9" s="32" t="s">
        <v>38</v>
      </c>
      <c r="E9" s="32"/>
      <c r="F9" s="30"/>
    </row>
    <row r="10" spans="2:6" ht="11.25" customHeight="1">
      <c r="C10" s="108" t="s">
        <v>58</v>
      </c>
      <c r="D10" s="32" t="s">
        <v>39</v>
      </c>
      <c r="E10" s="32"/>
      <c r="F10" s="30"/>
    </row>
    <row r="11" spans="2:6" ht="11.25" customHeight="1">
      <c r="C11" s="108" t="s">
        <v>80</v>
      </c>
      <c r="D11" s="32" t="s">
        <v>54</v>
      </c>
      <c r="E11" s="32"/>
      <c r="F11" s="30"/>
    </row>
    <row r="12" spans="2:6" ht="12.75" customHeight="1"/>
    <row r="13" spans="2:6" s="8" customFormat="1" ht="12.75" customHeight="1">
      <c r="C13" s="29" t="s">
        <v>34</v>
      </c>
      <c r="D13" s="7"/>
      <c r="E13" s="7"/>
    </row>
    <row r="14" spans="2:6" ht="18" customHeight="1">
      <c r="C14" s="2"/>
      <c r="D14" s="2"/>
      <c r="E14" s="2"/>
    </row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6B19-41C3-42C5-9355-6F925788EB93}">
  <sheetPr codeName="Sheet8">
    <tabColor rgb="FF92D050"/>
  </sheetPr>
  <dimension ref="A1:A11"/>
  <sheetViews>
    <sheetView workbookViewId="0">
      <selection activeCell="B2" sqref="B2"/>
    </sheetView>
  </sheetViews>
  <sheetFormatPr defaultRowHeight="12.75"/>
  <cols>
    <col min="1" max="1" width="53" style="206" bestFit="1" customWidth="1"/>
    <col min="2" max="2" width="86" style="206" bestFit="1" customWidth="1"/>
    <col min="3" max="16384" width="9.140625" style="206"/>
  </cols>
  <sheetData>
    <row r="1" spans="1:1">
      <c r="A1" s="207" t="s">
        <v>114</v>
      </c>
    </row>
    <row r="2" spans="1:1">
      <c r="A2" s="210" t="s">
        <v>117</v>
      </c>
    </row>
    <row r="3" spans="1:1">
      <c r="A3" s="205"/>
    </row>
    <row r="4" spans="1:1">
      <c r="A4" s="205"/>
    </row>
    <row r="5" spans="1:1">
      <c r="A5" s="205"/>
    </row>
    <row r="6" spans="1:1">
      <c r="A6" s="205"/>
    </row>
    <row r="7" spans="1:1">
      <c r="A7" s="205"/>
    </row>
    <row r="8" spans="1:1">
      <c r="A8" s="205"/>
    </row>
    <row r="9" spans="1:1">
      <c r="A9" s="205"/>
    </row>
    <row r="10" spans="1:1">
      <c r="A10" s="205"/>
    </row>
    <row r="11" spans="1:1">
      <c r="A11" s="20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4" customWidth="1"/>
    <col min="3" max="3" width="55.7109375" style="15" customWidth="1"/>
    <col min="4" max="4" width="12.57031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customWidth="1"/>
    <col min="23" max="16384" width="12.7109375" style="14" hidden="1"/>
  </cols>
  <sheetData>
    <row r="1" spans="1:12" s="11" customFormat="1" ht="18" customHeight="1">
      <c r="B1" s="12" t="str">
        <f>$D$6&amp;" "&amp;$D$8&amp;" "&amp;D7&amp;" - "&amp;"Capital expenditure sharing scheme model"</f>
        <v>Ergon 2025-30 Final Decision - Capital expenditure sharing scheme model</v>
      </c>
      <c r="F1" s="104"/>
      <c r="G1" s="105" t="s">
        <v>47</v>
      </c>
      <c r="H1" s="157" t="s">
        <v>48</v>
      </c>
      <c r="I1" s="161" t="s">
        <v>36</v>
      </c>
      <c r="J1" s="204" t="s">
        <v>116</v>
      </c>
    </row>
    <row r="2" spans="1:12" s="11" customFormat="1" ht="18" customHeight="1">
      <c r="B2" s="13" t="s">
        <v>35</v>
      </c>
    </row>
    <row r="3" spans="1:12" s="11" customFormat="1" ht="3" customHeight="1">
      <c r="B3" s="10"/>
    </row>
    <row r="4" spans="1:12" s="62" customFormat="1" ht="12.75" customHeight="1">
      <c r="A4" s="8"/>
      <c r="B4" s="29" t="s">
        <v>35</v>
      </c>
    </row>
    <row r="5" spans="1:12" s="30" customFormat="1" ht="11.25" customHeight="1">
      <c r="C5" s="31"/>
    </row>
    <row r="6" spans="1:12" s="70" customFormat="1" ht="11.25" customHeight="1">
      <c r="C6" s="69" t="s">
        <v>0</v>
      </c>
      <c r="D6" s="158" t="s">
        <v>102</v>
      </c>
      <c r="J6" s="79"/>
      <c r="K6" s="79"/>
      <c r="L6" s="79"/>
    </row>
    <row r="7" spans="1:12" s="70" customFormat="1" ht="11.25" customHeight="1">
      <c r="C7" s="69" t="s">
        <v>88</v>
      </c>
      <c r="D7" s="203" t="s">
        <v>115</v>
      </c>
      <c r="I7" s="79"/>
      <c r="J7" s="79"/>
      <c r="K7" s="79"/>
      <c r="L7" s="79"/>
    </row>
    <row r="8" spans="1:12" s="70" customFormat="1" ht="11.25" customHeight="1">
      <c r="C8" s="69" t="s">
        <v>89</v>
      </c>
      <c r="D8" s="203" t="s">
        <v>103</v>
      </c>
      <c r="J8" s="79"/>
      <c r="K8" s="79"/>
      <c r="L8" s="79"/>
    </row>
    <row r="9" spans="1:12" s="70" customFormat="1" ht="11.25" customHeight="1">
      <c r="C9" s="188" t="s">
        <v>99</v>
      </c>
      <c r="D9" s="158" t="s">
        <v>101</v>
      </c>
      <c r="J9" s="79"/>
      <c r="K9" s="79"/>
      <c r="L9" s="79"/>
    </row>
    <row r="10" spans="1:12" s="70" customFormat="1" ht="11.25" customHeight="1">
      <c r="C10" s="69"/>
      <c r="J10" s="79"/>
      <c r="K10" s="79"/>
      <c r="L10" s="79"/>
    </row>
    <row r="11" spans="1:12" s="70" customFormat="1" ht="11.25" customHeight="1">
      <c r="C11" s="133" t="s">
        <v>87</v>
      </c>
      <c r="J11" s="79"/>
      <c r="K11" s="79"/>
      <c r="L11" s="79"/>
    </row>
    <row r="12" spans="1:12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</row>
    <row r="13" spans="1:12" s="70" customFormat="1" ht="11.25" customHeight="1">
      <c r="C13" s="69" t="s">
        <v>61</v>
      </c>
      <c r="D13" s="187" t="str">
        <f t="shared" ref="D13:F13" si="0">IF(LEN(E13)&gt;4,CONCATENATE(LEFT(E13,4)-1&amp;"–"&amp;IF(RIGHT(E13,2)="00","99",IF(RIGHT(E13,2)-1&lt;10,"0","")&amp;RIGHT(E13,2)-1)),E13-1)</f>
        <v>2020–21</v>
      </c>
      <c r="E13" s="187" t="str">
        <f t="shared" si="0"/>
        <v>2021–22</v>
      </c>
      <c r="F13" s="187" t="str">
        <f t="shared" si="0"/>
        <v>2022–23</v>
      </c>
      <c r="G13" s="187" t="str">
        <f>IF(LEN(H13)&gt;4,CONCATENATE(LEFT(H13,4)-1&amp;"–"&amp;IF(RIGHT(H13,2)="00","99",IF(RIGHT(H13,2)-1&lt;10,"0","")&amp;RIGHT(H13,2)-1)),H13-1)</f>
        <v>2023–24</v>
      </c>
      <c r="H13" s="187" t="str">
        <f>IF(LEN(D9)&gt;4,CONCATENATE(LEFT(D9,4)-1&amp;"–"&amp;IF(RIGHT(D9,2)="00","99",IF(RIGHT(D9,2)-1&lt;10,"0","")&amp;RIGHT(D9,2)-1)),D9-1)</f>
        <v>2024–25</v>
      </c>
      <c r="J13" s="79"/>
      <c r="K13" s="79"/>
      <c r="L13" s="79"/>
    </row>
    <row r="14" spans="1:12" s="70" customFormat="1" ht="11.25" customHeight="1">
      <c r="C14" s="69" t="s">
        <v>1</v>
      </c>
      <c r="D14" s="158" t="s">
        <v>8</v>
      </c>
      <c r="E14" s="158" t="s">
        <v>8</v>
      </c>
      <c r="F14" s="158" t="s">
        <v>8</v>
      </c>
      <c r="G14" s="158" t="s">
        <v>8</v>
      </c>
      <c r="H14" s="158" t="s">
        <v>8</v>
      </c>
      <c r="J14" s="79"/>
      <c r="K14" s="79"/>
      <c r="L14" s="79"/>
    </row>
    <row r="15" spans="1:12" s="70" customFormat="1" ht="11.25" customHeight="1">
      <c r="C15" s="69" t="s">
        <v>2</v>
      </c>
      <c r="D15" s="158" t="s">
        <v>7</v>
      </c>
      <c r="E15" s="158" t="s">
        <v>7</v>
      </c>
      <c r="F15" s="158" t="s">
        <v>7</v>
      </c>
      <c r="G15" s="158" t="s">
        <v>7</v>
      </c>
      <c r="H15" s="158" t="s">
        <v>29</v>
      </c>
      <c r="J15" s="79"/>
      <c r="K15" s="79"/>
      <c r="L15" s="79"/>
    </row>
    <row r="16" spans="1:12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</row>
    <row r="17" spans="1:12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</row>
    <row r="18" spans="1:12" s="70" customFormat="1" ht="11.25" customHeight="1">
      <c r="C18" s="69" t="s">
        <v>62</v>
      </c>
      <c r="D18" s="187" t="str">
        <f>D9</f>
        <v>2025-26</v>
      </c>
      <c r="E18" s="187" t="str">
        <f>IF(LEN(D18)&gt;4,CONCATENATE(LEFT(D18,4)+1&amp;"–"&amp;IF(RIGHT(D18,2)+1&gt;9,"","0")&amp;RIGHT(D18,2)+1),D18+1)</f>
        <v>2026–27</v>
      </c>
      <c r="F18" s="187" t="str">
        <f t="shared" ref="F18:H18" si="1">IF(LEN(E18)&gt;4,CONCATENATE(LEFT(E18,4)+1&amp;"–"&amp;IF(RIGHT(E18,2)+1&gt;9,"","0")&amp;RIGHT(E18,2)+1),E18+1)</f>
        <v>2027–28</v>
      </c>
      <c r="G18" s="187" t="str">
        <f t="shared" si="1"/>
        <v>2028–29</v>
      </c>
      <c r="H18" s="187" t="str">
        <f t="shared" si="1"/>
        <v>2029–30</v>
      </c>
      <c r="J18" s="79"/>
      <c r="K18" s="79"/>
      <c r="L18" s="79"/>
    </row>
    <row r="19" spans="1:12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</row>
    <row r="20" spans="1:12" s="70" customFormat="1" ht="11.25" customHeight="1">
      <c r="J20" s="79"/>
      <c r="K20" s="79"/>
      <c r="L20" s="79"/>
    </row>
    <row r="21" spans="1:12" s="62" customFormat="1" ht="12.75" customHeight="1">
      <c r="A21" s="8"/>
      <c r="B21" s="29" t="s">
        <v>34</v>
      </c>
    </row>
    <row r="22" spans="1:12" ht="18" customHeight="1">
      <c r="C22" s="14"/>
    </row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6.140625" style="24" bestFit="1" customWidth="1"/>
    <col min="19" max="32" width="12.7109375" style="24" customWidth="1"/>
    <col min="33" max="16384" width="9.140625" style="24" hidden="1"/>
  </cols>
  <sheetData>
    <row r="1" spans="1:18" s="11" customFormat="1" ht="18" customHeight="1">
      <c r="B1" s="3" t="str">
        <f>'Input | General'!$B$1</f>
        <v>Ergon 2025-30 Final Decision - Capital expenditure sharing scheme model</v>
      </c>
      <c r="D1" s="12"/>
      <c r="E1" s="12"/>
      <c r="F1" s="12"/>
      <c r="G1" s="104"/>
      <c r="H1" s="105" t="s">
        <v>47</v>
      </c>
      <c r="I1" s="157" t="s">
        <v>48</v>
      </c>
      <c r="J1" s="161" t="s">
        <v>36</v>
      </c>
      <c r="K1" s="204" t="s">
        <v>116</v>
      </c>
      <c r="L1" s="216" t="s">
        <v>119</v>
      </c>
      <c r="N1" s="106"/>
      <c r="O1" s="79"/>
      <c r="P1" s="79"/>
      <c r="Q1" s="79"/>
      <c r="R1" s="79"/>
    </row>
    <row r="2" spans="1:18" s="11" customFormat="1" ht="18" customHeight="1">
      <c r="C2" s="13" t="s">
        <v>90</v>
      </c>
      <c r="D2" s="13"/>
      <c r="E2" s="13"/>
      <c r="F2" s="13"/>
    </row>
    <row r="3" spans="1:18" s="11" customFormat="1" ht="3" customHeight="1">
      <c r="C3" s="10"/>
      <c r="D3" s="10"/>
      <c r="E3" s="10"/>
      <c r="F3" s="10"/>
      <c r="M3" s="22"/>
    </row>
    <row r="4" spans="1:18" s="81" customFormat="1" ht="12.75" customHeight="1">
      <c r="C4" s="29" t="s">
        <v>43</v>
      </c>
      <c r="D4" s="82"/>
      <c r="E4" s="82"/>
      <c r="F4" s="82"/>
      <c r="M4" s="83"/>
    </row>
    <row r="5" spans="1:18" ht="11.25" customHeight="1">
      <c r="A5" s="11"/>
      <c r="B5" s="11"/>
      <c r="C5" s="16"/>
      <c r="D5" s="79"/>
      <c r="E5" s="79"/>
      <c r="F5" s="79"/>
      <c r="N5" s="11"/>
    </row>
    <row r="6" spans="1:18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18" ht="11.25" customHeight="1">
      <c r="A7" s="11"/>
      <c r="B7" s="11"/>
      <c r="C7" s="16"/>
      <c r="D7" s="79"/>
      <c r="E7" s="79"/>
      <c r="F7" s="174" t="str">
        <f>IF(LEN(G7)&gt;4,CONCATENATE(LEFT(G7,4)-1&amp;"–"&amp;IF(RIGHT(G7,2)="00","99",IF(RIGHT(G7,2)-1&lt;10,"0","")&amp;RIGHT(G7,2)-1)),G7-1)</f>
        <v>2019–20</v>
      </c>
      <c r="G7" s="173" t="str">
        <f>'Input | General'!D13</f>
        <v>2020–21</v>
      </c>
      <c r="H7" s="173" t="str">
        <f>'Input | General'!E13</f>
        <v>2021–22</v>
      </c>
      <c r="I7" s="173" t="str">
        <f>'Input | General'!F13</f>
        <v>2022–23</v>
      </c>
      <c r="J7" s="173" t="str">
        <f>'Input | General'!G13</f>
        <v>2023–24</v>
      </c>
      <c r="K7" s="173" t="str">
        <f>'Input | General'!H13</f>
        <v>2024–25</v>
      </c>
      <c r="L7" s="173" t="str">
        <f>'Input | General'!D18</f>
        <v>2025-26</v>
      </c>
      <c r="M7" s="173" t="str">
        <f>'Input | General'!E18</f>
        <v>2026–27</v>
      </c>
      <c r="N7" s="173" t="str">
        <f>'Input | General'!F18</f>
        <v>2027–28</v>
      </c>
      <c r="O7" s="173" t="str">
        <f>'Input | General'!G18</f>
        <v>2028–29</v>
      </c>
      <c r="P7" s="173" t="str">
        <f>'Input | General'!H18</f>
        <v>2029–30</v>
      </c>
    </row>
    <row r="8" spans="1:18" ht="11.25" customHeight="1">
      <c r="A8" s="11"/>
      <c r="B8" s="11"/>
      <c r="C8" s="80" t="s">
        <v>81</v>
      </c>
      <c r="D8" s="78" t="s">
        <v>100</v>
      </c>
      <c r="E8" s="78" t="s">
        <v>51</v>
      </c>
      <c r="F8" s="78"/>
      <c r="G8" s="200">
        <v>8.6058519793459354E-3</v>
      </c>
      <c r="H8" s="200">
        <v>3.4982935153583528E-2</v>
      </c>
      <c r="I8" s="200">
        <v>7.8318219291014124E-2</v>
      </c>
      <c r="J8" s="219">
        <v>4.0519877675840865E-2</v>
      </c>
      <c r="K8" s="219">
        <v>0.03</v>
      </c>
      <c r="L8" s="85"/>
      <c r="M8" s="85"/>
      <c r="N8" s="85"/>
      <c r="O8" s="85"/>
      <c r="P8" s="85"/>
    </row>
    <row r="9" spans="1:18" ht="11.25" customHeight="1">
      <c r="A9" s="11"/>
      <c r="B9" s="11"/>
      <c r="C9" s="80" t="s">
        <v>82</v>
      </c>
      <c r="D9" s="78" t="s">
        <v>100</v>
      </c>
      <c r="E9" s="78" t="s">
        <v>51</v>
      </c>
      <c r="F9" s="78"/>
      <c r="G9" s="129"/>
      <c r="H9" s="129"/>
      <c r="I9" s="129"/>
      <c r="J9" s="129"/>
      <c r="K9" s="129"/>
      <c r="L9" s="219">
        <v>2.8497022352319323E-2</v>
      </c>
      <c r="M9" s="141">
        <f t="shared" ref="M9:P9" si="0">L9</f>
        <v>2.8497022352319323E-2</v>
      </c>
      <c r="N9" s="141">
        <f t="shared" si="0"/>
        <v>2.8497022352319323E-2</v>
      </c>
      <c r="O9" s="141">
        <f t="shared" si="0"/>
        <v>2.8497022352319323E-2</v>
      </c>
      <c r="P9" s="141">
        <f t="shared" si="0"/>
        <v>2.8497022352319323E-2</v>
      </c>
    </row>
    <row r="10" spans="1:18" ht="11.25" customHeight="1">
      <c r="A10" s="11"/>
      <c r="B10" s="11"/>
      <c r="C10" s="138" t="str">
        <f>"CPI Index (base year "&amp;F7&amp;")"</f>
        <v>CPI Index (base year 2019–20)</v>
      </c>
      <c r="D10" s="78" t="s">
        <v>100</v>
      </c>
      <c r="E10" s="78" t="s">
        <v>30</v>
      </c>
      <c r="F10" s="136">
        <v>1</v>
      </c>
      <c r="G10" s="122">
        <f>IF(G7&lt;&gt;"",(F10*(1+G8)),"")</f>
        <v>1.0086058519793459</v>
      </c>
      <c r="H10" s="122">
        <f>IF(H7&lt;&gt;"",(G10*(1+H8)),"")</f>
        <v>1.0438898450946643</v>
      </c>
      <c r="I10" s="122">
        <f>IF(I7&lt;&gt;"",(H10*(1+I8)),"")</f>
        <v>1.1256454388984509</v>
      </c>
      <c r="J10" s="122">
        <f>IF(J7&lt;&gt;"",(I10*(1+J8)),"")</f>
        <v>1.1712564543889843</v>
      </c>
      <c r="K10" s="122">
        <f>IF(K7&lt;&gt;"",(J10*(1+K8)),"")</f>
        <v>1.2063941480206539</v>
      </c>
      <c r="L10" s="86">
        <f t="shared" ref="L10:P10" si="1">IF(L7&lt;&gt;"",(K10*(1+L9)),"")</f>
        <v>1.2407727890225058</v>
      </c>
      <c r="M10" s="86">
        <f t="shared" si="1"/>
        <v>1.2761311189254296</v>
      </c>
      <c r="N10" s="86">
        <f t="shared" si="1"/>
        <v>1.3124970559459379</v>
      </c>
      <c r="O10" s="86">
        <f t="shared" si="1"/>
        <v>1.3498993138865827</v>
      </c>
      <c r="P10" s="86">
        <f t="shared" si="1"/>
        <v>1.3883674248077891</v>
      </c>
    </row>
    <row r="11" spans="1:18" ht="11.25" customHeight="1">
      <c r="A11" s="11"/>
      <c r="B11" s="11"/>
      <c r="C11" s="80"/>
      <c r="D11" s="78"/>
      <c r="E11" s="78"/>
      <c r="F11" s="78"/>
      <c r="G11" s="85"/>
      <c r="H11" s="85"/>
      <c r="I11" s="85"/>
      <c r="J11" s="85"/>
      <c r="K11" s="130"/>
      <c r="L11" s="130"/>
      <c r="M11" s="130"/>
      <c r="N11" s="130"/>
      <c r="O11" s="130"/>
      <c r="P11" s="130"/>
    </row>
    <row r="12" spans="1:18" ht="11.25" customHeight="1">
      <c r="A12" s="11"/>
      <c r="B12" s="11"/>
      <c r="C12" s="80"/>
      <c r="D12" s="78"/>
      <c r="E12" s="78"/>
      <c r="F12" s="78"/>
      <c r="G12" s="126"/>
      <c r="H12" s="126"/>
      <c r="I12" s="190"/>
      <c r="J12" s="190"/>
      <c r="K12" s="191"/>
      <c r="L12" s="191"/>
      <c r="M12" s="191"/>
      <c r="N12" s="191"/>
      <c r="O12" s="191"/>
      <c r="P12" s="191"/>
    </row>
    <row r="13" spans="1:18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200">
        <f>G8</f>
        <v>8.6058519793459354E-3</v>
      </c>
      <c r="H13" s="200">
        <f>H8</f>
        <v>3.4982935153583528E-2</v>
      </c>
      <c r="I13" s="200">
        <f>I8</f>
        <v>7.8318219291014124E-2</v>
      </c>
      <c r="J13" s="200">
        <v>4.0519877675840865E-2</v>
      </c>
      <c r="K13" s="211">
        <v>2.4246877296105973E-2</v>
      </c>
      <c r="L13" s="190"/>
      <c r="M13" s="190"/>
      <c r="N13" s="190"/>
      <c r="O13" s="190"/>
      <c r="P13" s="190"/>
    </row>
    <row r="14" spans="1:18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5"/>
      <c r="H14" s="85"/>
      <c r="I14" s="130"/>
      <c r="J14" s="130"/>
      <c r="K14" s="130"/>
      <c r="L14" s="211">
        <v>2.7196985947837593E-2</v>
      </c>
      <c r="M14" s="141">
        <f t="shared" ref="M14:P14" si="2">L14</f>
        <v>2.7196985947837593E-2</v>
      </c>
      <c r="N14" s="141">
        <f t="shared" si="2"/>
        <v>2.7196985947837593E-2</v>
      </c>
      <c r="O14" s="141">
        <f t="shared" si="2"/>
        <v>2.7196985947837593E-2</v>
      </c>
      <c r="P14" s="141">
        <f t="shared" si="2"/>
        <v>2.7196985947837593E-2</v>
      </c>
    </row>
    <row r="15" spans="1:18" ht="11.25" customHeight="1">
      <c r="A15" s="11"/>
      <c r="B15" s="11"/>
      <c r="C15" s="138" t="str">
        <f>"CPI Index (base year "&amp;F7&amp;")"</f>
        <v>CPI Index (base year 2019–20)</v>
      </c>
      <c r="D15" s="78" t="s">
        <v>49</v>
      </c>
      <c r="E15" s="78" t="s">
        <v>30</v>
      </c>
      <c r="F15" s="136">
        <v>1</v>
      </c>
      <c r="G15" s="122">
        <f>IF(G7&lt;&gt;"",(F15*(1+G13)),"")</f>
        <v>1.0086058519793459</v>
      </c>
      <c r="H15" s="122">
        <f>IF(H7&lt;&gt;"",(G15*(1+H13)),"")</f>
        <v>1.0438898450946643</v>
      </c>
      <c r="I15" s="192">
        <f>IF(I7&lt;&gt;"",(H15*(1+I13)),"")</f>
        <v>1.1256454388984509</v>
      </c>
      <c r="J15" s="192">
        <f>IF(J7&lt;&gt;"",(I15*(1+J13)),"")</f>
        <v>1.1712564543889843</v>
      </c>
      <c r="K15" s="193">
        <f>IF(K7&lt;&gt;"",(J15*(1+K13)),"")</f>
        <v>1.1996557659208262</v>
      </c>
      <c r="L15" s="193">
        <f t="shared" ref="L15:P15" si="3">IF(L7&lt;&gt;"",(K15*(1+L14)),"")</f>
        <v>1.2322827869288173</v>
      </c>
      <c r="M15" s="193">
        <f t="shared" si="3"/>
        <v>1.2657971645686825</v>
      </c>
      <c r="N15" s="193">
        <f t="shared" si="3"/>
        <v>1.3002230322662696</v>
      </c>
      <c r="O15" s="193">
        <f t="shared" si="3"/>
        <v>1.33558517980387</v>
      </c>
      <c r="P15" s="193">
        <f t="shared" si="3"/>
        <v>1.3719090711711361</v>
      </c>
    </row>
    <row r="16" spans="1:18" s="128" customFormat="1" ht="11.25" customHeight="1">
      <c r="A16" s="2"/>
      <c r="B16" s="2"/>
      <c r="C16" s="80"/>
      <c r="D16" s="127"/>
      <c r="E16" s="127"/>
      <c r="F16" s="127"/>
      <c r="G16" s="85"/>
      <c r="H16" s="85"/>
      <c r="I16" s="130"/>
      <c r="J16" s="130"/>
      <c r="K16" s="194"/>
      <c r="L16" s="194"/>
      <c r="M16" s="194"/>
      <c r="N16" s="194"/>
      <c r="O16" s="194"/>
      <c r="P16" s="194"/>
    </row>
    <row r="17" spans="1:16" s="81" customFormat="1" ht="12.75" customHeight="1">
      <c r="C17" s="29" t="s">
        <v>68</v>
      </c>
      <c r="D17" s="82"/>
      <c r="E17" s="82"/>
      <c r="F17" s="82"/>
      <c r="I17" s="195"/>
      <c r="J17" s="195"/>
      <c r="K17" s="195"/>
      <c r="L17" s="195"/>
      <c r="M17" s="196"/>
      <c r="N17" s="195"/>
      <c r="O17" s="195"/>
      <c r="P17" s="195"/>
    </row>
    <row r="18" spans="1:16" ht="11.25" customHeight="1">
      <c r="A18" s="16"/>
      <c r="B18" s="79"/>
      <c r="C18" s="79"/>
      <c r="D18" s="79"/>
      <c r="E18" s="79"/>
      <c r="F18" s="75"/>
      <c r="I18" s="14"/>
      <c r="J18" s="14"/>
      <c r="K18" s="14"/>
      <c r="L18" s="14"/>
      <c r="M18" s="197"/>
      <c r="N18" s="14"/>
      <c r="O18" s="191"/>
      <c r="P18" s="191"/>
    </row>
    <row r="19" spans="1:16" ht="11.25" customHeight="1">
      <c r="C19" s="16"/>
      <c r="D19" s="75" t="s">
        <v>6</v>
      </c>
      <c r="E19" s="75" t="s">
        <v>52</v>
      </c>
      <c r="F19" s="79"/>
      <c r="G19" s="173" t="str">
        <f>G7</f>
        <v>2020–21</v>
      </c>
      <c r="H19" s="173" t="str">
        <f t="shared" ref="H19:P19" si="4">H7</f>
        <v>2021–22</v>
      </c>
      <c r="I19" s="198" t="str">
        <f t="shared" si="4"/>
        <v>2022–23</v>
      </c>
      <c r="J19" s="198" t="str">
        <f t="shared" si="4"/>
        <v>2023–24</v>
      </c>
      <c r="K19" s="198" t="str">
        <f t="shared" si="4"/>
        <v>2024–25</v>
      </c>
      <c r="L19" s="198" t="str">
        <f t="shared" si="4"/>
        <v>2025-26</v>
      </c>
      <c r="M19" s="198" t="str">
        <f t="shared" si="4"/>
        <v>2026–27</v>
      </c>
      <c r="N19" s="198" t="str">
        <f t="shared" si="4"/>
        <v>2027–28</v>
      </c>
      <c r="O19" s="198" t="str">
        <f t="shared" si="4"/>
        <v>2028–29</v>
      </c>
      <c r="P19" s="198" t="str">
        <f t="shared" si="4"/>
        <v>2029–30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200">
        <v>2.3998445239976629E-2</v>
      </c>
      <c r="H20" s="200">
        <v>2.2429515237719189E-2</v>
      </c>
      <c r="I20" s="200">
        <v>2.1803719524386755E-2</v>
      </c>
      <c r="J20" s="200">
        <v>2.2573324923264249E-2</v>
      </c>
      <c r="K20" s="200">
        <v>2.3056871865892781E-2</v>
      </c>
      <c r="L20" s="130"/>
      <c r="M20" s="130"/>
      <c r="N20" s="130"/>
      <c r="O20" s="130"/>
      <c r="P20" s="130"/>
    </row>
    <row r="21" spans="1:16" ht="11.25" customHeight="1">
      <c r="C21" s="153" t="s">
        <v>95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211">
        <v>3.2815002262318725E-2</v>
      </c>
      <c r="M21" s="211">
        <v>3.3052086325600617E-2</v>
      </c>
      <c r="N21" s="211">
        <v>3.3533319638007028E-2</v>
      </c>
      <c r="O21" s="211">
        <v>3.4364008641049493E-2</v>
      </c>
      <c r="P21" s="211">
        <v>3.5217381383691834E-2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2">
        <f>IF(AND(G13&lt;&gt;"",G20&lt;&gt;""),((1+G20)*(1+G13)-1),"")</f>
        <v>3.2810824286792162E-2</v>
      </c>
      <c r="H22" s="142">
        <f>IF(AND(H13&lt;&gt;"",H20&lt;&gt;""),((1+H20)*(1+H13)-1),"")</f>
        <v>5.8197100668390123E-2</v>
      </c>
      <c r="I22" s="141">
        <f>IF(AND(I13&lt;&gt;"",I20&lt;&gt;""),((1+I20)*(1+I13)-1),"")</f>
        <v>0.10182956730247161</v>
      </c>
      <c r="J22" s="141">
        <f>IF(AND(J13&lt;&gt;"",J20&lt;&gt;""),((1+J20)*(1+J13)-1),"")</f>
        <v>6.4007870963732838E-2</v>
      </c>
      <c r="K22" s="141">
        <f>IF(AND(K13&lt;&gt;"",K20&lt;&gt;""),((1+K20)*(1+K13)-1),"")</f>
        <v>4.786280630496309E-2</v>
      </c>
      <c r="L22" s="141">
        <f>IF(AND(L14&lt;&gt;"",L21&lt;&gt;""),((1+L21)*(1+L14)-1),"")</f>
        <v>6.0904457365563047E-2</v>
      </c>
      <c r="M22" s="141">
        <f t="shared" ref="M22:P22" si="5">IF(AND(M14&lt;&gt;"",M21&lt;&gt;""),((1+M21)*(1+M14)-1),"")</f>
        <v>6.1147989400782254E-2</v>
      </c>
      <c r="N22" s="141">
        <f t="shared" si="5"/>
        <v>6.1642310808823764E-2</v>
      </c>
      <c r="O22" s="141">
        <f t="shared" si="5"/>
        <v>6.2495592049009119E-2</v>
      </c>
      <c r="P22" s="141">
        <f t="shared" si="5"/>
        <v>6.3372173958141209E-2</v>
      </c>
    </row>
    <row r="23" spans="1:16" ht="11.25" customHeight="1">
      <c r="A23" s="11"/>
      <c r="B23" s="11"/>
      <c r="C23" s="80"/>
      <c r="D23" s="78"/>
      <c r="E23" s="78"/>
      <c r="F23" s="79"/>
      <c r="G23" s="85"/>
      <c r="H23" s="20"/>
      <c r="I23" s="199"/>
      <c r="J23" s="199"/>
      <c r="K23" s="199"/>
      <c r="L23" s="14"/>
      <c r="M23" s="197"/>
      <c r="N23" s="14"/>
      <c r="O23" s="191"/>
      <c r="P23" s="19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customHeight="1">
      <c r="G25" s="24"/>
      <c r="H25" s="24"/>
      <c r="I25" s="24"/>
      <c r="J25" s="24"/>
      <c r="K25" s="24"/>
      <c r="L25" s="24"/>
      <c r="M25" s="24"/>
    </row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09"/>
  <sheetViews>
    <sheetView zoomScale="120" zoomScaleNormal="120" workbookViewId="0">
      <selection activeCell="I37" sqref="I37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3" width="7.85546875" style="11" bestFit="1" customWidth="1"/>
    <col min="14" max="14" width="2.85546875" style="11" customWidth="1"/>
    <col min="15" max="23" width="9.140625" style="11" customWidth="1"/>
    <col min="24" max="16384" width="12.7109375" style="11" hidden="1"/>
  </cols>
  <sheetData>
    <row r="1" spans="2:16" ht="18" customHeight="1">
      <c r="B1" s="3" t="s">
        <v>118</v>
      </c>
      <c r="D1" s="12"/>
      <c r="E1" s="12"/>
      <c r="F1" s="12"/>
      <c r="G1" s="12"/>
      <c r="H1" s="104"/>
      <c r="I1" s="213" t="s">
        <v>47</v>
      </c>
      <c r="J1" s="214" t="s">
        <v>48</v>
      </c>
      <c r="K1" s="215" t="s">
        <v>36</v>
      </c>
      <c r="L1" s="216" t="s">
        <v>119</v>
      </c>
      <c r="M1" s="217" t="s">
        <v>120</v>
      </c>
    </row>
    <row r="2" spans="2:16" ht="18" customHeight="1">
      <c r="B2" s="13" t="s">
        <v>37</v>
      </c>
      <c r="D2" s="13"/>
      <c r="E2" s="13"/>
      <c r="F2" s="13"/>
      <c r="G2" s="13"/>
    </row>
    <row r="3" spans="2:16" ht="3" customHeight="1">
      <c r="C3" s="10"/>
      <c r="D3" s="10"/>
      <c r="E3" s="10"/>
      <c r="F3" s="10"/>
      <c r="G3" s="10"/>
    </row>
    <row r="4" spans="2:16" s="8" customFormat="1" ht="12.75" customHeight="1">
      <c r="B4" s="29" t="s">
        <v>40</v>
      </c>
      <c r="D4" s="6"/>
      <c r="E4" s="6"/>
      <c r="F4" s="6"/>
      <c r="G4" s="6"/>
    </row>
    <row r="5" spans="2:16" ht="10.5" customHeight="1">
      <c r="D5" s="68"/>
      <c r="E5" s="68"/>
      <c r="F5" s="68"/>
      <c r="G5" s="68"/>
    </row>
    <row r="6" spans="2:16" s="68" customFormat="1" ht="10.5" customHeight="1">
      <c r="D6" s="75" t="s">
        <v>6</v>
      </c>
      <c r="E6" s="75" t="s">
        <v>52</v>
      </c>
      <c r="F6" s="75" t="s">
        <v>4</v>
      </c>
      <c r="G6" s="64"/>
      <c r="H6" s="175" t="s">
        <v>104</v>
      </c>
      <c r="I6" s="175" t="s">
        <v>105</v>
      </c>
      <c r="J6" s="175" t="s">
        <v>106</v>
      </c>
      <c r="K6" s="175" t="s">
        <v>107</v>
      </c>
      <c r="L6" s="175" t="s">
        <v>108</v>
      </c>
      <c r="M6" s="107"/>
      <c r="N6" s="107"/>
    </row>
    <row r="7" spans="2:16" s="68" customFormat="1" ht="10.5" customHeight="1">
      <c r="M7" s="107"/>
      <c r="N7" s="107"/>
    </row>
    <row r="8" spans="2:16" ht="10.5" customHeight="1">
      <c r="C8" s="80" t="s">
        <v>3</v>
      </c>
      <c r="D8" s="78" t="s">
        <v>49</v>
      </c>
      <c r="E8" s="78" t="s">
        <v>50</v>
      </c>
      <c r="F8" s="178" t="s">
        <v>109</v>
      </c>
      <c r="G8" s="68"/>
      <c r="H8" s="159">
        <v>499.57330236783298</v>
      </c>
      <c r="I8" s="159">
        <v>500.94030935378782</v>
      </c>
      <c r="J8" s="159">
        <v>498.52996940778246</v>
      </c>
      <c r="K8" s="218">
        <v>481.06803557694752</v>
      </c>
      <c r="L8" s="159">
        <v>487.69904585849412</v>
      </c>
      <c r="M8" s="2"/>
      <c r="N8" s="2"/>
    </row>
    <row r="9" spans="2:16" ht="10.5" customHeight="1">
      <c r="C9" s="80" t="s">
        <v>97</v>
      </c>
      <c r="D9" s="78" t="s">
        <v>49</v>
      </c>
      <c r="E9" s="78" t="s">
        <v>50</v>
      </c>
      <c r="F9" s="178" t="s">
        <v>109</v>
      </c>
      <c r="G9" s="68"/>
      <c r="H9" s="159">
        <v>38.11520213443314</v>
      </c>
      <c r="I9" s="159">
        <v>35.334801478226616</v>
      </c>
      <c r="J9" s="159">
        <v>31.880516414772917</v>
      </c>
      <c r="K9" s="159">
        <v>31.911876667193404</v>
      </c>
      <c r="L9" s="159">
        <v>31.947470454619687</v>
      </c>
      <c r="M9" s="2"/>
      <c r="N9" s="2"/>
    </row>
    <row r="10" spans="2:16" ht="10.5" customHeight="1">
      <c r="C10" s="80" t="s">
        <v>91</v>
      </c>
      <c r="D10" s="78" t="s">
        <v>49</v>
      </c>
      <c r="E10" s="78" t="s">
        <v>50</v>
      </c>
      <c r="F10" s="178" t="s">
        <v>109</v>
      </c>
      <c r="G10" s="68"/>
      <c r="H10" s="159">
        <v>3.9967786876243099</v>
      </c>
      <c r="I10" s="159">
        <v>3.9967786876243099</v>
      </c>
      <c r="J10" s="159">
        <v>3.9967786876243099</v>
      </c>
      <c r="K10" s="159">
        <v>4.9112087729676608</v>
      </c>
      <c r="L10" s="159">
        <v>3.9967786876243099</v>
      </c>
      <c r="M10" s="2"/>
      <c r="N10" s="2"/>
    </row>
    <row r="11" spans="2:16" s="68" customFormat="1" ht="10.5" customHeight="1">
      <c r="H11" s="67"/>
      <c r="I11" s="67"/>
      <c r="J11" s="67"/>
      <c r="K11" s="67"/>
      <c r="L11" s="67"/>
      <c r="M11" s="107"/>
      <c r="N11" s="107"/>
    </row>
    <row r="12" spans="2:16" ht="10.5" customHeight="1">
      <c r="C12" s="77" t="s">
        <v>5</v>
      </c>
      <c r="D12" s="76" t="s">
        <v>60</v>
      </c>
      <c r="E12" s="176" t="s">
        <v>50</v>
      </c>
      <c r="F12" s="177" t="s">
        <v>109</v>
      </c>
      <c r="G12" s="68"/>
      <c r="H12" s="66">
        <f>IF(H6="", "", H8-H9-H10)</f>
        <v>457.46132154577549</v>
      </c>
      <c r="I12" s="66">
        <f t="shared" ref="I12:L12" si="0">IF(I6="", "", I8-I9-I10)</f>
        <v>461.60872918793689</v>
      </c>
      <c r="J12" s="66">
        <f t="shared" si="0"/>
        <v>462.65267430538523</v>
      </c>
      <c r="K12" s="66">
        <f t="shared" si="0"/>
        <v>444.24495013678649</v>
      </c>
      <c r="L12" s="66">
        <f t="shared" si="0"/>
        <v>451.7547967162501</v>
      </c>
      <c r="M12" s="2"/>
      <c r="N12" s="2"/>
    </row>
    <row r="13" spans="2:16" ht="10.5" customHeight="1">
      <c r="D13" s="68"/>
      <c r="E13" s="68"/>
      <c r="F13" s="68"/>
      <c r="G13" s="68"/>
      <c r="M13" s="72"/>
      <c r="N13" s="72"/>
    </row>
    <row r="14" spans="2:16" s="8" customFormat="1" ht="12.75" customHeight="1">
      <c r="B14" s="74" t="s">
        <v>41</v>
      </c>
      <c r="D14" s="18"/>
      <c r="E14" s="18"/>
      <c r="F14" s="18"/>
      <c r="G14" s="18"/>
    </row>
    <row r="15" spans="2:16" s="2" customFormat="1" ht="10.5" customHeight="1">
      <c r="B15" s="73"/>
      <c r="D15" s="21"/>
      <c r="E15" s="21"/>
      <c r="F15" s="21"/>
      <c r="G15" s="21"/>
    </row>
    <row r="16" spans="2:16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5" t="s">
        <v>104</v>
      </c>
      <c r="I16" s="175" t="s">
        <v>105</v>
      </c>
      <c r="J16" s="175" t="s">
        <v>106</v>
      </c>
      <c r="K16" s="175" t="s">
        <v>107</v>
      </c>
      <c r="L16" s="175" t="s">
        <v>108</v>
      </c>
      <c r="O16" s="107"/>
      <c r="P16" s="107"/>
    </row>
    <row r="17" spans="2:19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O17" s="107"/>
      <c r="P17" s="107"/>
      <c r="S17" s="202"/>
    </row>
    <row r="18" spans="2:19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0">
        <v>596.68393502974061</v>
      </c>
      <c r="I18" s="160">
        <v>636.25655630452081</v>
      </c>
      <c r="J18" s="160">
        <v>765.66870899550122</v>
      </c>
      <c r="K18" s="208">
        <v>1092.7099020000001</v>
      </c>
      <c r="L18" s="208">
        <v>1306.2093250014907</v>
      </c>
    </row>
    <row r="19" spans="2:19" s="2" customFormat="1" ht="10.5" customHeight="1">
      <c r="B19" s="73"/>
      <c r="C19" s="80" t="s">
        <v>97</v>
      </c>
      <c r="D19" s="78" t="s">
        <v>49</v>
      </c>
      <c r="E19" s="78" t="s">
        <v>50</v>
      </c>
      <c r="F19" s="78" t="s">
        <v>53</v>
      </c>
      <c r="G19" s="140"/>
      <c r="H19" s="160">
        <v>25.67517710985604</v>
      </c>
      <c r="I19" s="160">
        <v>40.670312819999999</v>
      </c>
      <c r="J19" s="160">
        <v>29.494277919999998</v>
      </c>
      <c r="K19" s="212">
        <v>58.491779999999999</v>
      </c>
      <c r="L19" s="209">
        <v>76.799672979999997</v>
      </c>
    </row>
    <row r="20" spans="2:19" s="2" customFormat="1" ht="10.5" customHeight="1">
      <c r="B20" s="73"/>
      <c r="C20" s="139" t="s">
        <v>91</v>
      </c>
      <c r="D20" s="78" t="s">
        <v>49</v>
      </c>
      <c r="E20" s="78" t="s">
        <v>50</v>
      </c>
      <c r="F20" s="78" t="s">
        <v>53</v>
      </c>
      <c r="G20" s="140"/>
      <c r="H20" s="160">
        <v>9.3859678700000018</v>
      </c>
      <c r="I20" s="160">
        <v>3.5672515099999997</v>
      </c>
      <c r="J20" s="160">
        <v>1.1169302999999999</v>
      </c>
      <c r="K20" s="209">
        <v>1.2867390000000001</v>
      </c>
      <c r="L20" s="209">
        <v>5.8695997289560005</v>
      </c>
    </row>
    <row r="21" spans="2:19" s="2" customFormat="1" ht="10.5" customHeight="1">
      <c r="B21" s="73"/>
      <c r="C21" s="154" t="s">
        <v>96</v>
      </c>
      <c r="D21" s="78" t="s">
        <v>49</v>
      </c>
      <c r="E21" s="78" t="s">
        <v>50</v>
      </c>
      <c r="F21" s="78" t="s">
        <v>53</v>
      </c>
      <c r="G21" s="68"/>
      <c r="H21" s="159"/>
      <c r="I21" s="159"/>
      <c r="J21" s="159"/>
      <c r="K21" s="159"/>
      <c r="L21" s="159"/>
    </row>
    <row r="22" spans="2:19" s="2" customFormat="1" ht="10.5" customHeight="1">
      <c r="B22" s="73"/>
      <c r="C22" s="68"/>
      <c r="D22" s="68"/>
      <c r="E22" s="68"/>
      <c r="F22" s="68"/>
      <c r="G22" s="68"/>
      <c r="H22" s="201"/>
      <c r="I22" s="201"/>
      <c r="J22" s="201"/>
      <c r="K22" s="67"/>
      <c r="L22" s="67"/>
      <c r="O22" s="107"/>
      <c r="P22" s="107"/>
    </row>
    <row r="23" spans="2:19" s="2" customFormat="1" ht="10.5" customHeight="1">
      <c r="B23" s="73"/>
      <c r="C23" s="77" t="s">
        <v>76</v>
      </c>
      <c r="D23" s="76" t="s">
        <v>60</v>
      </c>
      <c r="E23" s="179" t="s">
        <v>50</v>
      </c>
      <c r="F23" s="179" t="s">
        <v>53</v>
      </c>
      <c r="G23" s="68"/>
      <c r="H23" s="66">
        <f>IF(H16="", "", H18-H19-H20-H21)</f>
        <v>561.62279004988454</v>
      </c>
      <c r="I23" s="66">
        <f t="shared" ref="I23:L23" si="1">IF(I16="", "", I18-I19-I20-I21)</f>
        <v>592.01899197452076</v>
      </c>
      <c r="J23" s="66">
        <f t="shared" si="1"/>
        <v>735.05750077550124</v>
      </c>
      <c r="K23" s="66">
        <f t="shared" si="1"/>
        <v>1032.9313830000001</v>
      </c>
      <c r="L23" s="66">
        <f t="shared" si="1"/>
        <v>1223.5400522925347</v>
      </c>
    </row>
    <row r="24" spans="2:19" s="2" customFormat="1" ht="10.5" customHeight="1">
      <c r="B24" s="73"/>
      <c r="D24" s="21"/>
      <c r="E24" s="21"/>
      <c r="F24" s="21"/>
      <c r="G24" s="21"/>
      <c r="M24" s="72"/>
      <c r="N24" s="72"/>
    </row>
    <row r="25" spans="2:19" s="8" customFormat="1" ht="12.75" customHeight="1">
      <c r="B25" s="74" t="s">
        <v>42</v>
      </c>
      <c r="D25" s="18"/>
      <c r="E25" s="18"/>
      <c r="F25" s="18"/>
      <c r="G25" s="18"/>
    </row>
    <row r="26" spans="2:19" ht="10.5" customHeight="1">
      <c r="D26" s="68"/>
      <c r="E26" s="68"/>
      <c r="F26" s="68"/>
      <c r="G26" s="68"/>
      <c r="M26" s="2"/>
      <c r="N26" s="2"/>
    </row>
    <row r="27" spans="2:19" ht="10.5" customHeight="1">
      <c r="D27" s="68"/>
      <c r="E27" s="68"/>
      <c r="F27" s="68"/>
      <c r="G27" s="68"/>
      <c r="H27" s="175" t="s">
        <v>101</v>
      </c>
      <c r="I27" s="175" t="s">
        <v>110</v>
      </c>
      <c r="J27" s="175" t="s">
        <v>111</v>
      </c>
      <c r="K27" s="175" t="s">
        <v>112</v>
      </c>
      <c r="L27" s="175" t="s">
        <v>113</v>
      </c>
      <c r="M27" s="2"/>
      <c r="N27" s="2"/>
    </row>
    <row r="28" spans="2:19" s="17" customFormat="1" ht="10.5" customHeight="1">
      <c r="C28" s="16"/>
      <c r="D28" s="68"/>
      <c r="E28" s="68"/>
      <c r="F28" s="68"/>
      <c r="G28" s="68"/>
      <c r="M28" s="19"/>
      <c r="N28" s="19"/>
    </row>
    <row r="29" spans="2:19" ht="11.25" customHeight="1">
      <c r="C29" s="84" t="s">
        <v>85</v>
      </c>
      <c r="D29" s="65" t="s">
        <v>100</v>
      </c>
      <c r="E29" s="78" t="s">
        <v>50</v>
      </c>
      <c r="F29" s="78" t="s">
        <v>53</v>
      </c>
      <c r="G29" s="68"/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2"/>
      <c r="N29" s="2"/>
    </row>
    <row r="30" spans="2:19" ht="11.25" customHeight="1">
      <c r="C30" s="84" t="s">
        <v>85</v>
      </c>
      <c r="D30" s="65" t="s">
        <v>60</v>
      </c>
      <c r="E30" s="78" t="s">
        <v>50</v>
      </c>
      <c r="F30" s="78" t="s">
        <v>109</v>
      </c>
      <c r="G30" s="68"/>
      <c r="H30" s="148">
        <f>IF(H29&lt;&gt;"",H29/('Input | Inflation and Disc Rate'!K10*(1+'Input | Inflation and Disc Rate'!L9)^0.5),"")</f>
        <v>0</v>
      </c>
      <c r="I30" s="148">
        <f>IF(I29&lt;&gt;"",I29/('Input | Inflation and Disc Rate'!L10*(1+'Input | Inflation and Disc Rate'!M9)^0.5),"")</f>
        <v>0</v>
      </c>
      <c r="J30" s="148">
        <f>IF(J29&lt;&gt;"",J29/('Input | Inflation and Disc Rate'!M10*(1+'Input | Inflation and Disc Rate'!N9)^0.5),"")</f>
        <v>0</v>
      </c>
      <c r="K30" s="148">
        <f>IF(K29&lt;&gt;"",K29/('Input | Inflation and Disc Rate'!N10*(1+'Input | Inflation and Disc Rate'!O9)^0.5),"")</f>
        <v>0</v>
      </c>
      <c r="L30" s="148">
        <f>IF(L29&lt;&gt;"",L29/('Input | Inflation and Disc Rate'!O10*(1+'Input | Inflation and Disc Rate'!P9)^0.5),"")</f>
        <v>0</v>
      </c>
      <c r="M30" s="2"/>
      <c r="N30" s="2"/>
    </row>
    <row r="31" spans="2:19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48">
        <f>IF(H29&lt;&gt;"",H30*'Input | Inflation and Disc Rate'!K15*(1+'Input | Inflation and Disc Rate'!L14)^0.5,"")</f>
        <v>0</v>
      </c>
      <c r="I31" s="148">
        <f>IF(I29&lt;&gt;"",I30*'Input | Inflation and Disc Rate'!L15*(1+'Input | Inflation and Disc Rate'!M14)^0.5,"")</f>
        <v>0</v>
      </c>
      <c r="J31" s="148">
        <f>IF(J29&lt;&gt;"",J30*'Input | Inflation and Disc Rate'!M15*(1+'Input | Inflation and Disc Rate'!N14)^0.5,"")</f>
        <v>0</v>
      </c>
      <c r="K31" s="148">
        <f>IF(K29&lt;&gt;"",K30*'Input | Inflation and Disc Rate'!N15*(1+'Input | Inflation and Disc Rate'!O14)^0.5,"")</f>
        <v>0</v>
      </c>
      <c r="L31" s="148">
        <f>IF(L29&lt;&gt;"",L30*'Input | Inflation and Disc Rate'!O15*(1+'Input | Inflation and Disc Rate'!P14)^0.5,"")</f>
        <v>0</v>
      </c>
      <c r="M31" s="2"/>
      <c r="N31" s="2"/>
    </row>
    <row r="32" spans="2:19" ht="10.5" customHeight="1">
      <c r="D32" s="68"/>
      <c r="E32" s="68"/>
      <c r="F32" s="68"/>
      <c r="G32" s="68"/>
      <c r="M32" s="72"/>
      <c r="N32" s="72"/>
    </row>
    <row r="33" spans="1:14" s="62" customFormat="1" ht="12.75" customHeight="1">
      <c r="A33" s="8"/>
      <c r="B33" s="29" t="s">
        <v>34</v>
      </c>
      <c r="D33" s="63"/>
      <c r="E33" s="63"/>
      <c r="F33" s="63"/>
    </row>
    <row r="34" spans="1:14" ht="10.5" customHeight="1">
      <c r="C34" s="11"/>
      <c r="D34" s="11"/>
      <c r="E34" s="11"/>
      <c r="F34" s="11"/>
      <c r="G34" s="11"/>
    </row>
    <row r="35" spans="1:14" ht="18" customHeight="1"/>
    <row r="36" spans="1:14" ht="18" customHeight="1"/>
    <row r="37" spans="1:14" s="2" customFormat="1" ht="18" customHeight="1">
      <c r="A37" s="11"/>
      <c r="B37" s="11"/>
      <c r="C37" s="16"/>
      <c r="D37" s="16"/>
      <c r="E37" s="16"/>
      <c r="F37" s="16"/>
      <c r="G37" s="16"/>
      <c r="H37" s="11"/>
      <c r="I37" s="11"/>
      <c r="J37" s="11"/>
      <c r="K37" s="11"/>
      <c r="L37" s="11"/>
      <c r="M37" s="11"/>
      <c r="N37" s="11"/>
    </row>
    <row r="38" spans="1:14" ht="18" customHeight="1"/>
    <row r="39" spans="1:14" ht="18" customHeight="1"/>
    <row r="40" spans="1:14" ht="18" customHeight="1"/>
    <row r="41" spans="1:14" s="17" customFormat="1" ht="18" customHeight="1">
      <c r="A41" s="11"/>
      <c r="B41" s="11"/>
      <c r="C41" s="16"/>
      <c r="D41" s="16"/>
      <c r="E41" s="16"/>
      <c r="F41" s="16"/>
      <c r="G41" s="16"/>
      <c r="H41" s="11"/>
      <c r="I41" s="11"/>
      <c r="J41" s="11"/>
      <c r="K41" s="11"/>
      <c r="L41" s="11"/>
      <c r="M41" s="11"/>
      <c r="N41" s="11"/>
    </row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</sheetData>
  <conditionalFormatting sqref="H8:L10">
    <cfRule type="expression" dxfId="5" priority="10">
      <formula>IF($H$6&lt;&gt;"","FALSE","TRUE")</formula>
    </cfRule>
  </conditionalFormatting>
  <conditionalFormatting sqref="H21:L21">
    <cfRule type="expression" dxfId="4" priority="14">
      <formula>IF($H$6&lt;&gt;"","FALSE","TRUE")</formula>
    </cfRule>
  </conditionalFormatting>
  <conditionalFormatting sqref="H29:L29">
    <cfRule type="expression" dxfId="3" priority="16">
      <formula>IF($H$6&lt;&gt;"","FALSE","TRUE")</formula>
    </cfRule>
  </conditionalFormatting>
  <conditionalFormatting sqref="I18:J18 H18:H20">
    <cfRule type="expression" dxfId="2" priority="22">
      <formula>IF($H$6&lt;&gt;"","FALSE","TRUE")</formula>
    </cfRule>
  </conditionalFormatting>
  <conditionalFormatting sqref="I19:L20">
    <cfRule type="expression" dxfId="1" priority="4">
      <formula>IF($H$6&lt;&gt;"","FALSE","TRUE")</formula>
    </cfRule>
  </conditionalFormatting>
  <conditionalFormatting sqref="K18:L18">
    <cfRule type="expression" dxfId="0" priority="27">
      <formula>IF($H$6&lt;&gt;"","FALSE","TRUE")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UAM53"/>
  <sheetViews>
    <sheetView zoomScaleNormal="100" workbookViewId="0"/>
  </sheetViews>
  <sheetFormatPr defaultColWidth="12.7109375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4235" width="0" style="2" hidden="1" customWidth="1"/>
    <col min="14236" max="16381" width="12.7109375" style="2" customWidth="1"/>
    <col min="16382" max="16382" width="12.7109375" style="2"/>
    <col min="16383" max="16384" width="0" style="2" hidden="1" customWidth="1"/>
  </cols>
  <sheetData>
    <row r="1" spans="2:23" s="11" customFormat="1" ht="18" customHeight="1">
      <c r="B1" s="3" t="str">
        <f>'Input | General'!$B$1</f>
        <v>Ergon 2025-30 Final Decision - Capital expenditure sharing scheme model</v>
      </c>
      <c r="J1" s="121"/>
      <c r="K1" s="105" t="s">
        <v>47</v>
      </c>
      <c r="L1" s="157" t="s">
        <v>48</v>
      </c>
      <c r="M1" s="161" t="s">
        <v>36</v>
      </c>
      <c r="N1"/>
      <c r="Q1" s="106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4"/>
      <c r="D5" s="94"/>
      <c r="E5" s="94"/>
      <c r="F5" s="94"/>
      <c r="G5" s="94"/>
      <c r="H5" s="94"/>
      <c r="I5" s="87"/>
      <c r="J5" s="87"/>
      <c r="K5" s="87"/>
      <c r="L5" s="87"/>
      <c r="M5" s="87"/>
      <c r="N5" s="87"/>
      <c r="O5" s="87"/>
    </row>
    <row r="6" spans="2:23" ht="11.25" customHeight="1">
      <c r="C6" s="117" t="s">
        <v>11</v>
      </c>
      <c r="D6" s="118"/>
      <c r="E6" s="119"/>
      <c r="F6" s="119"/>
      <c r="G6" s="119"/>
      <c r="H6" s="119"/>
      <c r="I6" s="96"/>
    </row>
    <row r="7" spans="2:23" ht="11.25" customHeight="1">
      <c r="C7" s="116" t="s">
        <v>9</v>
      </c>
      <c r="D7" s="175" t="str">
        <f>IF('Input | General'!D14="Yes",'Input | General'!D13,"n/a")</f>
        <v>2020–21</v>
      </c>
      <c r="E7" s="175" t="str">
        <f>IF('Input | General'!E14="Yes",'Input | General'!E13,"n/a")</f>
        <v>2021–22</v>
      </c>
      <c r="F7" s="175" t="str">
        <f>IF('Input | General'!F14="Yes",'Input | General'!F13,"n/a")</f>
        <v>2022–23</v>
      </c>
      <c r="G7" s="175" t="str">
        <f>IF('Input | General'!G14="Yes",'Input | General'!G13,"n/a")</f>
        <v>2023–24</v>
      </c>
      <c r="H7" s="180" t="str">
        <f>IF('Input | General'!H14="Yes",'Input | General'!H13,"n/a")</f>
        <v>2024–25</v>
      </c>
      <c r="I7" s="96"/>
    </row>
    <row r="8" spans="2:23" ht="11.25" customHeight="1">
      <c r="C8" s="143" t="s">
        <v>93</v>
      </c>
      <c r="D8" s="162">
        <f>'Input | Inflation and Disc Rate'!G20</f>
        <v>2.3998445239976629E-2</v>
      </c>
      <c r="E8" s="163">
        <f>'Input | Inflation and Disc Rate'!H20</f>
        <v>2.2429515237719189E-2</v>
      </c>
      <c r="F8" s="163">
        <f>'Input | Inflation and Disc Rate'!I20</f>
        <v>2.1803719524386755E-2</v>
      </c>
      <c r="G8" s="163">
        <f>'Input | Inflation and Disc Rate'!J20</f>
        <v>2.2573324923264249E-2</v>
      </c>
      <c r="H8" s="164">
        <f>'Input | Inflation and Disc Rate'!K20</f>
        <v>2.3056871865892781E-2</v>
      </c>
      <c r="I8" s="96"/>
      <c r="J8" s="79"/>
      <c r="K8" s="79"/>
    </row>
    <row r="9" spans="2:23" ht="11.25" customHeight="1">
      <c r="C9" s="146" t="s">
        <v>94</v>
      </c>
      <c r="D9" s="163">
        <f>'Input | Inflation and Disc Rate'!G22</f>
        <v>3.2810824286792162E-2</v>
      </c>
      <c r="E9" s="163">
        <f>'Input | Inflation and Disc Rate'!H22</f>
        <v>5.8197100668390123E-2</v>
      </c>
      <c r="F9" s="163">
        <f>'Input | Inflation and Disc Rate'!I22</f>
        <v>0.10182956730247161</v>
      </c>
      <c r="G9" s="163">
        <f>'Input | Inflation and Disc Rate'!J22</f>
        <v>6.4007870963732838E-2</v>
      </c>
      <c r="H9" s="164">
        <f>'Input | Inflation and Disc Rate'!K22</f>
        <v>4.786280630496309E-2</v>
      </c>
      <c r="I9" s="96"/>
      <c r="J9" s="79"/>
      <c r="K9" s="79"/>
    </row>
    <row r="10" spans="2:23" ht="11.25" customHeight="1">
      <c r="C10" s="112" t="s">
        <v>13</v>
      </c>
      <c r="D10" s="165">
        <f>'Input | Reported Capex'!H$12*'Input | Inflation and Disc Rate'!G$15*(1+'Input | Inflation and Disc Rate'!G$20)^0.5</f>
        <v>466.90176160226463</v>
      </c>
      <c r="E10" s="166">
        <f>'Input | Reported Capex'!I$12*'Input | Inflation and Disc Rate'!H$15*(1+'Input | Inflation and Disc Rate'!H$20)^0.5</f>
        <v>487.24273773011839</v>
      </c>
      <c r="F10" s="166">
        <f>'Input | Reported Capex'!J$12*'Input | Inflation and Disc Rate'!I$15*(1+'Input | Inflation and Disc Rate'!I$20)^0.5</f>
        <v>526.42975966395636</v>
      </c>
      <c r="G10" s="166">
        <f>'Input | Reported Capex'!K$12*'Input | Inflation and Disc Rate'!J$15*(1+'Input | Inflation and Disc Rate'!J$20)^0.5</f>
        <v>526.1647222763263</v>
      </c>
      <c r="H10" s="167">
        <f>'Input | Reported Capex'!L$12*'Input | Inflation and Disc Rate'!K$15*(1+'Input | Inflation and Disc Rate'!K$20)^0.5</f>
        <v>548.1624807523508</v>
      </c>
      <c r="I10" s="96"/>
      <c r="J10" s="79"/>
      <c r="K10" s="79"/>
      <c r="N10" s="137"/>
    </row>
    <row r="11" spans="2:23" ht="11.25" customHeight="1">
      <c r="C11" s="112" t="s">
        <v>15</v>
      </c>
      <c r="D11" s="168">
        <f>'Input | Reported Capex'!H23*(1+D$9)^0.5</f>
        <v>570.76208151384958</v>
      </c>
      <c r="E11" s="166">
        <f>'Input | Reported Capex'!I23*(1+E$9)^0.5</f>
        <v>609.00228588827474</v>
      </c>
      <c r="F11" s="166">
        <f>'Input | Reported Capex'!J23*(1+F$9)^0.5</f>
        <v>771.57567032614975</v>
      </c>
      <c r="G11" s="166">
        <f>'Input | Reported Capex'!K23*(1+G$9)^0.5</f>
        <v>1065.4765428560415</v>
      </c>
      <c r="H11" s="167">
        <f>'Input | Reported Capex'!L23*(1+H$9)^0.5</f>
        <v>1252.4788565745635</v>
      </c>
      <c r="I11" s="96"/>
      <c r="J11" s="79"/>
      <c r="K11" s="79"/>
    </row>
    <row r="12" spans="2:23" s="19" customFormat="1" ht="11.25" customHeight="1">
      <c r="C12" s="112" t="s">
        <v>17</v>
      </c>
      <c r="D12" s="156">
        <f>(D10-D11)</f>
        <v>-103.86031991158495</v>
      </c>
      <c r="E12" s="144">
        <f>(E10-E11)</f>
        <v>-121.75954815815635</v>
      </c>
      <c r="F12" s="144">
        <f t="shared" ref="F12:H12" si="0">(F10-F11)</f>
        <v>-245.14591066219339</v>
      </c>
      <c r="G12" s="144">
        <f t="shared" si="0"/>
        <v>-539.31182057971523</v>
      </c>
      <c r="H12" s="149">
        <f t="shared" si="0"/>
        <v>-704.31637582221265</v>
      </c>
      <c r="I12" s="96"/>
      <c r="J12" s="79"/>
      <c r="K12" s="79"/>
    </row>
    <row r="13" spans="2:23" ht="11.25" customHeight="1">
      <c r="C13" s="112" t="s">
        <v>71</v>
      </c>
      <c r="D13" s="88"/>
      <c r="E13" s="144">
        <f>$D$12*$E$8</f>
        <v>-2.3295366280512844</v>
      </c>
      <c r="F13" s="144">
        <f>$D$12*$F$8*(1+'Input | Inflation and Disc Rate'!H13)</f>
        <v>-2.3437615859933305</v>
      </c>
      <c r="G13" s="144">
        <f>$D$12*$G$8*(1+'Input | Inflation and Disc Rate'!H13)*(1+'Input | Inflation and Disc Rate'!I13)</f>
        <v>-2.6165276061278839</v>
      </c>
      <c r="H13" s="149">
        <f>$D$12*$H$8*(1+'Input | Inflation and Disc Rate'!H13)*(1+'Input | Inflation and Disc Rate'!I13)*(1+'Input | Inflation and Disc Rate'!J13)</f>
        <v>-2.7808691586816856</v>
      </c>
      <c r="I13" s="96"/>
      <c r="J13" s="79"/>
      <c r="K13" s="79"/>
      <c r="L13" s="95"/>
      <c r="M13" s="95"/>
      <c r="N13" s="95"/>
      <c r="O13" s="95"/>
    </row>
    <row r="14" spans="2:23" ht="11.25" customHeight="1">
      <c r="C14" s="112" t="s">
        <v>72</v>
      </c>
      <c r="D14" s="88"/>
      <c r="E14" s="145"/>
      <c r="F14" s="144">
        <f>$E$12*F$8</f>
        <v>-2.6548110374565028</v>
      </c>
      <c r="G14" s="144">
        <f>$E$12*G$8*(1+'Input | Inflation and Disc Rate'!I13)</f>
        <v>-2.9637768662438146</v>
      </c>
      <c r="H14" s="149">
        <f>$E$12*H$8*(1+'Input | Inflation and Disc Rate'!I13)*(1+'Input | Inflation and Disc Rate'!J13)</f>
        <v>-3.1499288068848514</v>
      </c>
      <c r="I14" s="96"/>
      <c r="J14" s="79"/>
      <c r="K14" s="79"/>
      <c r="L14" s="95"/>
      <c r="M14" s="95"/>
      <c r="N14" s="96"/>
      <c r="O14" s="96"/>
    </row>
    <row r="15" spans="2:23" ht="11.25" customHeight="1">
      <c r="C15" s="112" t="s">
        <v>73</v>
      </c>
      <c r="D15" s="88"/>
      <c r="E15" s="144"/>
      <c r="F15" s="144"/>
      <c r="G15" s="144">
        <f>$F$12*G$8</f>
        <v>-5.5337582949872006</v>
      </c>
      <c r="H15" s="149">
        <f>$F$12*$H$8*(1+'Input | Inflation and Disc Rate'!J13)</f>
        <v>-5.8813282680789465</v>
      </c>
      <c r="I15" s="96"/>
      <c r="J15" s="79"/>
      <c r="K15" s="79"/>
      <c r="L15" s="95"/>
      <c r="M15" s="95"/>
      <c r="N15" s="95"/>
      <c r="O15" s="95"/>
    </row>
    <row r="16" spans="2:23" ht="11.25" customHeight="1">
      <c r="C16" s="112" t="s">
        <v>74</v>
      </c>
      <c r="D16" s="88"/>
      <c r="E16" s="144"/>
      <c r="F16" s="144"/>
      <c r="G16" s="144"/>
      <c r="H16" s="149">
        <f>$G$12*$H$8</f>
        <v>-12.434843542867851</v>
      </c>
      <c r="I16" s="96"/>
      <c r="J16" s="79"/>
      <c r="K16" s="79"/>
      <c r="L16" s="95"/>
      <c r="M16" s="95"/>
      <c r="N16" s="95"/>
      <c r="O16" s="95"/>
    </row>
    <row r="17" spans="3:15" ht="11.25" customHeight="1">
      <c r="C17" s="112" t="s">
        <v>75</v>
      </c>
      <c r="D17" s="88"/>
      <c r="E17" s="144"/>
      <c r="F17" s="144"/>
      <c r="G17" s="144"/>
      <c r="H17" s="149"/>
      <c r="I17" s="96"/>
      <c r="J17" s="79"/>
      <c r="K17" s="79"/>
      <c r="L17" s="95"/>
      <c r="M17" s="95"/>
      <c r="N17" s="95"/>
      <c r="O17" s="95"/>
    </row>
    <row r="18" spans="3:15" s="19" customFormat="1" ht="11.25" customHeight="1">
      <c r="C18" s="113" t="s">
        <v>19</v>
      </c>
      <c r="D18" s="89">
        <f>SUM(D13:D17)</f>
        <v>0</v>
      </c>
      <c r="E18" s="150">
        <f>SUM(E13:E17)</f>
        <v>-2.3295366280512844</v>
      </c>
      <c r="F18" s="150">
        <f t="shared" ref="F18:H18" si="1">SUM(F13:F17)</f>
        <v>-4.9985726234498333</v>
      </c>
      <c r="G18" s="150">
        <f t="shared" si="1"/>
        <v>-11.114062767358899</v>
      </c>
      <c r="H18" s="151">
        <f t="shared" si="1"/>
        <v>-24.246969776513332</v>
      </c>
      <c r="I18" s="96"/>
      <c r="J18" s="79"/>
      <c r="K18" s="79"/>
      <c r="L18" s="95"/>
      <c r="M18" s="95"/>
      <c r="N18" s="95"/>
      <c r="O18" s="95"/>
    </row>
    <row r="19" spans="3:15" ht="11.25" customHeight="1">
      <c r="C19" s="114" t="s">
        <v>92</v>
      </c>
      <c r="D19" s="125">
        <f>E19*(1+E$9)</f>
        <v>1.2999607978232177</v>
      </c>
      <c r="E19" s="150">
        <f>F19*(1+F$9)</f>
        <v>1.2284675482498697</v>
      </c>
      <c r="F19" s="150">
        <f>G19*(1+G$9)</f>
        <v>1.1149342735986261</v>
      </c>
      <c r="G19" s="150">
        <f>H19*(1+H$9)</f>
        <v>1.0478628063049631</v>
      </c>
      <c r="H19" s="152">
        <v>1</v>
      </c>
      <c r="I19" s="96"/>
      <c r="J19" s="79"/>
      <c r="K19" s="79"/>
      <c r="L19" s="96"/>
      <c r="M19" s="96"/>
      <c r="N19" s="96"/>
      <c r="O19" s="96"/>
    </row>
    <row r="20" spans="3:15" s="19" customFormat="1" ht="11.25" customHeight="1">
      <c r="C20" s="112" t="s">
        <v>20</v>
      </c>
      <c r="D20" s="88">
        <f>D12*D19</f>
        <v>-135.01434433443859</v>
      </c>
      <c r="E20" s="144">
        <f>E12*E19</f>
        <v>-149.57765360186227</v>
      </c>
      <c r="F20" s="144">
        <f t="shared" ref="F20:H20" si="2">F12*F19</f>
        <v>-273.32157782982625</v>
      </c>
      <c r="G20" s="144">
        <f t="shared" si="2"/>
        <v>-565.12479778609918</v>
      </c>
      <c r="H20" s="149">
        <f t="shared" si="2"/>
        <v>-704.31637582221265</v>
      </c>
      <c r="I20" s="96"/>
      <c r="J20" s="79"/>
      <c r="K20" s="79"/>
      <c r="L20" s="96"/>
      <c r="M20" s="96"/>
      <c r="N20" s="96"/>
      <c r="O20" s="96"/>
    </row>
    <row r="21" spans="3:15" s="19" customFormat="1" ht="11.25" customHeight="1">
      <c r="C21" s="113" t="s">
        <v>21</v>
      </c>
      <c r="D21" s="89">
        <f>D18*D19</f>
        <v>0</v>
      </c>
      <c r="E21" s="150">
        <f>E18*E19</f>
        <v>-2.8617601500204302</v>
      </c>
      <c r="F21" s="150">
        <f t="shared" ref="F21:H21" si="3">F18*F19</f>
        <v>-5.5730799369560184</v>
      </c>
      <c r="G21" s="150">
        <f t="shared" si="3"/>
        <v>-11.6460130008542</v>
      </c>
      <c r="H21" s="151">
        <f t="shared" si="3"/>
        <v>-24.246969776513332</v>
      </c>
      <c r="I21" s="96"/>
      <c r="J21" s="79"/>
      <c r="K21" s="79"/>
      <c r="L21" s="96"/>
      <c r="M21" s="96"/>
      <c r="N21" s="96"/>
      <c r="O21" s="96"/>
    </row>
    <row r="22" spans="3:15" s="79" customFormat="1" ht="11.25" customHeight="1"/>
    <row r="23" spans="3:15" ht="11.25" customHeight="1">
      <c r="C23" s="117" t="s">
        <v>12</v>
      </c>
      <c r="D23" s="118"/>
      <c r="E23" s="119"/>
      <c r="F23" s="119"/>
      <c r="G23" s="119"/>
      <c r="H23" s="119"/>
      <c r="I23" s="96"/>
      <c r="J23" s="79"/>
      <c r="K23" s="79"/>
      <c r="L23" s="96"/>
      <c r="M23" s="96"/>
      <c r="N23" s="96"/>
      <c r="O23" s="96"/>
    </row>
    <row r="24" spans="3:15" ht="11.25" customHeight="1">
      <c r="C24" s="111" t="s">
        <v>9</v>
      </c>
      <c r="D24" s="181" t="str">
        <f>'Input | General'!$D$18</f>
        <v>2025-26</v>
      </c>
      <c r="E24" s="181" t="str">
        <f>'Input | General'!$E$18</f>
        <v>2026–27</v>
      </c>
      <c r="F24" s="181" t="str">
        <f>'Input | General'!$F$18</f>
        <v>2027–28</v>
      </c>
      <c r="G24" s="181" t="str">
        <f>'Input | General'!$G$18</f>
        <v>2028–29</v>
      </c>
      <c r="H24" s="182" t="str">
        <f>'Input | General'!$H$18</f>
        <v>2029–30</v>
      </c>
      <c r="I24" s="96"/>
      <c r="J24" s="79"/>
      <c r="K24" s="79"/>
      <c r="L24" s="96"/>
      <c r="M24" s="96"/>
      <c r="N24" s="96"/>
      <c r="O24" s="96"/>
    </row>
    <row r="25" spans="3:15" ht="11.25" customHeight="1">
      <c r="C25" s="115" t="s">
        <v>70</v>
      </c>
      <c r="D25" s="169">
        <f>'Input | Inflation and Disc Rate'!L$22</f>
        <v>6.0904457365563047E-2</v>
      </c>
      <c r="E25" s="169">
        <f>'Input | Inflation and Disc Rate'!M$22</f>
        <v>6.1147989400782254E-2</v>
      </c>
      <c r="F25" s="169">
        <f>'Input | Inflation and Disc Rate'!N$22</f>
        <v>6.1642310808823764E-2</v>
      </c>
      <c r="G25" s="169">
        <f>'Input | Inflation and Disc Rate'!O$22</f>
        <v>6.2495592049009119E-2</v>
      </c>
      <c r="H25" s="170">
        <f>'Input | Inflation and Disc Rate'!P$22</f>
        <v>6.3372173958141209E-2</v>
      </c>
      <c r="I25" s="96"/>
      <c r="J25" s="79"/>
      <c r="K25" s="79"/>
      <c r="L25" s="96"/>
      <c r="M25" s="96"/>
      <c r="N25" s="96"/>
      <c r="O25" s="96"/>
    </row>
    <row r="26" spans="3:15" ht="11.25" customHeight="1">
      <c r="C26" s="116" t="s">
        <v>14</v>
      </c>
      <c r="D26" s="166">
        <f>'Input | Reported Capex'!H31</f>
        <v>0</v>
      </c>
      <c r="E26" s="166">
        <f>'Input | Reported Capex'!I31</f>
        <v>0</v>
      </c>
      <c r="F26" s="166">
        <f>'Input | Reported Capex'!J31</f>
        <v>0</v>
      </c>
      <c r="G26" s="166">
        <f>'Input | Reported Capex'!K31</f>
        <v>0</v>
      </c>
      <c r="H26" s="167">
        <f>'Input | Reported Capex'!L31</f>
        <v>0</v>
      </c>
      <c r="I26" s="96"/>
      <c r="J26" s="79"/>
      <c r="K26" s="79"/>
      <c r="L26" s="96"/>
      <c r="M26" s="96"/>
      <c r="N26" s="96"/>
      <c r="O26" s="96"/>
    </row>
    <row r="27" spans="3:15" ht="11.25" customHeight="1">
      <c r="C27" s="116" t="s">
        <v>16</v>
      </c>
      <c r="D27" s="123">
        <f>1/(1+D25)^(0.5)</f>
        <v>0.97087174685373512</v>
      </c>
      <c r="E27" s="123">
        <f>1/((1+E25)^(0.5)*(1+D25))</f>
        <v>0.91503087468604416</v>
      </c>
      <c r="F27" s="123">
        <f>1/((1+F25)^(0.5)*(1+E25)*(1+D25))</f>
        <v>0.86210201676987086</v>
      </c>
      <c r="G27" s="123">
        <f>1/((1+G25)^(0.5)*(1+F25)*(1+E25)*(1+D25))</f>
        <v>0.81171950763468714</v>
      </c>
      <c r="H27" s="124">
        <f>1/((1+H25)^(0.5)*(1+G25)*(1+F25)*(1+E25)*(1+D25))</f>
        <v>0.76365951788764952</v>
      </c>
      <c r="I27" s="96"/>
      <c r="J27" s="79"/>
      <c r="K27" s="79"/>
      <c r="L27" s="96"/>
      <c r="M27" s="96"/>
      <c r="N27" s="96"/>
      <c r="O27" s="96"/>
    </row>
    <row r="28" spans="3:15" ht="11.25" customHeight="1">
      <c r="C28" s="111" t="s">
        <v>18</v>
      </c>
      <c r="D28" s="90">
        <f>D26*D27</f>
        <v>0</v>
      </c>
      <c r="E28" s="90">
        <f t="shared" ref="E28:G28" si="4">E26*E27</f>
        <v>0</v>
      </c>
      <c r="F28" s="90">
        <f t="shared" si="4"/>
        <v>0</v>
      </c>
      <c r="G28" s="90">
        <f t="shared" si="4"/>
        <v>0</v>
      </c>
      <c r="H28" s="91">
        <f>H26*H27</f>
        <v>0</v>
      </c>
      <c r="I28" s="96"/>
      <c r="J28" s="79"/>
      <c r="K28" s="79"/>
      <c r="L28" s="96"/>
      <c r="M28" s="96"/>
      <c r="N28" s="96"/>
      <c r="O28" s="96"/>
    </row>
    <row r="29" spans="3:15" ht="11.25" customHeight="1">
      <c r="C29" s="95"/>
      <c r="D29" s="97"/>
      <c r="E29" s="97"/>
      <c r="F29" s="97"/>
      <c r="G29" s="97"/>
      <c r="H29" s="97"/>
      <c r="I29" s="96"/>
      <c r="J29" s="79"/>
      <c r="K29" s="79"/>
      <c r="L29" s="96"/>
      <c r="M29" s="96"/>
      <c r="N29" s="96"/>
      <c r="O29" s="96"/>
    </row>
    <row r="30" spans="3:15" ht="11.25" customHeight="1">
      <c r="C30" s="110" t="s">
        <v>22</v>
      </c>
      <c r="D30" s="120"/>
      <c r="E30" s="95"/>
      <c r="F30" s="95"/>
      <c r="G30" s="95"/>
      <c r="H30" s="95"/>
      <c r="I30" s="96"/>
      <c r="J30" s="79"/>
      <c r="K30" s="79"/>
      <c r="L30" s="96"/>
      <c r="M30" s="96"/>
      <c r="N30" s="96"/>
      <c r="O30" s="96"/>
    </row>
    <row r="31" spans="3:15" ht="11.25" customHeight="1">
      <c r="C31" s="112" t="s">
        <v>23</v>
      </c>
      <c r="D31" s="101">
        <f>SUM(D20:H20)-SUM(D28:H28)</f>
        <v>-1827.3547493744391</v>
      </c>
      <c r="E31" s="95"/>
      <c r="F31" s="95"/>
      <c r="G31" s="95"/>
      <c r="H31" s="95"/>
      <c r="I31" s="96"/>
      <c r="J31" s="79"/>
      <c r="K31" s="79"/>
      <c r="L31" s="96"/>
      <c r="M31" s="96"/>
      <c r="N31" s="96"/>
      <c r="O31" s="96"/>
    </row>
    <row r="32" spans="3:15" ht="11.25" customHeight="1">
      <c r="C32" s="112" t="s">
        <v>24</v>
      </c>
      <c r="D32" s="100">
        <v>0.3</v>
      </c>
      <c r="E32" s="95"/>
      <c r="F32" s="95"/>
      <c r="G32" s="95"/>
      <c r="H32" s="95"/>
      <c r="I32" s="96"/>
      <c r="J32" s="79"/>
      <c r="K32" s="79"/>
      <c r="L32" s="96"/>
      <c r="M32" s="96"/>
      <c r="N32" s="96"/>
      <c r="O32" s="96"/>
    </row>
    <row r="33" spans="1:14235" ht="11.25" customHeight="1">
      <c r="C33" s="112" t="s">
        <v>25</v>
      </c>
      <c r="D33" s="101">
        <f>(1-D32)*D31</f>
        <v>-1279.1483245621073</v>
      </c>
      <c r="E33" s="95"/>
      <c r="F33" s="95"/>
      <c r="G33" s="95"/>
      <c r="H33" s="95"/>
      <c r="I33" s="96"/>
      <c r="J33" s="79"/>
      <c r="K33" s="79"/>
      <c r="L33" s="96"/>
      <c r="M33" s="96"/>
      <c r="N33" s="96"/>
      <c r="O33" s="96"/>
    </row>
    <row r="34" spans="1:14235" ht="11.25" customHeight="1">
      <c r="C34" s="112" t="s">
        <v>26</v>
      </c>
      <c r="D34" s="101">
        <f>D32*D31</f>
        <v>-548.20642481233165</v>
      </c>
      <c r="E34" s="95"/>
      <c r="F34" s="95"/>
      <c r="G34" s="95"/>
      <c r="H34" s="95"/>
      <c r="I34" s="96"/>
      <c r="J34" s="79"/>
      <c r="K34" s="79"/>
      <c r="L34" s="96"/>
      <c r="M34" s="96"/>
      <c r="N34" s="96"/>
      <c r="O34" s="96"/>
    </row>
    <row r="35" spans="1:14235" ht="11.25" customHeight="1">
      <c r="C35" s="112" t="s">
        <v>27</v>
      </c>
      <c r="D35" s="101">
        <f>SUM(D21:H21)</f>
        <v>-44.327822864343979</v>
      </c>
      <c r="E35" s="95"/>
      <c r="F35" s="95"/>
      <c r="G35" s="95"/>
      <c r="H35" s="95"/>
      <c r="I35" s="96"/>
      <c r="J35" s="79"/>
      <c r="K35" s="79"/>
      <c r="L35" s="96"/>
      <c r="M35" s="96"/>
      <c r="N35" s="96"/>
      <c r="O35" s="96"/>
    </row>
    <row r="36" spans="1:14235" ht="11.25" customHeight="1">
      <c r="C36" s="113" t="s">
        <v>28</v>
      </c>
      <c r="D36" s="102">
        <f>D34-D35</f>
        <v>-503.87860194798765</v>
      </c>
      <c r="E36" s="95"/>
      <c r="F36" s="95"/>
      <c r="G36" s="95"/>
      <c r="H36" s="95"/>
      <c r="I36" s="96"/>
      <c r="J36" s="79"/>
      <c r="K36" s="79"/>
      <c r="L36" s="96"/>
      <c r="M36" s="96"/>
      <c r="N36" s="96"/>
      <c r="O36" s="96"/>
    </row>
    <row r="37" spans="1:14235" ht="11.25" customHeight="1">
      <c r="D37" s="25"/>
      <c r="J37" s="2"/>
    </row>
    <row r="38" spans="1:14235" s="8" customFormat="1" ht="12" customHeight="1">
      <c r="B38" s="29" t="s">
        <v>45</v>
      </c>
      <c r="J38" s="23"/>
      <c r="K38" s="23"/>
    </row>
    <row r="39" spans="1:14235" s="26" customFormat="1" ht="11.25" customHeight="1">
      <c r="E39" s="27"/>
      <c r="F39" s="27"/>
      <c r="G39" s="27"/>
      <c r="H39" s="28"/>
      <c r="I39" s="27"/>
    </row>
    <row r="40" spans="1:14235" s="30" customFormat="1" ht="11.25" customHeight="1">
      <c r="C40" s="92"/>
      <c r="D40" s="183" t="str">
        <f>'Input | General'!D18</f>
        <v>2025-26</v>
      </c>
      <c r="E40" s="183" t="str">
        <f>'Input | General'!E18</f>
        <v>2026–27</v>
      </c>
      <c r="F40" s="183" t="str">
        <f>'Input | General'!F18</f>
        <v>2027–28</v>
      </c>
      <c r="G40" s="183" t="str">
        <f>'Input | General'!G18</f>
        <v>2028–29</v>
      </c>
      <c r="H40" s="183" t="str">
        <f>'Input | General'!H18</f>
        <v>2029–30</v>
      </c>
      <c r="I40" s="93"/>
      <c r="J40" s="93"/>
      <c r="K40" s="93"/>
      <c r="L40" s="93"/>
      <c r="M40" s="93"/>
      <c r="N40" s="93"/>
      <c r="O40" s="93"/>
    </row>
    <row r="41" spans="1:14235" s="30" customFormat="1" ht="11.25" customHeight="1">
      <c r="C41" s="99" t="s">
        <v>98</v>
      </c>
      <c r="D41" s="171">
        <f>1/(1+'Input | Inflation and Disc Rate'!L21)</f>
        <v>0.96822760882593728</v>
      </c>
      <c r="E41" s="171">
        <f>D41/(1+'Input | Inflation and Disc Rate'!M21)</f>
        <v>0.93724955560543566</v>
      </c>
      <c r="F41" s="171">
        <f>E41/(1+'Input | Inflation and Disc Rate'!N21)</f>
        <v>0.90684019353503331</v>
      </c>
      <c r="G41" s="171">
        <f>F41/(1+'Input | Inflation and Disc Rate'!O21)</f>
        <v>0.87671282639314052</v>
      </c>
      <c r="H41" s="172">
        <f>G41/(1+'Input | Inflation and Disc Rate'!P21)</f>
        <v>0.84688766065858456</v>
      </c>
      <c r="I41" s="93"/>
      <c r="J41" s="93"/>
      <c r="K41" s="93"/>
      <c r="L41" s="93"/>
      <c r="M41" s="93"/>
      <c r="N41" s="93"/>
      <c r="O41" s="93"/>
    </row>
    <row r="42" spans="1:14235" s="30" customFormat="1" ht="11.25" customHeight="1">
      <c r="C42" s="189" t="str">
        <f>CONCATENATE("CESS Payment Per Year ($", 'Output | Models'!$F$8," million)")</f>
        <v>CESS Payment Per Year ($2024–25 million)</v>
      </c>
      <c r="D42" s="109">
        <f>D36/(SUM(D41:H41))</f>
        <v>-111.08635984256313</v>
      </c>
      <c r="E42" s="109">
        <f>D42</f>
        <v>-111.08635984256313</v>
      </c>
      <c r="F42" s="109">
        <f t="shared" ref="F42:H42" si="5">E42</f>
        <v>-111.08635984256313</v>
      </c>
      <c r="G42" s="109">
        <f t="shared" si="5"/>
        <v>-111.08635984256313</v>
      </c>
      <c r="H42" s="147">
        <f t="shared" si="5"/>
        <v>-111.08635984256313</v>
      </c>
      <c r="I42" s="93"/>
      <c r="J42" s="93"/>
      <c r="K42" s="93"/>
      <c r="L42" s="93"/>
      <c r="M42" s="93"/>
      <c r="N42" s="93"/>
      <c r="O42" s="93"/>
    </row>
    <row r="43" spans="1:14235" s="79" customFormat="1" ht="11.25" customHeight="1"/>
    <row r="44" spans="1:14235" s="30" customFormat="1" ht="11.25" customHeight="1">
      <c r="C44" s="189" t="str">
        <f>CONCATENATE("Total CESS Payment ($", 'Output | Models'!$F$8," million)")</f>
        <v>Total CESS Payment ($2024–25 million)</v>
      </c>
      <c r="D44" s="155">
        <f>SUM(D42:H42)</f>
        <v>-555.43179921281558</v>
      </c>
      <c r="E44" s="70"/>
      <c r="F44" s="70"/>
      <c r="G44" s="70"/>
      <c r="H44" s="70"/>
      <c r="I44" s="93"/>
      <c r="J44" s="93"/>
      <c r="K44" s="93"/>
      <c r="L44" s="93"/>
      <c r="M44" s="93"/>
      <c r="N44" s="93"/>
      <c r="O44" s="93"/>
    </row>
    <row r="45" spans="1:14235" s="30" customFormat="1" ht="11.25" customHeight="1">
      <c r="C45" s="69"/>
      <c r="D45" s="98"/>
      <c r="E45" s="70"/>
      <c r="F45" s="70"/>
      <c r="G45" s="70"/>
      <c r="H45" s="70"/>
      <c r="I45" s="93"/>
      <c r="J45" s="93"/>
      <c r="K45" s="93"/>
      <c r="L45" s="93"/>
      <c r="M45" s="93"/>
      <c r="N45" s="93"/>
      <c r="O45" s="93"/>
    </row>
    <row r="46" spans="1:14235" s="30" customFormat="1" ht="11.25" customHeight="1"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4235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</row>
    <row r="48" spans="1:14235" ht="18" customHeight="1">
      <c r="C48" s="2"/>
      <c r="J48" s="2"/>
    </row>
    <row r="49" ht="18" customHeight="1"/>
    <row r="50" ht="18" customHeight="1"/>
    <row r="51" ht="18" customHeight="1"/>
    <row r="52" ht="18" customHeight="1"/>
    <row r="53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tabSelected="1"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Ergon 2025-30 Final Decision - Capital expenditure sharing scheme model</v>
      </c>
      <c r="C1" s="35"/>
      <c r="D1" s="35"/>
      <c r="E1" s="35"/>
      <c r="F1" s="36"/>
      <c r="G1" s="36"/>
      <c r="H1" s="36"/>
      <c r="I1" s="36"/>
      <c r="J1" s="104"/>
      <c r="K1" s="105" t="s">
        <v>47</v>
      </c>
      <c r="L1" s="157" t="s">
        <v>48</v>
      </c>
      <c r="M1" s="161" t="s">
        <v>36</v>
      </c>
      <c r="R1" s="106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20"/>
      <c r="K3" s="220"/>
      <c r="L3" s="220"/>
      <c r="M3" s="42"/>
      <c r="N3" s="220"/>
      <c r="O3" s="220"/>
      <c r="P3" s="220"/>
      <c r="Q3" s="220"/>
      <c r="R3" s="220"/>
      <c r="S3" s="220"/>
      <c r="T3" s="220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4" t="str">
        <f>'Calc | CESS Revenue Increments'!D40</f>
        <v>2025-26</v>
      </c>
      <c r="K6" s="184" t="str">
        <f>'Calc | CESS Revenue Increments'!E40</f>
        <v>2026–27</v>
      </c>
      <c r="L6" s="184" t="str">
        <f>'Calc | CESS Revenue Increments'!F40</f>
        <v>2027–28</v>
      </c>
      <c r="M6" s="184" t="str">
        <f>'Calc | CESS Revenue Increments'!G40</f>
        <v>2028–29</v>
      </c>
      <c r="N6" s="184" t="str">
        <f>'Calc | CESS Revenue Increments'!H40</f>
        <v>2029–30</v>
      </c>
      <c r="O6" s="56" t="s">
        <v>86</v>
      </c>
      <c r="P6" s="134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6" t="s">
        <v>58</v>
      </c>
      <c r="E8" s="52" t="s">
        <v>50</v>
      </c>
      <c r="F8" s="185" t="str">
        <f>IF(LEN(J6)&gt;4,CONCATENATE(LEFT(J6,4)-1&amp;"–"&amp;IF(RIGHT(J6,2)="00","99",IF(RIGHT(J6,2)-1&lt;10,"0","")&amp;RIGHT(J6,2)-1)),J6-1)</f>
        <v>2024–25</v>
      </c>
      <c r="H8" s="55"/>
      <c r="I8" s="55"/>
      <c r="J8" s="131">
        <f>'Calc | CESS Revenue Increments'!D42</f>
        <v>-111.08635984256313</v>
      </c>
      <c r="K8" s="131">
        <f>'Calc | CESS Revenue Increments'!E42</f>
        <v>-111.08635984256313</v>
      </c>
      <c r="L8" s="131">
        <f>'Calc | CESS Revenue Increments'!F42</f>
        <v>-111.08635984256313</v>
      </c>
      <c r="M8" s="131">
        <f>'Calc | CESS Revenue Increments'!G42</f>
        <v>-111.08635984256313</v>
      </c>
      <c r="N8" s="131">
        <f>'Calc | CESS Revenue Increments'!H42</f>
        <v>-111.08635984256313</v>
      </c>
      <c r="O8" s="60">
        <f>SUM(J8:N8)</f>
        <v>-555.43179921281558</v>
      </c>
      <c r="P8" s="135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O10" s="132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2.8.000.92058</Revision>
</Application>
</file>

<file path=customXml/itemProps1.xml><?xml version="1.0" encoding="utf-8"?>
<ds:datastoreItem xmlns:ds="http://schemas.openxmlformats.org/officeDocument/2006/customXml" ds:itemID="{465884D8-7DC9-4C20-BE22-06EF5A51B64F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AER final decision amendments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2025-04-02T03:13:50Z</dcterms:created>
  <dcterms:modified xsi:type="dcterms:W3CDTF">2025-04-02T03:13:55Z</dcterms:modified>
  <cp:category/>
  <cp:contentStatus/>
</cp:coreProperties>
</file>