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7. EQ SAPN 2025-30\Ergon Energy\4. Final decision\"/>
    </mc:Choice>
  </mc:AlternateContent>
  <xr:revisionPtr revIDLastSave="0" documentId="13_ncr:1_{B70EE549-11D2-47FE-AE4B-CD3CE54F0DD1}" xr6:coauthVersionLast="47" xr6:coauthVersionMax="47" xr10:uidLastSave="{00000000-0000-0000-0000-000000000000}"/>
  <bookViews>
    <workbookView xWindow="-120" yWindow="-120" windowWidth="29040" windowHeight="15840" activeTab="1" xr2:uid="{16B6924F-30DB-4EB5-BB28-6E92C571D346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Check|List" sheetId="16" r:id="rId10"/>
    <sheet name="Lookup|Tables" sheetId="4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0" l="1"/>
  <c r="D13" i="60"/>
  <c r="D14" i="60"/>
  <c r="B11" i="60" l="1"/>
  <c r="H77" i="55" l="1"/>
  <c r="C85" i="42" l="1"/>
  <c r="C78" i="42"/>
  <c r="C79" i="42"/>
  <c r="C80" i="42"/>
  <c r="C81" i="42"/>
  <c r="C82" i="42"/>
  <c r="C83" i="42"/>
  <c r="C84" i="42"/>
  <c r="H22" i="55" l="1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80" i="55" s="1"/>
  <c r="H21" i="55"/>
  <c r="H84" i="55" l="1"/>
  <c r="M99" i="2" l="1"/>
  <c r="P40" i="2" l="1"/>
  <c r="J15" i="58" l="1"/>
  <c r="K15" i="58"/>
  <c r="L15" i="58"/>
  <c r="M15" i="58"/>
  <c r="N15" i="58"/>
  <c r="Q115" i="2" l="1"/>
  <c r="P77" i="2" l="1"/>
  <c r="F8" i="44" l="1"/>
  <c r="F8" i="42"/>
  <c r="E12" i="60" l="1"/>
  <c r="E14" i="60"/>
  <c r="E13" i="60"/>
  <c r="P42" i="2"/>
  <c r="V85" i="55" l="1"/>
  <c r="V86" i="55"/>
  <c r="V87" i="55"/>
  <c r="V88" i="55"/>
  <c r="W32" i="53" l="1"/>
  <c r="W31" i="53"/>
  <c r="W30" i="53"/>
  <c r="W29" i="53"/>
  <c r="W28" i="53"/>
  <c r="W13" i="53"/>
  <c r="W14" i="53"/>
  <c r="W15" i="53"/>
  <c r="W16" i="53"/>
  <c r="W17" i="53"/>
  <c r="W18" i="53"/>
  <c r="W19" i="53"/>
  <c r="M93" i="2"/>
  <c r="L93" i="2"/>
  <c r="K93" i="2"/>
  <c r="J93" i="2"/>
  <c r="V65" i="58"/>
  <c r="V66" i="58"/>
  <c r="V67" i="58"/>
  <c r="V55" i="58"/>
  <c r="H88" i="55" l="1"/>
  <c r="X93" i="2"/>
  <c r="V54" i="58"/>
  <c r="V53" i="58"/>
  <c r="V52" i="58"/>
  <c r="V45" i="58"/>
  <c r="V44" i="58"/>
  <c r="V43" i="58"/>
  <c r="V20" i="58"/>
  <c r="V21" i="58"/>
  <c r="V22" i="58"/>
  <c r="V23" i="58"/>
  <c r="V24" i="58"/>
  <c r="V25" i="58"/>
  <c r="V26" i="58"/>
  <c r="V27" i="58"/>
  <c r="B2" i="55"/>
  <c r="I88" i="55" l="1"/>
  <c r="T40" i="2" l="1"/>
  <c r="S40" i="2"/>
  <c r="R40" i="2"/>
  <c r="Q40" i="2"/>
  <c r="D24" i="60"/>
  <c r="D23" i="60"/>
  <c r="D22" i="60"/>
  <c r="D21" i="60"/>
  <c r="D20" i="60"/>
  <c r="D19" i="60"/>
  <c r="D18" i="60"/>
  <c r="D17" i="60"/>
  <c r="D16" i="60"/>
  <c r="B16" i="60"/>
  <c r="D15" i="60"/>
  <c r="D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67" i="42" s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F20" i="53"/>
  <c r="F19" i="53"/>
  <c r="F18" i="53"/>
  <c r="F17" i="53"/>
  <c r="F16" i="53"/>
  <c r="F15" i="53"/>
  <c r="F14" i="53"/>
  <c r="F13" i="53"/>
  <c r="F13" i="58"/>
  <c r="F24" i="58" s="1"/>
  <c r="F69" i="58"/>
  <c r="F28" i="42" s="1"/>
  <c r="F67" i="58"/>
  <c r="F49" i="42" s="1"/>
  <c r="F66" i="58"/>
  <c r="F46" i="42" s="1"/>
  <c r="F65" i="58"/>
  <c r="F43" i="42" s="1"/>
  <c r="F40" i="42"/>
  <c r="F37" i="42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24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18" i="44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O15" i="58"/>
  <c r="P15" i="58"/>
  <c r="Q15" i="58"/>
  <c r="R15" i="58"/>
  <c r="S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S8" i="54"/>
  <c r="C49" i="42"/>
  <c r="C50" i="42" s="1"/>
  <c r="C46" i="42"/>
  <c r="C47" i="42" s="1"/>
  <c r="C43" i="42"/>
  <c r="C44" i="42" s="1"/>
  <c r="C40" i="42"/>
  <c r="C41" i="42" s="1"/>
  <c r="C37" i="42"/>
  <c r="F12" i="42"/>
  <c r="V75" i="2"/>
  <c r="C2" i="58"/>
  <c r="C1" i="58"/>
  <c r="F17" i="44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7" i="42"/>
  <c r="E107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K14" i="60" l="1"/>
  <c r="K12" i="60"/>
  <c r="J12" i="60"/>
  <c r="J14" i="60"/>
  <c r="C38" i="42"/>
  <c r="M12" i="42"/>
  <c r="N103" i="42"/>
  <c r="M15" i="60" s="1"/>
  <c r="E21" i="42"/>
  <c r="S43" i="42"/>
  <c r="S91" i="42"/>
  <c r="S14" i="42"/>
  <c r="S49" i="42"/>
  <c r="K16" i="42"/>
  <c r="K31" i="42"/>
  <c r="S21" i="42"/>
  <c r="K12" i="42"/>
  <c r="K107" i="42"/>
  <c r="S40" i="42"/>
  <c r="K49" i="42"/>
  <c r="K106" i="42"/>
  <c r="K40" i="42"/>
  <c r="S33" i="42"/>
  <c r="K105" i="42"/>
  <c r="S37" i="42"/>
  <c r="S19" i="42"/>
  <c r="T105" i="42"/>
  <c r="K91" i="42"/>
  <c r="S16" i="42"/>
  <c r="K19" i="42"/>
  <c r="S75" i="42"/>
  <c r="S46" i="42"/>
  <c r="S10" i="42"/>
  <c r="L46" i="42"/>
  <c r="L43" i="42"/>
  <c r="L49" i="42"/>
  <c r="L19" i="42"/>
  <c r="L40" i="42"/>
  <c r="L105" i="42"/>
  <c r="L37" i="42"/>
  <c r="L12" i="42"/>
  <c r="L107" i="42"/>
  <c r="L75" i="42"/>
  <c r="L16" i="42"/>
  <c r="L106" i="42"/>
  <c r="L91" i="42"/>
  <c r="L10" i="42"/>
  <c r="L23" i="42"/>
  <c r="T75" i="42"/>
  <c r="T107" i="42"/>
  <c r="S24" i="60" s="1"/>
  <c r="T106" i="42"/>
  <c r="R16" i="42"/>
  <c r="R23" i="42"/>
  <c r="R37" i="42"/>
  <c r="R75" i="42"/>
  <c r="J91" i="42"/>
  <c r="R12" i="42"/>
  <c r="R91" i="42"/>
  <c r="R19" i="42"/>
  <c r="R46" i="42"/>
  <c r="R21" i="42"/>
  <c r="R49" i="42"/>
  <c r="R43" i="42"/>
  <c r="R14" i="42"/>
  <c r="R10" i="42"/>
  <c r="R40" i="42"/>
  <c r="R33" i="42"/>
  <c r="R31" i="42"/>
  <c r="J34" i="58"/>
  <c r="M14" i="42"/>
  <c r="M31" i="42"/>
  <c r="P21" i="42"/>
  <c r="M91" i="42"/>
  <c r="P23" i="42"/>
  <c r="S35" i="42"/>
  <c r="P16" i="42"/>
  <c r="S23" i="42"/>
  <c r="S31" i="42"/>
  <c r="S12" i="42"/>
  <c r="R10" i="53"/>
  <c r="P43" i="42"/>
  <c r="P14" i="42"/>
  <c r="O21" i="42"/>
  <c r="O43" i="42"/>
  <c r="O12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O34" i="53" s="1"/>
  <c r="F16" i="44"/>
  <c r="T12" i="42"/>
  <c r="L58" i="42"/>
  <c r="F23" i="58"/>
  <c r="S58" i="42"/>
  <c r="S36" i="2"/>
  <c r="S47" i="2" s="1"/>
  <c r="J14" i="42"/>
  <c r="J43" i="42"/>
  <c r="J31" i="42"/>
  <c r="J33" i="42"/>
  <c r="G79" i="4"/>
  <c r="J58" i="42"/>
  <c r="R9" i="60"/>
  <c r="J23" i="60"/>
  <c r="J22" i="60"/>
  <c r="J21" i="60"/>
  <c r="J20" i="60"/>
  <c r="J19" i="60"/>
  <c r="J18" i="60"/>
  <c r="J17" i="60"/>
  <c r="J16" i="60"/>
  <c r="J15" i="60"/>
  <c r="J11" i="60"/>
  <c r="J9" i="60"/>
  <c r="P9" i="60"/>
  <c r="J75" i="42"/>
  <c r="M113" i="2"/>
  <c r="M117" i="2" s="1"/>
  <c r="J14" i="2"/>
  <c r="L14" i="2"/>
  <c r="N10" i="58"/>
  <c r="N28" i="42" s="1"/>
  <c r="Q12" i="42"/>
  <c r="Q9" i="60"/>
  <c r="J103" i="42"/>
  <c r="Q46" i="42"/>
  <c r="J46" i="42"/>
  <c r="J10" i="42"/>
  <c r="J19" i="42"/>
  <c r="F22" i="42"/>
  <c r="E23" i="60"/>
  <c r="E22" i="60"/>
  <c r="E21" i="60"/>
  <c r="E20" i="60"/>
  <c r="E19" i="60"/>
  <c r="E18" i="60"/>
  <c r="E17" i="60"/>
  <c r="E16" i="60"/>
  <c r="E15" i="60"/>
  <c r="E11" i="60"/>
  <c r="E24" i="60"/>
  <c r="J107" i="42"/>
  <c r="M36" i="2"/>
  <c r="M47" i="2" s="1"/>
  <c r="J10" i="2"/>
  <c r="J12" i="2" s="1"/>
  <c r="J12" i="42"/>
  <c r="Q19" i="42"/>
  <c r="J21" i="42"/>
  <c r="J61" i="58"/>
  <c r="N9" i="60"/>
  <c r="J106" i="42"/>
  <c r="Q10" i="42"/>
  <c r="J40" i="42"/>
  <c r="Q31" i="42"/>
  <c r="L49" i="2"/>
  <c r="L60" i="2" s="1"/>
  <c r="Q21" i="42"/>
  <c r="J23" i="42"/>
  <c r="M21" i="60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5" i="60"/>
  <c r="K11" i="60"/>
  <c r="K17" i="60"/>
  <c r="K16" i="60"/>
  <c r="K9" i="60"/>
  <c r="K23" i="60"/>
  <c r="K22" i="60"/>
  <c r="K21" i="60"/>
  <c r="K20" i="60"/>
  <c r="K19" i="60"/>
  <c r="K18" i="60"/>
  <c r="E16" i="42"/>
  <c r="E14" i="42"/>
  <c r="P103" i="42"/>
  <c r="M34" i="58"/>
  <c r="M14" i="2"/>
  <c r="Q23" i="42"/>
  <c r="N34" i="58"/>
  <c r="N58" i="42"/>
  <c r="F29" i="58"/>
  <c r="O58" i="42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K61" i="42" s="1"/>
  <c r="R58" i="42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F22" i="58"/>
  <c r="K14" i="44"/>
  <c r="K46" i="42"/>
  <c r="Q113" i="2"/>
  <c r="Q117" i="2" s="1"/>
  <c r="S38" i="53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21" i="42"/>
  <c r="M37" i="42"/>
  <c r="M58" i="42"/>
  <c r="M61" i="42" s="1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P106" i="2" s="1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P61" i="42" l="1"/>
  <c r="T71" i="42" a="1"/>
  <c r="T71" i="42" s="1"/>
  <c r="T61" i="42"/>
  <c r="T70" i="42" s="1"/>
  <c r="Q65" i="42" a="1"/>
  <c r="Q65" i="42" s="1"/>
  <c r="O65" i="42" a="1"/>
  <c r="O65" i="42" s="1"/>
  <c r="R65" i="42" a="1"/>
  <c r="R65" i="42" s="1"/>
  <c r="J68" i="42" a="1"/>
  <c r="J68" i="42" s="1"/>
  <c r="J61" i="42"/>
  <c r="J70" i="42" s="1"/>
  <c r="S65" i="42" a="1"/>
  <c r="S65" i="42" s="1"/>
  <c r="N68" i="42" a="1"/>
  <c r="N68" i="42" s="1"/>
  <c r="N61" i="42"/>
  <c r="L61" i="42"/>
  <c r="L70" i="42" s="1"/>
  <c r="I12" i="60"/>
  <c r="I14" i="60"/>
  <c r="M22" i="60"/>
  <c r="M12" i="60"/>
  <c r="M14" i="60"/>
  <c r="L14" i="60"/>
  <c r="L12" i="60"/>
  <c r="S14" i="60"/>
  <c r="S12" i="60"/>
  <c r="M23" i="60"/>
  <c r="M9" i="60"/>
  <c r="M16" i="60"/>
  <c r="M17" i="60"/>
  <c r="M18" i="60"/>
  <c r="M19" i="60"/>
  <c r="M11" i="60"/>
  <c r="M20" i="60"/>
  <c r="J22" i="53"/>
  <c r="W12" i="53"/>
  <c r="J28" i="42"/>
  <c r="L68" i="42" a="1"/>
  <c r="L68" i="42" s="1"/>
  <c r="T20" i="42"/>
  <c r="S68" i="42" a="1"/>
  <c r="S68" i="42" s="1"/>
  <c r="V37" i="58"/>
  <c r="J62" i="42" a="1"/>
  <c r="J62" i="42" s="1"/>
  <c r="T13" i="42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4" i="53"/>
  <c r="O9" i="60"/>
  <c r="Q68" i="42" a="1"/>
  <c r="Q68" i="42" s="1"/>
  <c r="S22" i="60"/>
  <c r="S21" i="60"/>
  <c r="S20" i="60" a="1"/>
  <c r="S20" i="60" s="1"/>
  <c r="S19" i="60" a="1"/>
  <c r="S19" i="60" s="1"/>
  <c r="S18" i="60" a="1"/>
  <c r="S18" i="60" s="1"/>
  <c r="S17" i="60"/>
  <c r="S16" i="60"/>
  <c r="S15" i="60"/>
  <c r="S11" i="60"/>
  <c r="S9" i="60"/>
  <c r="S23" i="60"/>
  <c r="L9" i="60"/>
  <c r="L23" i="60"/>
  <c r="L22" i="60"/>
  <c r="L21" i="60"/>
  <c r="L20" i="60"/>
  <c r="L19" i="60"/>
  <c r="L18" i="60"/>
  <c r="L17" i="60"/>
  <c r="L16" i="60"/>
  <c r="L15" i="60"/>
  <c r="L11" i="60"/>
  <c r="I9" i="60"/>
  <c r="I23" i="60"/>
  <c r="I22" i="60"/>
  <c r="I21" i="60"/>
  <c r="I20" i="60"/>
  <c r="I19" i="60"/>
  <c r="I18" i="60"/>
  <c r="I17" i="60"/>
  <c r="I16" i="60"/>
  <c r="I15" i="60"/>
  <c r="I11" i="60"/>
  <c r="N65" i="42" a="1"/>
  <c r="N65" i="42" s="1"/>
  <c r="L28" i="42"/>
  <c r="T65" i="42" a="1"/>
  <c r="T65" i="42" s="1"/>
  <c r="F23" i="42"/>
  <c r="F21" i="42"/>
  <c r="R68" i="42" a="1"/>
  <c r="R68" i="42" s="1"/>
  <c r="P28" i="42"/>
  <c r="S28" i="42"/>
  <c r="K28" i="42"/>
  <c r="K62" i="42" a="1"/>
  <c r="K62" i="42" s="1"/>
  <c r="K70" i="42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M62" i="42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R61" i="42" l="1"/>
  <c r="Q61" i="42"/>
  <c r="S61" i="42"/>
  <c r="O61" i="42"/>
  <c r="N70" i="42"/>
  <c r="P70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O21" i="2" s="1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K29" i="42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J29" i="42"/>
  <c r="T29" i="42"/>
  <c r="Q47" i="42"/>
  <c r="J47" i="42"/>
  <c r="N97" i="42"/>
  <c r="N18" i="44" s="1"/>
  <c r="R83" i="42"/>
  <c r="O83" i="42"/>
  <c r="P83" i="42"/>
  <c r="K96" i="42"/>
  <c r="T47" i="42"/>
  <c r="S80" i="42"/>
  <c r="O95" i="42"/>
  <c r="O16" i="44" s="1"/>
  <c r="O79" i="42"/>
  <c r="P29" i="42"/>
  <c r="L97" i="42"/>
  <c r="M82" i="42"/>
  <c r="R47" i="42"/>
  <c r="N79" i="42"/>
  <c r="J85" i="42"/>
  <c r="K93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N50" i="42"/>
  <c r="L50" i="42"/>
  <c r="N83" i="42"/>
  <c r="O78" i="42"/>
  <c r="M83" i="42"/>
  <c r="N82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O96" i="42"/>
  <c r="O17" i="44" s="1"/>
  <c r="O29" i="42"/>
  <c r="J97" i="42"/>
  <c r="J78" i="42"/>
  <c r="P96" i="42"/>
  <c r="P17" i="44" s="1"/>
  <c r="J83" i="42"/>
  <c r="M94" i="42"/>
  <c r="M15" i="44" s="1"/>
  <c r="M47" i="42"/>
  <c r="Q44" i="42"/>
  <c r="M97" i="42"/>
  <c r="M18" i="44" s="1"/>
  <c r="R29" i="42"/>
  <c r="N44" i="42"/>
  <c r="K97" i="42"/>
  <c r="K83" i="42"/>
  <c r="N81" i="42"/>
  <c r="J93" i="42"/>
  <c r="Q79" i="42"/>
  <c r="R79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M84" i="42"/>
  <c r="T50" i="42"/>
  <c r="L47" i="42"/>
  <c r="R93" i="42"/>
  <c r="R14" i="44" s="1"/>
  <c r="P80" i="42"/>
  <c r="R81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Q78" i="42"/>
  <c r="Q50" i="42"/>
  <c r="P79" i="42"/>
  <c r="R80" i="42"/>
  <c r="O93" i="42"/>
  <c r="S81" i="42"/>
  <c r="N80" i="42"/>
  <c r="Q96" i="42"/>
  <c r="Q17" i="44" s="1"/>
  <c r="J96" i="42"/>
  <c r="S95" i="42"/>
  <c r="S16" i="44" s="1"/>
  <c r="O47" i="42"/>
  <c r="J80" i="42"/>
  <c r="T44" i="42"/>
  <c r="T84" i="42"/>
  <c r="L81" i="42"/>
  <c r="P81" i="42"/>
  <c r="P78" i="42"/>
  <c r="O80" i="42"/>
  <c r="R78" i="42"/>
  <c r="J26" i="2"/>
  <c r="T81" i="42"/>
  <c r="J94" i="42"/>
  <c r="O94" i="42"/>
  <c r="O15" i="44" s="1"/>
  <c r="K82" i="42"/>
  <c r="Q93" i="42"/>
  <c r="Q14" i="44" s="1"/>
  <c r="J79" i="42"/>
  <c r="L79" i="42"/>
  <c r="M85" i="42"/>
  <c r="T95" i="42"/>
  <c r="K79" i="42"/>
  <c r="T93" i="42"/>
  <c r="P50" i="42"/>
  <c r="O84" i="42"/>
  <c r="T80" i="42"/>
  <c r="O81" i="42"/>
  <c r="Q81" i="42"/>
  <c r="Q83" i="42"/>
  <c r="L84" i="42"/>
  <c r="M80" i="42"/>
  <c r="M81" i="42"/>
  <c r="J84" i="42"/>
  <c r="R84" i="42"/>
  <c r="L95" i="42"/>
  <c r="J95" i="42"/>
  <c r="K85" i="42"/>
  <c r="P95" i="42"/>
  <c r="P16" i="44" s="1"/>
  <c r="R95" i="42"/>
  <c r="R16" i="44" s="1"/>
  <c r="J50" i="42"/>
  <c r="T94" i="42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N14" i="60" l="1"/>
  <c r="R14" i="60"/>
  <c r="P14" i="60"/>
  <c r="Q14" i="60"/>
  <c r="O14" i="60"/>
  <c r="L99" i="42"/>
  <c r="Q99" i="42"/>
  <c r="P22" i="60" s="1"/>
  <c r="T99" i="42"/>
  <c r="R99" i="42"/>
  <c r="Q22" i="60" s="1"/>
  <c r="J99" i="42"/>
  <c r="K99" i="42"/>
  <c r="N99" i="42"/>
  <c r="S99" i="42"/>
  <c r="R22" i="60" s="1"/>
  <c r="O99" i="42"/>
  <c r="N22" i="60" s="1"/>
  <c r="M99" i="42"/>
  <c r="M16" i="44"/>
  <c r="O14" i="44"/>
  <c r="P99" i="42"/>
  <c r="O22" i="60" s="1"/>
  <c r="K28" i="2"/>
  <c r="L27" i="2"/>
  <c r="L26" i="2"/>
  <c r="U14" i="60" l="1"/>
  <c r="U22" i="60"/>
  <c r="AA14" i="60" l="1"/>
  <c r="Z14" i="60"/>
  <c r="Z22" i="60"/>
  <c r="AA22" i="60"/>
  <c r="N106" i="42" l="1"/>
  <c r="N107" i="42" s="1"/>
  <c r="M106" i="42"/>
  <c r="M107" i="42" s="1"/>
  <c r="N105" i="42"/>
  <c r="N13" i="44" s="1"/>
  <c r="M105" i="42"/>
  <c r="M13" i="44" s="1"/>
  <c r="I71" i="55" l="1"/>
  <c r="V71" i="55" s="1"/>
  <c r="I72" i="55" l="1"/>
  <c r="V72" i="55" s="1"/>
  <c r="I76" i="55" l="1"/>
  <c r="V76" i="55" s="1"/>
  <c r="I84" i="55" l="1"/>
  <c r="I80" i="55"/>
  <c r="V80" i="55" s="1"/>
  <c r="I75" i="55" l="1"/>
  <c r="V75" i="55" s="1"/>
  <c r="I73" i="55"/>
  <c r="V73" i="55" s="1"/>
  <c r="I74" i="55"/>
  <c r="V74" i="55" l="1"/>
  <c r="M12" i="2"/>
  <c r="M18" i="2" l="1"/>
  <c r="M28" i="2" s="1"/>
  <c r="M29" i="2"/>
  <c r="L19" i="2"/>
  <c r="M16" i="2"/>
  <c r="M26" i="2" s="1"/>
  <c r="M17" i="2"/>
  <c r="M27" i="2" s="1"/>
  <c r="K19" i="2" l="1"/>
  <c r="L29" i="2"/>
  <c r="K29" i="2" l="1"/>
  <c r="J19" i="2"/>
  <c r="J29" i="2" s="1"/>
  <c r="L31" i="42" l="1"/>
  <c r="L35" i="42" l="1"/>
  <c r="L33" i="42" l="1"/>
  <c r="O42" i="53" l="1"/>
  <c r="N23" i="60"/>
  <c r="O23" i="60" l="1"/>
  <c r="P42" i="53" l="1"/>
  <c r="P23" i="60" l="1"/>
  <c r="Q42" i="53"/>
  <c r="Q23" i="60" l="1"/>
  <c r="R42" i="53"/>
  <c r="R23" i="60"/>
  <c r="U23" i="60" l="1"/>
  <c r="S42" i="53"/>
  <c r="W42" i="53" s="1"/>
  <c r="AA23" i="60" l="1"/>
  <c r="Z23" i="60"/>
  <c r="I77" i="55" l="1"/>
  <c r="V77" i="55" s="1"/>
  <c r="H78" i="55"/>
  <c r="H79" i="55" l="1"/>
  <c r="I79" i="55" s="1"/>
  <c r="V79" i="55" s="1"/>
  <c r="H82" i="55"/>
  <c r="H81" i="55" s="1"/>
  <c r="I78" i="55"/>
  <c r="I81" i="55" l="1"/>
  <c r="V81" i="55" s="1"/>
  <c r="H83" i="55"/>
  <c r="I83" i="55" s="1"/>
  <c r="H86" i="55"/>
  <c r="I82" i="55"/>
  <c r="N12" i="2"/>
  <c r="V78" i="55"/>
  <c r="N18" i="2" l="1"/>
  <c r="M20" i="2"/>
  <c r="N17" i="2"/>
  <c r="N19" i="2"/>
  <c r="N16" i="2"/>
  <c r="N30" i="2"/>
  <c r="O12" i="2"/>
  <c r="N21" i="2" s="1"/>
  <c r="M21" i="2" s="1"/>
  <c r="L21" i="2" s="1"/>
  <c r="K21" i="2" s="1"/>
  <c r="J21" i="2" s="1"/>
  <c r="V82" i="55"/>
  <c r="V1" i="55" s="1"/>
  <c r="G11" i="16" s="1"/>
  <c r="I86" i="55"/>
  <c r="H85" i="55"/>
  <c r="I85" i="55" s="1"/>
  <c r="H87" i="55"/>
  <c r="I87" i="55" s="1"/>
  <c r="O31" i="2" l="1"/>
  <c r="O20" i="2"/>
  <c r="O30" i="2" s="1"/>
  <c r="N26" i="2"/>
  <c r="O16" i="2"/>
  <c r="O19" i="2"/>
  <c r="N29" i="2"/>
  <c r="O17" i="2"/>
  <c r="O27" i="2" s="1"/>
  <c r="N27" i="2"/>
  <c r="M30" i="2"/>
  <c r="L20" i="2"/>
  <c r="N28" i="2"/>
  <c r="O18" i="2"/>
  <c r="O28" i="2" s="1"/>
  <c r="M22" i="42" l="1"/>
  <c r="L15" i="42"/>
  <c r="L22" i="42"/>
  <c r="L17" i="42"/>
  <c r="Q15" i="42"/>
  <c r="R22" i="42"/>
  <c r="S15" i="42"/>
  <c r="T22" i="42"/>
  <c r="N15" i="42"/>
  <c r="R24" i="42"/>
  <c r="R17" i="42"/>
  <c r="S17" i="42"/>
  <c r="N24" i="42"/>
  <c r="Q24" i="42"/>
  <c r="O17" i="42"/>
  <c r="M24" i="42"/>
  <c r="R15" i="42"/>
  <c r="T17" i="42"/>
  <c r="K17" i="42"/>
  <c r="Q17" i="42"/>
  <c r="P15" i="42"/>
  <c r="S22" i="42"/>
  <c r="P24" i="42"/>
  <c r="Q22" i="42"/>
  <c r="J15" i="42"/>
  <c r="K15" i="42"/>
  <c r="O15" i="42"/>
  <c r="O24" i="42"/>
  <c r="N17" i="42"/>
  <c r="J24" i="42"/>
  <c r="J22" i="42"/>
  <c r="K22" i="42"/>
  <c r="P17" i="42"/>
  <c r="N22" i="42"/>
  <c r="J17" i="42"/>
  <c r="M15" i="42"/>
  <c r="O26" i="2"/>
  <c r="T24" i="42"/>
  <c r="S24" i="42"/>
  <c r="M17" i="42"/>
  <c r="O22" i="42"/>
  <c r="K24" i="42"/>
  <c r="P22" i="42"/>
  <c r="T15" i="42"/>
  <c r="L24" i="42"/>
  <c r="N31" i="2"/>
  <c r="S77" i="42"/>
  <c r="K38" i="42"/>
  <c r="P38" i="42"/>
  <c r="S41" i="42"/>
  <c r="L77" i="42"/>
  <c r="L87" i="42" s="1"/>
  <c r="L38" i="42"/>
  <c r="O29" i="2"/>
  <c r="N77" i="42"/>
  <c r="N87" i="42" s="1"/>
  <c r="R38" i="42"/>
  <c r="J41" i="42"/>
  <c r="K41" i="42"/>
  <c r="T77" i="42"/>
  <c r="T87" i="42" s="1"/>
  <c r="S38" i="42"/>
  <c r="P41" i="42"/>
  <c r="O77" i="42"/>
  <c r="P77" i="42"/>
  <c r="R77" i="42"/>
  <c r="Q38" i="42"/>
  <c r="O41" i="42"/>
  <c r="Q41" i="42"/>
  <c r="T41" i="42"/>
  <c r="K77" i="42"/>
  <c r="K87" i="42" s="1"/>
  <c r="J38" i="42"/>
  <c r="M38" i="42"/>
  <c r="O38" i="42"/>
  <c r="J77" i="42"/>
  <c r="M41" i="42"/>
  <c r="M77" i="42"/>
  <c r="M87" i="42" s="1"/>
  <c r="T38" i="42"/>
  <c r="R41" i="42"/>
  <c r="L41" i="42"/>
  <c r="Q77" i="42"/>
  <c r="L30" i="2"/>
  <c r="K20" i="2"/>
  <c r="N20" i="42"/>
  <c r="N13" i="42"/>
  <c r="N26" i="42" s="1"/>
  <c r="N31" i="42" l="1"/>
  <c r="J52" i="42"/>
  <c r="J54" i="42" s="1"/>
  <c r="M20" i="42"/>
  <c r="M13" i="42"/>
  <c r="M26" i="42" s="1"/>
  <c r="S52" i="42"/>
  <c r="S54" i="42" s="1"/>
  <c r="L52" i="42"/>
  <c r="L54" i="42" s="1"/>
  <c r="M31" i="2"/>
  <c r="N64" i="58" s="1"/>
  <c r="J87" i="42"/>
  <c r="Q52" i="42"/>
  <c r="Q54" i="42" s="1"/>
  <c r="K30" i="2"/>
  <c r="J20" i="2"/>
  <c r="J30" i="2" s="1"/>
  <c r="O52" i="42"/>
  <c r="O54" i="42" s="1"/>
  <c r="R52" i="42"/>
  <c r="R54" i="42" s="1"/>
  <c r="P52" i="42"/>
  <c r="P54" i="42" s="1"/>
  <c r="M52" i="42"/>
  <c r="M54" i="42" s="1"/>
  <c r="K52" i="42"/>
  <c r="K54" i="42" s="1"/>
  <c r="N16" i="60" l="1"/>
  <c r="R16" i="60"/>
  <c r="Q16" i="60"/>
  <c r="P16" i="60"/>
  <c r="O16" i="60"/>
  <c r="L31" i="2"/>
  <c r="L20" i="42"/>
  <c r="L13" i="42"/>
  <c r="L26" i="42" l="1"/>
  <c r="K31" i="2"/>
  <c r="J31" i="2"/>
  <c r="U16" i="60"/>
  <c r="K20" i="42"/>
  <c r="K13" i="42"/>
  <c r="K26" i="42" s="1"/>
  <c r="AA16" i="60" l="1"/>
  <c r="Z16" i="60"/>
  <c r="J20" i="42"/>
  <c r="J13" i="42"/>
  <c r="J26" i="42" s="1"/>
  <c r="N35" i="42" l="1"/>
  <c r="N33" i="42"/>
  <c r="N11" i="60"/>
  <c r="R11" i="60"/>
  <c r="P11" i="60"/>
  <c r="O11" i="60"/>
  <c r="Q11" i="60"/>
  <c r="N17" i="60" l="1"/>
  <c r="R17" i="60"/>
  <c r="Q17" i="60"/>
  <c r="P17" i="60"/>
  <c r="O17" i="60"/>
  <c r="U11" i="60"/>
  <c r="U17" i="60" l="1"/>
  <c r="Y11" i="60"/>
  <c r="Z17" i="60" l="1"/>
  <c r="AA17" i="60"/>
  <c r="N37" i="42" l="1"/>
  <c r="V63" i="58"/>
  <c r="N40" i="42"/>
  <c r="N41" i="42" s="1"/>
  <c r="V64" i="58"/>
  <c r="S1" i="58" l="1"/>
  <c r="G12" i="16" s="1"/>
  <c r="N38" i="42"/>
  <c r="Q15" i="60" l="1"/>
  <c r="O15" i="60"/>
  <c r="R15" i="60"/>
  <c r="P15" i="60"/>
  <c r="N52" i="42"/>
  <c r="N15" i="60"/>
  <c r="R12" i="60" l="1"/>
  <c r="Q12" i="60"/>
  <c r="N12" i="60"/>
  <c r="O12" i="60"/>
  <c r="P12" i="60"/>
  <c r="N54" i="42"/>
  <c r="U15" i="60"/>
  <c r="P20" i="53"/>
  <c r="R20" i="53"/>
  <c r="Q20" i="53"/>
  <c r="S20" i="53"/>
  <c r="O20" i="53"/>
  <c r="Q20" i="60" l="1"/>
  <c r="R20" i="60"/>
  <c r="R19" i="60"/>
  <c r="N19" i="60"/>
  <c r="O18" i="60"/>
  <c r="P18" i="60"/>
  <c r="N18" i="60"/>
  <c r="R18" i="60"/>
  <c r="Q18" i="60"/>
  <c r="P19" i="60"/>
  <c r="P20" i="60"/>
  <c r="O19" i="60"/>
  <c r="Q19" i="60"/>
  <c r="U12" i="60"/>
  <c r="N20" i="60"/>
  <c r="O20" i="60"/>
  <c r="AA15" i="60"/>
  <c r="Z15" i="60"/>
  <c r="O85" i="42"/>
  <c r="N13" i="60" s="1"/>
  <c r="O22" i="53"/>
  <c r="W20" i="53"/>
  <c r="P22" i="53"/>
  <c r="P85" i="42"/>
  <c r="O13" i="60" s="1"/>
  <c r="S85" i="42"/>
  <c r="R13" i="60" s="1"/>
  <c r="S22" i="53"/>
  <c r="Q85" i="42"/>
  <c r="P13" i="60" s="1"/>
  <c r="Q22" i="53"/>
  <c r="R22" i="53"/>
  <c r="R85" i="42"/>
  <c r="Q13" i="60" s="1"/>
  <c r="U18" i="60" l="1"/>
  <c r="U19" i="60"/>
  <c r="Z19" i="60" s="1"/>
  <c r="U20" i="60"/>
  <c r="U13" i="60"/>
  <c r="AA12" i="60"/>
  <c r="X12" i="60" s="1"/>
  <c r="Z12" i="60"/>
  <c r="S87" i="42"/>
  <c r="P87" i="42"/>
  <c r="R87" i="42"/>
  <c r="W22" i="53"/>
  <c r="S1" i="53" s="1"/>
  <c r="G14" i="16" s="1"/>
  <c r="S1" i="16" s="1"/>
  <c r="O87" i="42"/>
  <c r="Q87" i="42"/>
  <c r="X14" i="60" l="1"/>
  <c r="Z20" i="60"/>
  <c r="AA19" i="60"/>
  <c r="AA18" i="60"/>
  <c r="Z18" i="60"/>
  <c r="AA20" i="60"/>
  <c r="Z13" i="60"/>
  <c r="AA13" i="60"/>
  <c r="X13" i="60" s="1"/>
  <c r="O21" i="60"/>
  <c r="Q105" i="42"/>
  <c r="Q13" i="44" s="1"/>
  <c r="Q106" i="42"/>
  <c r="Q107" i="42" s="1"/>
  <c r="X1" i="2"/>
  <c r="Y1" i="60"/>
  <c r="V1" i="58"/>
  <c r="Y1" i="55"/>
  <c r="W1" i="44"/>
  <c r="V1" i="53"/>
  <c r="W1" i="42"/>
  <c r="V1" i="4"/>
  <c r="V1" i="54"/>
  <c r="P105" i="42"/>
  <c r="P13" i="44" s="1"/>
  <c r="P106" i="42"/>
  <c r="P107" i="42" s="1"/>
  <c r="R105" i="42"/>
  <c r="R13" i="44" s="1"/>
  <c r="R106" i="42"/>
  <c r="R107" i="42" s="1"/>
  <c r="O106" i="42"/>
  <c r="O107" i="42" s="1"/>
  <c r="O105" i="42"/>
  <c r="O13" i="44" s="1"/>
  <c r="Q21" i="60"/>
  <c r="S105" i="42"/>
  <c r="S13" i="44" s="1"/>
  <c r="S106" i="42"/>
  <c r="S107" i="42" s="1"/>
  <c r="P21" i="60"/>
  <c r="N21" i="60"/>
  <c r="R21" i="60"/>
  <c r="X15" i="60" l="1"/>
  <c r="X16" i="60"/>
  <c r="X17" i="60"/>
  <c r="R24" i="60"/>
  <c r="X19" i="60"/>
  <c r="X18" i="60"/>
  <c r="X20" i="60"/>
  <c r="U21" i="60"/>
  <c r="Q24" i="60"/>
  <c r="N24" i="60"/>
  <c r="O24" i="60"/>
  <c r="P24" i="60"/>
  <c r="X23" i="60" l="1"/>
  <c r="X22" i="60"/>
  <c r="U24" i="60"/>
  <c r="AA21" i="60"/>
  <c r="X21" i="60" s="1"/>
  <c r="Z21" i="60"/>
  <c r="V14" i="60" l="1"/>
  <c r="V12" i="60"/>
  <c r="V21" i="60"/>
  <c r="V22" i="60"/>
  <c r="V17" i="60"/>
  <c r="Y24" i="60"/>
  <c r="V16" i="60"/>
  <c r="V23" i="60"/>
  <c r="V24" i="60"/>
  <c r="V15" i="60"/>
  <c r="V18" i="60"/>
  <c r="V19" i="60"/>
  <c r="V20" i="60"/>
</calcChain>
</file>

<file path=xl/sharedStrings.xml><?xml version="1.0" encoding="utf-8"?>
<sst xmlns="http://schemas.openxmlformats.org/spreadsheetml/2006/main" count="802" uniqueCount="238">
  <si>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</si>
  <si>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</si>
  <si>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</si>
  <si>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</si>
  <si>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</si>
  <si>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</si>
  <si>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</si>
  <si>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</si>
  <si>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</si>
  <si>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</si>
  <si>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</si>
  <si>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</si>
  <si>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</si>
  <si>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</si>
  <si>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</si>
  <si>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</si>
  <si>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</si>
  <si>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</si>
  <si>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</si>
  <si>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</si>
  <si>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</si>
  <si>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</si>
  <si>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</si>
  <si>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</si>
  <si>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</si>
  <si>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</si>
  <si>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</si>
  <si>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</si>
  <si>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</si>
  <si>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</si>
  <si>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</si>
  <si>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</si>
  <si>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</si>
  <si>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</si>
  <si>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</si>
  <si>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</si>
  <si>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</si>
  <si>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</si>
  <si>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</si>
  <si>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</si>
  <si>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</si>
  <si>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</si>
  <si>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</si>
  <si>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</si>
  <si>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</si>
  <si>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</si>
  <si>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</si>
  <si>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</si>
  <si>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</si>
  <si>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</si>
  <si>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Notes</t>
  </si>
  <si>
    <t>Inputs for Post Tax Revenue Model</t>
  </si>
  <si>
    <t>Note. The dollar base should be consistent with the post tax revenue model</t>
  </si>
  <si>
    <t>Input | Reported opex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</si>
  <si>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</si>
  <si>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</si>
  <si>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</si>
  <si>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</si>
  <si>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</si>
  <si>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</si>
  <si>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</si>
  <si>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</si>
  <si>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</si>
  <si>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</si>
  <si>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</si>
  <si>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</si>
  <si>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</si>
  <si>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</si>
  <si>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</si>
  <si>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</si>
  <si>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</si>
  <si>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</si>
  <si>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</si>
  <si>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</si>
  <si>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</si>
  <si>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</si>
  <si>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</si>
  <si>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</si>
  <si>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</si>
  <si>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</si>
  <si>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</si>
  <si>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</si>
  <si>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</si>
  <si>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</si>
  <si>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</si>
  <si>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</si>
  <si>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</si>
  <si>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</si>
  <si>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</si>
  <si>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</si>
  <si>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</si>
  <si>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</si>
  <si>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</si>
  <si>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</si>
  <si>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</si>
  <si>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</si>
  <si>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</si>
  <si>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</si>
  <si>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</si>
  <si>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</si>
  <si>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</si>
  <si>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</si>
  <si>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</si>
  <si>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</si>
  <si>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</si>
  <si>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</si>
  <si>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</si>
  <si>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</si>
  <si>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</si>
  <si>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</si>
  <si>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</si>
  <si>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</si>
  <si>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</si>
  <si>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</si>
  <si>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</si>
  <si>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</si>
  <si>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</si>
  <si>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</si>
  <si>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</si>
  <si>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</si>
  <si>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</si>
  <si>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</si>
  <si>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</si>
  <si>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</si>
  <si>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</si>
  <si>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</si>
  <si>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</si>
  <si>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</si>
  <si>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</si>
  <si>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</si>
  <si>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</si>
  <si>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</si>
  <si>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</si>
  <si>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</si>
  <si>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</si>
  <si>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</si>
  <si>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</si>
  <si>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</si>
  <si>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</si>
  <si>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</si>
  <si>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</si>
  <si>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</si>
  <si>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</si>
  <si>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</si>
  <si>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</si>
  <si>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</si>
  <si>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</si>
  <si>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</si>
  <si>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</si>
  <si>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</si>
  <si>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</si>
  <si>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</si>
  <si>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</si>
  <si>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</si>
  <si>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</si>
  <si>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</si>
  <si>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</si>
  <si>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</si>
  <si>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</si>
  <si>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</si>
  <si>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</si>
  <si>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</si>
  <si>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</si>
  <si>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</si>
  <si>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</si>
  <si>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</si>
  <si>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</si>
  <si>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</si>
  <si>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</si>
  <si>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</si>
  <si>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</si>
  <si>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</si>
  <si>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</si>
  <si>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</si>
  <si>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</si>
  <si>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</si>
  <si>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</si>
  <si>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</si>
  <si>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</si>
  <si>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</si>
  <si>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</si>
  <si>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</si>
  <si>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</si>
  <si>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</si>
  <si>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</si>
  <si>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</si>
  <si>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</si>
  <si>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</si>
  <si>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</si>
  <si>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</si>
  <si>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</si>
  <si>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</si>
  <si>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</si>
  <si>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</si>
  <si>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</si>
  <si>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</si>
  <si>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</si>
  <si>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</si>
  <si>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</si>
  <si>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</si>
  <si>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</si>
  <si>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</si>
  <si>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</si>
  <si>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</si>
  <si>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</si>
  <si>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</si>
  <si>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</si>
  <si>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</si>
  <si>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</si>
  <si>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</si>
  <si>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</si>
  <si>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</si>
  <si>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</si>
  <si>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</si>
  <si>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</si>
  <si>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</si>
  <si>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</si>
  <si>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</si>
  <si>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</si>
  <si>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</si>
  <si>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</si>
  <si>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</si>
  <si>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</si>
  <si>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</si>
  <si>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</si>
  <si>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</si>
  <si>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</si>
  <si>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</si>
  <si>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Ergon Energy</t>
  </si>
  <si>
    <t>DMIA/DMIS</t>
  </si>
  <si>
    <t>ESO Levy Removal</t>
  </si>
  <si>
    <t>Property Leases Removal (SCS Opex portion only)</t>
  </si>
  <si>
    <t>Smart Meter Data Storage</t>
  </si>
  <si>
    <t>Transition costs</t>
  </si>
  <si>
    <t>WPI – Deloitte Access Economics</t>
  </si>
  <si>
    <t>WPI - average of BISOE and DAE</t>
  </si>
  <si>
    <t>WPI – BIS Oxford Economics</t>
  </si>
  <si>
    <t>Estimate: RBA, Statement on monetary policy (SoMP), February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</si>
</sst>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  <numFmt numFmtId="212" formatCode="_-* #,##0.00000_-;\-* #,##0.00000_-;_-* &quot;-&quot;??_-;_-@_-"/>
    <numFmt numFmtId="214" formatCode="#,##0.0;\–#,##0.0;&quot;–&quot;"/>
    <numFmt numFmtId="215" formatCode="#,##0.0;\–#,##0.0;&quot;&quot;"/>
  </numFmts>
  <fonts count="9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04" fontId="23" fillId="38" borderId="7" xfId="0" applyNumberFormat="1" applyFont="1" applyFill="1" applyBorder="1" applyAlignment="1">
      <alignment horizontal="center"/>
    </xf>
    <xf numFmtId="196" fontId="7" fillId="41" borderId="3" xfId="2" applyNumberFormat="1" applyFont="1" applyFill="1" applyBorder="1" applyAlignment="1" applyProtection="1">
      <alignment horizontal="center"/>
      <protection locked="0"/>
    </xf>
    <xf numFmtId="204" fontId="6" fillId="41" borderId="3" xfId="2" applyNumberFormat="1" applyFont="1" applyFill="1" applyBorder="1" applyAlignment="1" applyProtection="1">
      <alignment horizontal="center"/>
      <protection locked="0"/>
    </xf>
    <xf numFmtId="198" fontId="1" fillId="0" borderId="0" xfId="305" applyNumberFormat="1"/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212" fontId="0" fillId="0" borderId="0" xfId="0" applyNumberFormat="1" applyFont="1"/>
    <xf numFmtId="200" fontId="8" fillId="0" borderId="0" xfId="0" applyNumberFormat="1" applyFont="1" applyBorder="1" applyAlignment="1">
      <alignment horizontal="center"/>
    </xf>
    <xf numFmtId="168" fontId="14" fillId="0" borderId="0" xfId="3" applyNumberFormat="1" applyAlignment="1" applyProtection="1">
      <protection locked="0"/>
    </xf>
    <xf numFmtId="0" fontId="74" fillId="38" borderId="2" xfId="0" applyFont="1" applyFill="1" applyBorder="1" applyAlignment="1">
      <alignment horizontal="center"/>
    </xf>
    <xf numFmtId="0" fontId="98" fillId="0" borderId="0" xfId="305" applyFont="1"/>
    <xf numFmtId="214" fontId="6" fillId="0" borderId="0" xfId="0" applyNumberFormat="1" applyFont="1" applyAlignment="1">
      <alignment horizontal="center"/>
    </xf>
    <xf numFmtId="215" fontId="6" fillId="0" borderId="0" xfId="0" applyNumberFormat="1" applyFont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</c:f>
              <c:strCache>
                <c:ptCount val="1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'Output|Decomposition'!$B$11:$B$24</c:f>
              <c:strCache>
                <c:ptCount val="9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Debt raising costs </c:v>
                </c:pt>
                <c:pt idx="8">
                  <c:v> AER alternative estimate </c:v>
                </c:pt>
              </c:strCache>
            </c:strRef>
          </c:cat>
          <c:val>
            <c:numRef>
              <c:f>'Output|Decomposition'!$X$11:$X$24</c:f>
              <c:numCache>
                <c:formatCode>#,##0.0;\–#,##0.0;"–"</c:formatCode>
                <c:ptCount val="9"/>
                <c:pt idx="1">
                  <c:v>2356.5442019438228</c:v>
                </c:pt>
                <c:pt idx="2">
                  <c:v>2295.4436348594445</c:v>
                </c:pt>
                <c:pt idx="3">
                  <c:v>2256.7488675974723</c:v>
                </c:pt>
                <c:pt idx="4">
                  <c:v>2256.7488675974723</c:v>
                </c:pt>
                <c:pt idx="5">
                  <c:v>2282.6039608745814</c:v>
                </c:pt>
                <c:pt idx="6">
                  <c:v>2290.4236805651958</c:v>
                </c:pt>
                <c:pt idx="7">
                  <c:v>2290.4236805651958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'Output|Decomposition'!$B$11:$B$24</c:f>
              <c:strCache>
                <c:ptCount val="9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Debt raising costs </c:v>
                </c:pt>
                <c:pt idx="8">
                  <c:v> AER alternative estimate </c:v>
                </c:pt>
              </c:strCache>
            </c:strRef>
          </c:cat>
          <c:val>
            <c:numRef>
              <c:f>'Output|Decomposition'!$Y$11:$Y$24</c:f>
              <c:numCache>
                <c:formatCode>#,##0.0;\–#,##0.0;""</c:formatCode>
                <c:ptCount val="9"/>
                <c:pt idx="0">
                  <c:v>2403.8739818575818</c:v>
                </c:pt>
                <c:pt idx="8">
                  <c:v>2331.1430952832056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dLbl>
              <c:idx val="4"/>
              <c:layout>
                <c:manualLayout>
                  <c:x val="-7.6524736669873282E-17"/>
                  <c:y val="-3.802090396801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B-45EA-B3F2-7B20F839A75F}"/>
                </c:ext>
              </c:extLst>
            </c:dLbl>
            <c:dLbl>
              <c:idx val="5"/>
              <c:layout>
                <c:manualLayout>
                  <c:x val="-2.0799959507703069E-3"/>
                  <c:y val="-2.98398297752940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B-45EA-B3F2-7B20F839A75F}"/>
                </c:ext>
              </c:extLst>
            </c:dLbl>
            <c:dLbl>
              <c:idx val="7"/>
              <c:layout>
                <c:manualLayout>
                  <c:x val="0"/>
                  <c:y val="-3.74965121082454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B-45EA-B3F2-7B20F839A75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'Output|Decomposition'!$B$11:$B$24</c:f>
              <c:strCache>
                <c:ptCount val="9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Debt raising costs </c:v>
                </c:pt>
                <c:pt idx="8">
                  <c:v> AER alternative estimate </c:v>
                </c:pt>
              </c:strCache>
            </c:strRef>
          </c:cat>
          <c:val>
            <c:numRef>
              <c:f>'Output|Decomposition'!$Z$11:$Z$24</c:f>
              <c:numCache>
                <c:formatCode>#,##0.0;\–#,##0.0;""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25.855093277109034</c:v>
                </c:pt>
                <c:pt idx="5">
                  <c:v>41.690880694320299</c:v>
                </c:pt>
                <c:pt idx="6">
                  <c:v>0</c:v>
                </c:pt>
                <c:pt idx="7">
                  <c:v>40.719414718009894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4.22166184555100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B-45EA-B3F2-7B20F839A75F}"/>
                </c:ext>
              </c:extLst>
            </c:dLbl>
            <c:dLbl>
              <c:idx val="2"/>
              <c:layout>
                <c:manualLayout>
                  <c:x val="0"/>
                  <c:y val="-3.79949566099590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B-45EA-B3F2-7B20F839A75F}"/>
                </c:ext>
              </c:extLst>
            </c:dLbl>
            <c:dLbl>
              <c:idx val="3"/>
              <c:layout>
                <c:manualLayout>
                  <c:x val="0"/>
                  <c:y val="-4.22166184555100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B-45EA-B3F2-7B20F839A75F}"/>
                </c:ext>
              </c:extLst>
            </c:dLbl>
            <c:dLbl>
              <c:idx val="6"/>
              <c:layout>
                <c:manualLayout>
                  <c:x val="0"/>
                  <c:y val="-3.37732947644080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B-45EA-B3F2-7B20F839A75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'Output|Decomposition'!$B$11:$B$24</c:f>
              <c:strCache>
                <c:ptCount val="9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Debt raising costs </c:v>
                </c:pt>
                <c:pt idx="8">
                  <c:v> AER alternative estimate </c:v>
                </c:pt>
              </c:strCache>
            </c:strRef>
          </c:cat>
          <c:val>
            <c:numRef>
              <c:f>'Output|Decomposition'!$AA$11:$AA$24</c:f>
              <c:numCache>
                <c:formatCode>#,##0.0;\–#,##0.0;""</c:formatCode>
                <c:ptCount val="9"/>
                <c:pt idx="1">
                  <c:v>47.329779913758827</c:v>
                </c:pt>
                <c:pt idx="2">
                  <c:v>61.100567084378383</c:v>
                </c:pt>
                <c:pt idx="3">
                  <c:v>38.69476726197221</c:v>
                </c:pt>
                <c:pt idx="4">
                  <c:v>0</c:v>
                </c:pt>
                <c:pt idx="5">
                  <c:v>0</c:v>
                </c:pt>
                <c:pt idx="6">
                  <c:v>33.871161003705964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373282</xdr:colOff>
      <xdr:row>29</xdr:row>
      <xdr:rowOff>141775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feb/outlook.html" TargetMode="External"/><Relationship Id="rId2" Type="http://schemas.openxmlformats.org/officeDocument/2006/relationships/hyperlink" Target="https://www.rba.gov.au/publications/smp/2025/feb/outlook.html" TargetMode="External"/><Relationship Id="rId1" Type="http://schemas.openxmlformats.org/officeDocument/2006/relationships/hyperlink" Target="https://www.rba.gov.au/publications/smp/2025/feb/outlook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rba.gov.au/publications/smp/2025/feb/outlook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workbookViewId="0"/>
  </sheetViews>
  <sheetFormatPr defaultColWidth="0" defaultRowHeight="11.25" zeroHeight="1"/>
  <cols>
    <col min="1" max="1" width="1.5" style="8" customWidth="1"/>
    <col min="2" max="2" width="1.664062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227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56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0</v>
      </c>
      <c r="D6" s="9" t="s">
        <v>1</v>
      </c>
    </row>
    <row r="7" spans="1:30">
      <c r="C7" s="203" t="s">
        <v>55</v>
      </c>
      <c r="D7" s="8" t="s">
        <v>209</v>
      </c>
    </row>
    <row r="8" spans="1:30">
      <c r="C8" s="203" t="s">
        <v>35</v>
      </c>
      <c r="D8" s="8" t="s">
        <v>89</v>
      </c>
    </row>
    <row r="9" spans="1:30">
      <c r="C9" s="203" t="s">
        <v>53</v>
      </c>
      <c r="D9" s="8" t="s">
        <v>218</v>
      </c>
    </row>
    <row r="10" spans="1:30">
      <c r="C10" s="203" t="s">
        <v>169</v>
      </c>
      <c r="D10" s="8" t="s">
        <v>210</v>
      </c>
    </row>
    <row r="11" spans="1:30">
      <c r="C11" s="203" t="s">
        <v>54</v>
      </c>
      <c r="D11" s="8" t="s">
        <v>211</v>
      </c>
    </row>
    <row r="12" spans="1:30">
      <c r="C12" s="203" t="s">
        <v>170</v>
      </c>
      <c r="D12" s="8" t="s">
        <v>212</v>
      </c>
    </row>
    <row r="13" spans="1:30">
      <c r="C13" s="220" t="s">
        <v>171</v>
      </c>
      <c r="D13" s="8" t="s">
        <v>213</v>
      </c>
    </row>
    <row r="14" spans="1:30">
      <c r="C14" s="203" t="s">
        <v>217</v>
      </c>
      <c r="D14" s="8" t="s">
        <v>219</v>
      </c>
    </row>
    <row r="15" spans="1:30">
      <c r="C15" s="203" t="s">
        <v>25</v>
      </c>
      <c r="D15" s="8" t="s">
        <v>214</v>
      </c>
    </row>
    <row r="16" spans="1:30" ht="12.75">
      <c r="C16" s="10"/>
      <c r="D16" s="7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sheetProtection selectLockedCells="1"/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tabSelected="1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75</v>
      </c>
      <c r="S1" s="29" t="str">
        <f>IF(COUNTA($S$5:$S$16)=COUNTIF($S5:$S17,"OK"),"OK","Check")</f>
        <v>OK</v>
      </c>
      <c r="U1" s="205" t="s">
        <v>24</v>
      </c>
      <c r="V1" s="29" t="str">
        <f ca="1"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86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87</v>
      </c>
      <c r="D6" s="20" t="s">
        <v>7</v>
      </c>
      <c r="E6" s="20"/>
      <c r="F6" s="14"/>
      <c r="G6" s="14" t="s">
        <v>60</v>
      </c>
      <c r="H6" s="14"/>
      <c r="I6" s="8"/>
    </row>
    <row r="7" spans="1:30">
      <c r="C7" s="8" t="s">
        <v>57</v>
      </c>
      <c r="D7" s="16" t="s">
        <v>61</v>
      </c>
      <c r="E7" s="8"/>
      <c r="F7" s="8"/>
      <c r="G7" s="39" t="s">
        <v>228</v>
      </c>
      <c r="H7" s="8"/>
      <c r="I7" s="8"/>
      <c r="S7" s="81" t="str">
        <f>IF(COUNTBLANK($G7),"Check","Ok")</f>
        <v>Ok</v>
      </c>
    </row>
    <row r="8" spans="1:30">
      <c r="C8" s="8" t="s">
        <v>123</v>
      </c>
      <c r="D8" s="16" t="s">
        <v>62</v>
      </c>
      <c r="E8" s="8"/>
      <c r="F8" s="8"/>
      <c r="G8" s="39" t="s">
        <v>183</v>
      </c>
      <c r="H8" s="8"/>
      <c r="I8" s="8"/>
      <c r="S8" s="81" t="str">
        <f>IF(COUNTBLANK($G8),"Check","Ok")</f>
        <v>Ok</v>
      </c>
    </row>
    <row r="9" spans="1:30">
      <c r="C9" s="8" t="s">
        <v>107</v>
      </c>
      <c r="D9" s="16" t="s">
        <v>61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207</v>
      </c>
      <c r="D10" s="16" t="s">
        <v>61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64</v>
      </c>
      <c r="D11" s="16" t="s">
        <v>61</v>
      </c>
      <c r="E11" s="8"/>
      <c r="F11" s="8"/>
      <c r="G11" s="93">
        <v>2023</v>
      </c>
      <c r="H11" s="8"/>
      <c r="I11" s="8"/>
      <c r="S11" s="81" t="str">
        <f t="shared" si="0"/>
        <v>Ok</v>
      </c>
    </row>
    <row r="12" spans="1:30">
      <c r="C12" s="8" t="s">
        <v>208</v>
      </c>
      <c r="D12" s="16" t="s">
        <v>61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>
      <c r="C13" s="8" t="s">
        <v>58</v>
      </c>
      <c r="D13" s="16" t="s">
        <v>61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>
      <c r="C14" s="8" t="s">
        <v>59</v>
      </c>
      <c r="D14" s="16" t="s">
        <v>61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>
      <c r="C15" s="8" t="s">
        <v>172</v>
      </c>
      <c r="D15" s="16" t="s">
        <v>61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S1">
    <cfRule type="cellIs" dxfId="176" priority="1" operator="equal">
      <formula>"Check"</formula>
    </cfRule>
    <cfRule type="cellIs" dxfId="175" priority="2" operator="equal">
      <formula>"Ok"</formula>
    </cfRule>
  </conditionalFormatting>
  <conditionalFormatting sqref="S7:S15">
    <cfRule type="cellIs" dxfId="174" priority="5" operator="equal">
      <formula>"Check"</formula>
    </cfRule>
    <cfRule type="cellIs" dxfId="173" priority="6" operator="equal">
      <formula>"Ok"</formula>
    </cfRule>
  </conditionalFormatting>
  <conditionalFormatting sqref="V1">
    <cfRule type="cellIs" dxfId="172" priority="3" operator="equal">
      <formula>"Check"</formula>
    </cfRule>
    <cfRule type="cellIs" dxfId="171" priority="4" operator="equal">
      <formula>"Ok"</formula>
    </cfRule>
  </conditionalFormatting>
  <conditionalFormatting sqref="W14:W16">
    <cfRule type="cellIs" dxfId="170" priority="13" operator="equal">
      <formula>"Check"</formula>
    </cfRule>
    <cfRule type="cellIs" dxfId="169" priority="14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zoomScale="115" zoomScaleNormal="115" workbookViewId="0">
      <selection activeCell="M1" sqref="M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4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75</v>
      </c>
      <c r="V1" s="29" t="str">
        <f>IF(COUNTA($V$5:$V$89)=COUNTIF($V5:$V90,"OK"),"OK","Check")</f>
        <v>OK</v>
      </c>
      <c r="X1" s="205" t="s">
        <v>24</v>
      </c>
      <c r="Y1" s="29" t="str">
        <f ca="1"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86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90</v>
      </c>
      <c r="E6" s="47" t="s">
        <v>121</v>
      </c>
      <c r="F6" s="47" t="s">
        <v>90</v>
      </c>
      <c r="G6" s="47" t="s">
        <v>189</v>
      </c>
      <c r="H6" s="47" t="s">
        <v>190</v>
      </c>
      <c r="I6" s="47" t="s">
        <v>121</v>
      </c>
      <c r="J6" s="47"/>
      <c r="K6" s="8"/>
      <c r="L6" s="8"/>
    </row>
    <row r="7" spans="1:33">
      <c r="C7" s="9" t="s">
        <v>7</v>
      </c>
      <c r="D7" s="50" t="s">
        <v>88</v>
      </c>
      <c r="E7" s="50" t="s">
        <v>30</v>
      </c>
      <c r="F7" s="50" t="s">
        <v>88</v>
      </c>
      <c r="G7" s="50" t="s">
        <v>188</v>
      </c>
      <c r="H7" s="50" t="s">
        <v>30</v>
      </c>
      <c r="I7" s="50" t="s">
        <v>30</v>
      </c>
      <c r="J7" s="50"/>
      <c r="K7" s="8"/>
      <c r="L7" s="8"/>
    </row>
    <row r="8" spans="1:33">
      <c r="C8" s="9" t="s">
        <v>8</v>
      </c>
      <c r="D8" s="50" t="s">
        <v>76</v>
      </c>
      <c r="E8" s="50" t="s">
        <v>16</v>
      </c>
      <c r="F8" s="50" t="s">
        <v>76</v>
      </c>
      <c r="G8" s="50" t="s">
        <v>16</v>
      </c>
      <c r="H8" s="50" t="s">
        <v>76</v>
      </c>
      <c r="I8" s="50" t="s">
        <v>16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211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211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211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211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211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211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211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211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211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211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211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211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212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212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212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212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212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212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212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212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212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212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212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212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212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212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212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212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212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212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212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212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212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212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212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212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212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212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212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212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212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212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212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212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212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212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212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212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212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212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212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212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212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212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212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212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212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212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212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212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212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212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212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212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212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212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202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212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212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207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212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212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207"/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212">
        <v>139.1</v>
      </c>
      <c r="G79" s="110"/>
      <c r="H79" s="117">
        <f>IF(F79="",IF(COUNT(G79:G$88)=0,"",IF(ISBLANK(G79),AVERAGE(H78,H80),(1+G79)*H75)),F79)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212">
        <v>139.4</v>
      </c>
      <c r="G80" s="110"/>
      <c r="H80" s="117">
        <f>IF(F80="",IF(COUNT(G80:G$88)=0,"",IF(ISBLANK(G80),AVERAGE(H79,H81),(1+G80)*H76)),F80)</f>
        <v>139.4</v>
      </c>
      <c r="I80" s="72">
        <f t="shared" ref="I80:I84" si="3">IF(H80="","",H80/H76-1)</f>
        <v>2.4246877296105973E-2</v>
      </c>
      <c r="J80" s="207"/>
      <c r="K80" s="8"/>
      <c r="L80" s="8"/>
      <c r="V80" s="81" t="str">
        <f>IF(C80&gt;EOMONTH(DATE('Input|General'!$G$12,MONTH('Input|General'!$G$9),1),0),"Ok",IF(I80="","Check","Ok"))</f>
        <v>Ok</v>
      </c>
    </row>
    <row r="81" spans="1:50">
      <c r="C81" s="49">
        <v>45747</v>
      </c>
      <c r="D81" s="8"/>
      <c r="E81" s="8"/>
      <c r="F81" s="212"/>
      <c r="G81" s="110"/>
      <c r="H81" s="117">
        <f>IF(F81="",IF(COUNT(G81:G$88)=0,"",IF(ISBLANK(G81),AVERAGE(H80,H82),(1+G81)*H77)),F81)</f>
        <v>140.76560000000001</v>
      </c>
      <c r="I81" s="72">
        <f t="shared" si="3"/>
        <v>2.4494905385735066E-2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>
      <c r="C82" s="49">
        <v>45838</v>
      </c>
      <c r="D82" s="8"/>
      <c r="E82" s="8"/>
      <c r="F82" s="212"/>
      <c r="G82" s="110">
        <v>2.4E-2</v>
      </c>
      <c r="H82" s="117">
        <f>IF(F82="",IF(COUNT(G82:G$88)=0,"",IF(ISBLANK(G82),AVERAGE(H81,H83),(1+G82)*H78)),F82)</f>
        <v>142.13120000000001</v>
      </c>
      <c r="I82" s="72">
        <f t="shared" si="3"/>
        <v>2.4000000000000021E-2</v>
      </c>
      <c r="J82" s="202" t="s">
        <v>237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1:50">
      <c r="C83" s="49">
        <v>45930</v>
      </c>
      <c r="D83" s="8"/>
      <c r="E83" s="8"/>
      <c r="F83" s="212"/>
      <c r="G83" s="110"/>
      <c r="H83" s="117">
        <f>IF(F83="",IF(COUNT(G83:G$88)=0,"",IF(ISBLANK(G83),AVERAGE(H82,H84),(1+G83)*H79)),F83)</f>
        <v>143.34449999999998</v>
      </c>
      <c r="I83" s="72">
        <f t="shared" si="3"/>
        <v>3.0514018691588651E-2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>
      <c r="C84" s="49">
        <v>46022</v>
      </c>
      <c r="D84" s="8"/>
      <c r="E84" s="8"/>
      <c r="F84" s="212"/>
      <c r="G84" s="110">
        <v>3.6999999999999998E-2</v>
      </c>
      <c r="H84" s="117">
        <f>IF(F84="",IF(COUNT(G84:G$88)=0,"",IF(ISBLANK(G84),AVERAGE(H83,H85),(1+G84)*H80)),F84)</f>
        <v>144.55779999999999</v>
      </c>
      <c r="I84" s="72">
        <f t="shared" si="3"/>
        <v>3.6999999999999922E-2</v>
      </c>
      <c r="J84" s="202" t="s">
        <v>237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>
      <c r="C85" s="49">
        <v>46112</v>
      </c>
      <c r="D85" s="8"/>
      <c r="E85" s="8"/>
      <c r="F85" s="212"/>
      <c r="G85" s="110"/>
      <c r="H85" s="117">
        <f>IF(F85="",IF(COUNT(G85:G$88)=0,"",IF(ISBLANK(G85),AVERAGE(H84,H86),(1+G85)*H81)),F85)</f>
        <v>145.61859920000001</v>
      </c>
      <c r="I85" s="72">
        <f t="shared" ref="I85:I88" si="4">IF(H85="","",H85/H81-1)</f>
        <v>3.4475746915439531E-2</v>
      </c>
      <c r="J85" s="207"/>
      <c r="K85" s="8"/>
      <c r="L85" s="8"/>
      <c r="V85" s="81" t="str">
        <f>IF(C85&gt;EOMONTH(DATE('Input|General'!$G$12,MONTH('Input|General'!$G$9),1),0),"Ok",IF(I85="","Check","Ok"))</f>
        <v>Ok</v>
      </c>
    </row>
    <row r="86" spans="1:50">
      <c r="C86" s="49">
        <v>46203</v>
      </c>
      <c r="D86" s="8"/>
      <c r="E86" s="8"/>
      <c r="F86" s="212"/>
      <c r="G86" s="110">
        <v>3.2000000000000001E-2</v>
      </c>
      <c r="H86" s="117">
        <f>IF(F86="",IF(COUNT(G86:G$88)=0,"",IF(ISBLANK(G86),AVERAGE(H85,H87),(1+G86)*H82)),F86)</f>
        <v>146.67939840000003</v>
      </c>
      <c r="I86" s="72">
        <f t="shared" si="4"/>
        <v>3.2000000000000028E-2</v>
      </c>
      <c r="J86" s="202" t="s">
        <v>237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1:50">
      <c r="C87" s="49">
        <v>46295</v>
      </c>
      <c r="D87" s="8"/>
      <c r="E87" s="8"/>
      <c r="F87" s="212"/>
      <c r="G87" s="110"/>
      <c r="H87" s="117">
        <f>IF(F87="",IF(COUNT(G87:G$88)=0,"",IF(ISBLANK(G87),AVERAGE(H86,H88),(1+G87)*H83)),F87)</f>
        <v>147.64240840000002</v>
      </c>
      <c r="I87" s="72">
        <f t="shared" si="4"/>
        <v>2.9983071551402674E-2</v>
      </c>
      <c r="J87" s="207"/>
      <c r="K87" s="8"/>
      <c r="L87" s="8"/>
      <c r="V87" s="81" t="str">
        <f>IF(C87&gt;EOMONTH(DATE('Input|General'!$G$12,MONTH('Input|General'!$G$9),1),0),"Ok",IF(I87="","Check","Ok"))</f>
        <v>Ok</v>
      </c>
    </row>
    <row r="88" spans="1:50">
      <c r="C88" s="49">
        <v>46387</v>
      </c>
      <c r="D88" s="8"/>
      <c r="E88" s="8"/>
      <c r="F88" s="212"/>
      <c r="G88" s="110">
        <v>2.8000000000000001E-2</v>
      </c>
      <c r="H88" s="117">
        <f>IF(F88="",IF(COUNT(G88:G$88)=0,"",IF(ISBLANK(G88),AVERAGE(H87,H89),(1+G88)*H84)),F88)</f>
        <v>148.60541839999999</v>
      </c>
      <c r="I88" s="72">
        <f t="shared" si="4"/>
        <v>2.8000000000000025E-2</v>
      </c>
      <c r="J88" s="202" t="s">
        <v>237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1:50">
      <c r="F89" s="8"/>
      <c r="G89" s="8"/>
      <c r="H89" s="8"/>
      <c r="I89" s="8"/>
      <c r="J89" s="8"/>
      <c r="K89" s="8"/>
      <c r="L89" s="8"/>
      <c r="V89" s="82"/>
    </row>
    <row r="90" spans="1:50" customFormat="1" ht="12.75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idden="1">
      <c r="J91" s="20"/>
      <c r="K91" s="20"/>
    </row>
    <row r="92" spans="1:50" hidden="1">
      <c r="J92" s="20"/>
      <c r="K92" s="20"/>
    </row>
    <row r="93" spans="1:50" s="16" customFormat="1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G21:G88">
    <cfRule type="expression" dxfId="168" priority="1">
      <formula>F21=""</formula>
    </cfRule>
  </conditionalFormatting>
  <conditionalFormatting sqref="V1">
    <cfRule type="cellIs" dxfId="167" priority="6" operator="equal">
      <formula>"Check"</formula>
    </cfRule>
    <cfRule type="cellIs" dxfId="166" priority="7" operator="equal">
      <formula>"Ok"</formula>
    </cfRule>
  </conditionalFormatting>
  <conditionalFormatting sqref="V9:V88">
    <cfRule type="cellIs" dxfId="165" priority="12" operator="equal">
      <formula>"Check"</formula>
    </cfRule>
    <cfRule type="cellIs" dxfId="164" priority="13" operator="equal">
      <formula>"Ok"</formula>
    </cfRule>
  </conditionalFormatting>
  <conditionalFormatting sqref="Y1">
    <cfRule type="cellIs" dxfId="163" priority="8" operator="equal">
      <formula>"Check"</formula>
    </cfRule>
    <cfRule type="cellIs" dxfId="162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2" r:id="rId1" location="3-5-detailed-forecast-information" xr:uid="{07A703F0-6030-4BDE-BAA7-3376203F8268}"/>
    <hyperlink ref="J84" r:id="rId2" location="3-5-detailed-forecast-information" xr:uid="{E4CC7134-DB42-4B63-8C05-53D2784374F9}"/>
    <hyperlink ref="J86" r:id="rId3" location="3-5-detailed-forecast-information" xr:uid="{5EAC7D16-D52C-4961-B260-6E3576609C9C}"/>
    <hyperlink ref="J88" r:id="rId4" location="3-5-detailed-forecast-information" xr:uid="{3F0C1E83-08BF-43CE-B040-F1FAAEF014AD}"/>
  </hyperlinks>
  <pageMargins left="0.7" right="0.7" top="0.75" bottom="0.75" header="0.3" footer="0.3"/>
  <pageSetup paperSize="9" orientation="portrait" verticalDpi="4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workbookViewId="0">
      <selection activeCell="J1" sqref="J1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10" width="15" customWidth="1"/>
    <col min="11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4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75</v>
      </c>
      <c r="S1" s="29" t="str">
        <f>IF(COUNTA($V$8:$V$266)=COUNTIF($V$8:$V$245,"OK"),"OK","Check")</f>
        <v>OK</v>
      </c>
      <c r="T1" s="29"/>
      <c r="U1" s="205" t="s">
        <v>24</v>
      </c>
      <c r="V1" s="29" t="str">
        <f ca="1"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107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19"/>
      <c r="B8" s="38" t="s">
        <v>220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35"/>
    </row>
    <row r="9" spans="1:22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8"/>
    </row>
    <row r="10" spans="1:22">
      <c r="A10" s="123"/>
      <c r="B10" s="123"/>
      <c r="C10" s="126" t="s">
        <v>69</v>
      </c>
      <c r="D10" s="125" t="s">
        <v>7</v>
      </c>
      <c r="E10" s="125" t="s">
        <v>8</v>
      </c>
      <c r="F10" s="125" t="s">
        <v>22</v>
      </c>
      <c r="G10" s="125"/>
      <c r="H10" s="125"/>
      <c r="I10" s="124"/>
      <c r="J10" s="213">
        <f t="shared" ref="J10:S10" si="0">IF(YEAR(J$4)&lt;=PPLastYear,J$4,"")</f>
        <v>44348</v>
      </c>
      <c r="K10" s="213">
        <f t="shared" si="0"/>
        <v>44713</v>
      </c>
      <c r="L10" s="213">
        <f t="shared" si="0"/>
        <v>45078</v>
      </c>
      <c r="M10" s="213">
        <f t="shared" si="0"/>
        <v>45444</v>
      </c>
      <c r="N10" s="213">
        <f t="shared" si="0"/>
        <v>45809</v>
      </c>
      <c r="O10" s="127" t="str">
        <f t="shared" si="0"/>
        <v/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/>
      <c r="U10" s="128" t="s">
        <v>50</v>
      </c>
      <c r="V10" s="8"/>
    </row>
    <row r="11" spans="1:22">
      <c r="A11" s="123"/>
      <c r="B11" s="123"/>
      <c r="C11" s="129"/>
      <c r="D11" s="124"/>
      <c r="E11" s="124"/>
      <c r="F11" s="124"/>
      <c r="G11" s="125"/>
      <c r="H11" s="125"/>
      <c r="I11" s="124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23"/>
      <c r="V11" s="8"/>
    </row>
    <row r="12" spans="1:22">
      <c r="A12" s="123"/>
      <c r="B12" s="123"/>
      <c r="C12" s="129"/>
      <c r="D12" s="124"/>
      <c r="E12" s="124"/>
      <c r="F12" s="124"/>
      <c r="G12" s="125"/>
      <c r="H12" s="125"/>
      <c r="I12" s="124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23"/>
      <c r="V12" s="8"/>
    </row>
    <row r="13" spans="1:22">
      <c r="A13" s="123"/>
      <c r="B13" s="123"/>
      <c r="C13" s="131" t="s">
        <v>66</v>
      </c>
      <c r="D13" s="124" t="s">
        <v>62</v>
      </c>
      <c r="E13" s="124" t="str">
        <f>units</f>
        <v>$millions</v>
      </c>
      <c r="F13" s="132">
        <f>DATE(PPFirstYear-1,MONTH(month),1)</f>
        <v>43983</v>
      </c>
      <c r="G13" s="125"/>
      <c r="H13" s="125"/>
      <c r="I13" s="124"/>
      <c r="J13" s="133">
        <v>376.82956599545906</v>
      </c>
      <c r="K13" s="133">
        <v>371.57488468656942</v>
      </c>
      <c r="L13" s="133">
        <v>367.00423393846972</v>
      </c>
      <c r="M13" s="133">
        <v>394.36072984419843</v>
      </c>
      <c r="N13" s="133">
        <v>357.16838526561975</v>
      </c>
      <c r="O13" s="133"/>
      <c r="P13" s="133"/>
      <c r="Q13" s="133"/>
      <c r="R13" s="133"/>
      <c r="S13" s="133"/>
      <c r="T13" s="133"/>
      <c r="U13" s="123" t="s">
        <v>173</v>
      </c>
      <c r="V13" s="64" t="str">
        <f>IF(COUNT(J13:T13)=COUNT($J$10:$T$10),"Ok","Check")</f>
        <v>Ok</v>
      </c>
    </row>
    <row r="14" spans="1:22">
      <c r="A14" s="123"/>
      <c r="B14" s="123"/>
      <c r="C14" s="129"/>
      <c r="D14" s="124"/>
      <c r="E14" s="124"/>
      <c r="F14" s="124"/>
      <c r="G14" s="125"/>
      <c r="H14" s="125"/>
      <c r="I14" s="12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23"/>
      <c r="V14" s="8"/>
    </row>
    <row r="15" spans="1:22">
      <c r="A15" s="123"/>
      <c r="B15" s="123"/>
      <c r="C15" s="134" t="s">
        <v>66</v>
      </c>
      <c r="D15" s="135" t="str">
        <f>D13</f>
        <v>AER</v>
      </c>
      <c r="E15" s="136" t="str">
        <f>E13</f>
        <v>$millions</v>
      </c>
      <c r="F15" s="136">
        <f>$F$13</f>
        <v>43983</v>
      </c>
      <c r="G15" s="125"/>
      <c r="H15" s="125"/>
      <c r="I15" s="124"/>
      <c r="J15" s="137">
        <f>J13</f>
        <v>376.82956599545906</v>
      </c>
      <c r="K15" s="137">
        <f t="shared" ref="K15:S15" si="1">K13</f>
        <v>371.57488468656942</v>
      </c>
      <c r="L15" s="137">
        <f t="shared" si="1"/>
        <v>367.00423393846972</v>
      </c>
      <c r="M15" s="137">
        <f t="shared" si="1"/>
        <v>394.36072984419843</v>
      </c>
      <c r="N15" s="137">
        <f t="shared" si="1"/>
        <v>357.16838526561975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>
        <f t="shared" si="1"/>
        <v>0</v>
      </c>
      <c r="T15" s="137"/>
      <c r="U15" s="123"/>
      <c r="V15" s="8"/>
    </row>
    <row r="16" spans="1:22">
      <c r="A16" s="123"/>
      <c r="B16" s="123"/>
      <c r="C16" s="129"/>
      <c r="D16" s="124"/>
      <c r="E16" s="124"/>
      <c r="F16" s="124"/>
      <c r="G16" s="125"/>
      <c r="H16" s="125"/>
      <c r="I16" s="124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23"/>
      <c r="V16" s="8"/>
    </row>
    <row r="17" spans="1:22">
      <c r="A17" s="123"/>
      <c r="B17" s="123"/>
      <c r="C17" s="126" t="s">
        <v>221</v>
      </c>
      <c r="D17" s="124"/>
      <c r="E17" s="124"/>
      <c r="F17" s="124"/>
      <c r="G17" s="125"/>
      <c r="H17" s="125"/>
      <c r="I17" s="124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23"/>
      <c r="V17" s="8"/>
    </row>
    <row r="18" spans="1:22">
      <c r="A18" s="123"/>
      <c r="B18" s="123"/>
      <c r="C18" s="129"/>
      <c r="D18" s="124"/>
      <c r="E18" s="124"/>
      <c r="F18" s="124"/>
      <c r="G18" s="125"/>
      <c r="H18" s="125"/>
      <c r="I18" s="12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23"/>
      <c r="V18" s="8"/>
    </row>
    <row r="19" spans="1:22">
      <c r="A19" s="123"/>
      <c r="B19" s="123"/>
      <c r="C19" s="131" t="s">
        <v>39</v>
      </c>
      <c r="D19" s="124" t="s">
        <v>62</v>
      </c>
      <c r="E19" s="124" t="str">
        <f t="shared" ref="E19:E27" si="2">units</f>
        <v>$millions</v>
      </c>
      <c r="F19" s="138">
        <f>$F$13</f>
        <v>43983</v>
      </c>
      <c r="G19" s="125"/>
      <c r="H19" s="125"/>
      <c r="I19" s="124"/>
      <c r="J19" s="133">
        <v>5.6191699933410906</v>
      </c>
      <c r="K19" s="133">
        <v>5.6640097385034096</v>
      </c>
      <c r="L19" s="133">
        <v>5.7054343063697095</v>
      </c>
      <c r="M19" s="133">
        <v>5.7500601094115797</v>
      </c>
      <c r="N19" s="133">
        <v>5.7825189821237597</v>
      </c>
      <c r="O19" s="133"/>
      <c r="P19" s="133"/>
      <c r="Q19" s="133"/>
      <c r="R19" s="133"/>
      <c r="S19" s="133"/>
      <c r="T19" s="133"/>
      <c r="U19" s="123" t="s">
        <v>222</v>
      </c>
      <c r="V19" s="64" t="str">
        <f>IF(ISBLANK(C19),IF(COUNT(J19:T19)=0,"Ok","Check"),IF(COUNT(J19:T19)=COUNT(J$10:T$10),"Ok","Check"))</f>
        <v>Ok</v>
      </c>
    </row>
    <row r="20" spans="1:22">
      <c r="A20" s="123"/>
      <c r="B20" s="123"/>
      <c r="C20" s="131"/>
      <c r="D20" s="124" t="s">
        <v>62</v>
      </c>
      <c r="E20" s="124" t="str">
        <f t="shared" si="2"/>
        <v>$millions</v>
      </c>
      <c r="F20" s="138">
        <f t="shared" ref="F20:F29" si="3">$F$13</f>
        <v>43983</v>
      </c>
      <c r="G20" s="125"/>
      <c r="H20" s="125"/>
      <c r="I20" s="124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23"/>
      <c r="V20" s="64" t="str">
        <f>IF(ISBLANK(C20),IF(COUNT(J20:T20)=0,"Ok","Check"),IF(COUNT(J20:T20)=COUNT(J$10:T$10),"Ok","Check"))</f>
        <v>Ok</v>
      </c>
    </row>
    <row r="21" spans="1:22">
      <c r="A21" s="123"/>
      <c r="B21" s="123"/>
      <c r="C21" s="131"/>
      <c r="D21" s="124" t="s">
        <v>62</v>
      </c>
      <c r="E21" s="124" t="str">
        <f t="shared" si="2"/>
        <v>$millions</v>
      </c>
      <c r="F21" s="138">
        <f t="shared" si="3"/>
        <v>43983</v>
      </c>
      <c r="G21" s="125"/>
      <c r="H21" s="125"/>
      <c r="I21" s="12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3"/>
      <c r="V21" s="64" t="str">
        <f t="shared" ref="V21:V27" si="4">IF(ISBLANK(C21),IF(COUNT(J21:T21)=0,"Ok","Check"),IF(COUNT(J21:T21)=COUNT(J$10:T$10),"Ok","Check"))</f>
        <v>Ok</v>
      </c>
    </row>
    <row r="22" spans="1:22">
      <c r="A22" s="123"/>
      <c r="B22" s="123"/>
      <c r="C22" s="131"/>
      <c r="D22" s="124" t="s">
        <v>62</v>
      </c>
      <c r="E22" s="124" t="str">
        <f t="shared" si="2"/>
        <v>$millions</v>
      </c>
      <c r="F22" s="138">
        <f t="shared" si="3"/>
        <v>43983</v>
      </c>
      <c r="G22" s="125"/>
      <c r="H22" s="125"/>
      <c r="I22" s="12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23"/>
      <c r="V22" s="64" t="str">
        <f t="shared" si="4"/>
        <v>Ok</v>
      </c>
    </row>
    <row r="23" spans="1:22">
      <c r="A23" s="123"/>
      <c r="B23" s="123"/>
      <c r="C23" s="131"/>
      <c r="D23" s="124" t="s">
        <v>62</v>
      </c>
      <c r="E23" s="124" t="str">
        <f t="shared" si="2"/>
        <v>$millions</v>
      </c>
      <c r="F23" s="138">
        <f t="shared" si="3"/>
        <v>43983</v>
      </c>
      <c r="G23" s="125"/>
      <c r="H23" s="125"/>
      <c r="I23" s="12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23"/>
      <c r="V23" s="64" t="str">
        <f t="shared" si="4"/>
        <v>Ok</v>
      </c>
    </row>
    <row r="24" spans="1:22">
      <c r="A24" s="123"/>
      <c r="B24" s="123"/>
      <c r="C24" s="131"/>
      <c r="D24" s="124" t="s">
        <v>62</v>
      </c>
      <c r="E24" s="124" t="str">
        <f t="shared" si="2"/>
        <v>$millions</v>
      </c>
      <c r="F24" s="138">
        <f t="shared" si="3"/>
        <v>43983</v>
      </c>
      <c r="G24" s="125"/>
      <c r="H24" s="125"/>
      <c r="I24" s="12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23"/>
      <c r="V24" s="64" t="str">
        <f t="shared" si="4"/>
        <v>Ok</v>
      </c>
    </row>
    <row r="25" spans="1:22">
      <c r="A25" s="123"/>
      <c r="B25" s="123"/>
      <c r="C25" s="131"/>
      <c r="D25" s="124" t="s">
        <v>62</v>
      </c>
      <c r="E25" s="124" t="str">
        <f t="shared" si="2"/>
        <v>$millions</v>
      </c>
      <c r="F25" s="138">
        <f t="shared" si="3"/>
        <v>43983</v>
      </c>
      <c r="G25" s="125"/>
      <c r="H25" s="125"/>
      <c r="I25" s="12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23"/>
      <c r="V25" s="64" t="str">
        <f t="shared" si="4"/>
        <v>Ok</v>
      </c>
    </row>
    <row r="26" spans="1:22">
      <c r="A26" s="123"/>
      <c r="B26" s="123"/>
      <c r="C26" s="131"/>
      <c r="D26" s="124" t="s">
        <v>62</v>
      </c>
      <c r="E26" s="124" t="str">
        <f t="shared" si="2"/>
        <v>$millions</v>
      </c>
      <c r="F26" s="138">
        <f t="shared" si="3"/>
        <v>43983</v>
      </c>
      <c r="G26" s="125"/>
      <c r="H26" s="125"/>
      <c r="I26" s="12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23"/>
      <c r="V26" s="64" t="str">
        <f t="shared" si="4"/>
        <v>Ok</v>
      </c>
    </row>
    <row r="27" spans="1:22">
      <c r="A27" s="123"/>
      <c r="B27" s="123"/>
      <c r="C27" s="131"/>
      <c r="D27" s="124" t="s">
        <v>62</v>
      </c>
      <c r="E27" s="124" t="str">
        <f t="shared" si="2"/>
        <v>$millions</v>
      </c>
      <c r="F27" s="138">
        <f t="shared" si="3"/>
        <v>43983</v>
      </c>
      <c r="G27" s="125"/>
      <c r="H27" s="125"/>
      <c r="I27" s="12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23"/>
      <c r="V27" s="64" t="str">
        <f t="shared" si="4"/>
        <v>Ok</v>
      </c>
    </row>
    <row r="28" spans="1:22">
      <c r="A28" s="123"/>
      <c r="B28" s="123"/>
      <c r="C28" s="129"/>
      <c r="D28" s="124"/>
      <c r="E28" s="124"/>
      <c r="F28" s="124"/>
      <c r="G28" s="125"/>
      <c r="H28" s="125"/>
      <c r="I28" s="124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3"/>
      <c r="V28" s="8"/>
    </row>
    <row r="29" spans="1:22">
      <c r="A29" s="123"/>
      <c r="B29" s="123"/>
      <c r="C29" s="134" t="s">
        <v>143</v>
      </c>
      <c r="D29" s="135" t="s">
        <v>30</v>
      </c>
      <c r="E29" s="139" t="str">
        <f>units</f>
        <v>$millions</v>
      </c>
      <c r="F29" s="136">
        <f t="shared" si="3"/>
        <v>43983</v>
      </c>
      <c r="G29" s="125"/>
      <c r="H29" s="125"/>
      <c r="I29" s="124"/>
      <c r="J29" s="137">
        <f>SUM(J19:J27)</f>
        <v>5.6191699933410906</v>
      </c>
      <c r="K29" s="137">
        <f t="shared" ref="K29:S29" si="5">SUM(K19:K27)</f>
        <v>5.6640097385034096</v>
      </c>
      <c r="L29" s="137">
        <f t="shared" si="5"/>
        <v>5.7054343063697095</v>
      </c>
      <c r="M29" s="137">
        <f t="shared" si="5"/>
        <v>5.7500601094115797</v>
      </c>
      <c r="N29" s="137">
        <f t="shared" si="5"/>
        <v>5.7825189821237597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/>
      <c r="U29" s="123"/>
      <c r="V29" s="64"/>
    </row>
    <row r="30" spans="1:22">
      <c r="A30" s="123"/>
      <c r="B30" s="123"/>
      <c r="C30" s="123"/>
      <c r="D30" s="124"/>
      <c r="E30" s="124"/>
      <c r="F30" s="124"/>
      <c r="G30" s="125"/>
      <c r="H30" s="125"/>
      <c r="I30" s="12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"/>
    </row>
    <row r="31" spans="1:22" ht="12.75">
      <c r="A31" s="119"/>
      <c r="B31" s="38" t="s">
        <v>53</v>
      </c>
      <c r="C31" s="119"/>
      <c r="D31" s="119"/>
      <c r="E31" s="119"/>
      <c r="F31" s="120"/>
      <c r="G31" s="120"/>
      <c r="H31" s="120"/>
      <c r="I31" s="120"/>
      <c r="J31" s="121"/>
      <c r="K31" s="122"/>
      <c r="L31" s="121"/>
      <c r="M31" s="122"/>
      <c r="N31" s="121"/>
      <c r="O31" s="121"/>
      <c r="P31" s="121"/>
      <c r="Q31" s="121"/>
      <c r="R31" s="121"/>
      <c r="S31" s="121"/>
      <c r="T31" s="121"/>
      <c r="U31" s="121"/>
      <c r="V31" s="35"/>
    </row>
    <row r="32" spans="1:22">
      <c r="A32" s="123"/>
      <c r="B32" s="123"/>
      <c r="C32" s="123"/>
      <c r="D32" s="124"/>
      <c r="E32" s="124"/>
      <c r="F32" s="124"/>
      <c r="G32" s="124"/>
      <c r="H32" s="124"/>
      <c r="I32" s="12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"/>
    </row>
    <row r="33" spans="1:22">
      <c r="A33" s="123"/>
      <c r="B33" s="123"/>
      <c r="C33" s="123"/>
      <c r="D33" s="124"/>
      <c r="E33" s="124"/>
      <c r="F33" s="124"/>
      <c r="G33" s="124"/>
      <c r="H33" s="124"/>
      <c r="I33" s="124"/>
      <c r="J33" s="133" t="s">
        <v>23</v>
      </c>
      <c r="K33" s="133" t="s">
        <v>23</v>
      </c>
      <c r="L33" s="133" t="s">
        <v>23</v>
      </c>
      <c r="M33" s="133" t="s">
        <v>23</v>
      </c>
      <c r="N33" s="133" t="s">
        <v>67</v>
      </c>
      <c r="O33" s="133"/>
      <c r="P33" s="133"/>
      <c r="Q33" s="133"/>
      <c r="R33" s="133"/>
      <c r="S33" s="133"/>
      <c r="T33" s="133"/>
      <c r="U33" s="123"/>
      <c r="V33" s="8"/>
    </row>
    <row r="34" spans="1:22">
      <c r="A34" s="123"/>
      <c r="B34" s="123"/>
      <c r="C34" s="126" t="s">
        <v>69</v>
      </c>
      <c r="D34" s="125" t="s">
        <v>7</v>
      </c>
      <c r="E34" s="125" t="s">
        <v>8</v>
      </c>
      <c r="F34" s="125" t="s">
        <v>22</v>
      </c>
      <c r="G34" s="125"/>
      <c r="H34" s="125"/>
      <c r="I34" s="125"/>
      <c r="J34" s="127">
        <f t="shared" ref="J34:S34" si="6">IF(YEAR(J$4)&lt;=PPLastYear,J$4,"")</f>
        <v>44348</v>
      </c>
      <c r="K34" s="127">
        <f t="shared" si="6"/>
        <v>44713</v>
      </c>
      <c r="L34" s="127">
        <f t="shared" si="6"/>
        <v>45078</v>
      </c>
      <c r="M34" s="127">
        <f t="shared" si="6"/>
        <v>45444</v>
      </c>
      <c r="N34" s="127">
        <f t="shared" si="6"/>
        <v>45809</v>
      </c>
      <c r="O34" s="127" t="str">
        <f t="shared" si="6"/>
        <v/>
      </c>
      <c r="P34" s="127" t="str">
        <f t="shared" si="6"/>
        <v/>
      </c>
      <c r="Q34" s="127" t="str">
        <f t="shared" si="6"/>
        <v/>
      </c>
      <c r="R34" s="127" t="str">
        <f t="shared" si="6"/>
        <v/>
      </c>
      <c r="S34" s="127" t="str">
        <f t="shared" si="6"/>
        <v/>
      </c>
      <c r="T34" s="127"/>
      <c r="U34" s="128" t="s">
        <v>50</v>
      </c>
      <c r="V34" s="8"/>
    </row>
    <row r="35" spans="1:22">
      <c r="A35" s="123"/>
      <c r="B35" s="123"/>
      <c r="C35" s="129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8"/>
    </row>
    <row r="36" spans="1:22">
      <c r="A36" s="123"/>
      <c r="B36" s="123"/>
      <c r="C36" s="129"/>
      <c r="D36" s="124"/>
      <c r="E36" s="124"/>
      <c r="F36" s="124"/>
      <c r="G36" s="125"/>
      <c r="H36" s="125"/>
      <c r="I36" s="12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"/>
    </row>
    <row r="37" spans="1:22">
      <c r="A37" s="123"/>
      <c r="B37" s="123"/>
      <c r="C37" s="131" t="s">
        <v>66</v>
      </c>
      <c r="D37" s="124" t="s">
        <v>68</v>
      </c>
      <c r="E37" s="124" t="str">
        <f>units</f>
        <v>$millions</v>
      </c>
      <c r="F37" s="138" t="s">
        <v>93</v>
      </c>
      <c r="G37" s="125"/>
      <c r="H37" s="125"/>
      <c r="I37" s="124"/>
      <c r="J37" s="133">
        <v>370.17271499999998</v>
      </c>
      <c r="K37" s="133">
        <v>380.35368299999999</v>
      </c>
      <c r="L37" s="133">
        <v>446.406003</v>
      </c>
      <c r="M37" s="133">
        <v>585.02450599999997</v>
      </c>
      <c r="N37" s="133"/>
      <c r="O37" s="133"/>
      <c r="P37" s="133"/>
      <c r="Q37" s="133"/>
      <c r="R37" s="133"/>
      <c r="S37" s="133"/>
      <c r="T37" s="133"/>
      <c r="U37" s="123" t="s">
        <v>149</v>
      </c>
      <c r="V37" s="64" t="str">
        <f>IF(AND(COUNT(J37:T37)&gt;=COUNTIF($J$33:$T$33,"Actual"),COUNT(J37:T37)&lt;=COUNT($J$34:$T$34)),"Ok","Check")</f>
        <v>Ok</v>
      </c>
    </row>
    <row r="38" spans="1:22">
      <c r="A38" s="123"/>
      <c r="B38" s="123"/>
      <c r="C38" s="129"/>
      <c r="D38" s="124"/>
      <c r="E38" s="124"/>
      <c r="F38" s="138"/>
      <c r="G38" s="125"/>
      <c r="H38" s="125"/>
      <c r="I38" s="124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23"/>
      <c r="V38" s="8"/>
    </row>
    <row r="39" spans="1:22">
      <c r="A39" s="123"/>
      <c r="B39" s="123"/>
      <c r="C39" s="126" t="s">
        <v>157</v>
      </c>
      <c r="D39" s="124"/>
      <c r="E39" s="124"/>
      <c r="F39" s="138"/>
      <c r="G39" s="125"/>
      <c r="H39" s="125"/>
      <c r="I39" s="12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23"/>
      <c r="V39" s="8"/>
    </row>
    <row r="40" spans="1:22">
      <c r="A40" s="123"/>
      <c r="B40" s="123"/>
      <c r="C40" s="126"/>
      <c r="D40" s="124"/>
      <c r="E40" s="124"/>
      <c r="F40" s="138"/>
      <c r="G40" s="125"/>
      <c r="H40" s="125"/>
      <c r="I40" s="12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3"/>
      <c r="V40" s="8"/>
    </row>
    <row r="41" spans="1:22">
      <c r="A41" s="123"/>
      <c r="B41" s="123"/>
      <c r="C41" s="131" t="s">
        <v>153</v>
      </c>
      <c r="D41" s="124" t="s">
        <v>68</v>
      </c>
      <c r="E41" s="124" t="str">
        <f>units</f>
        <v>$millions</v>
      </c>
      <c r="F41" s="138" t="s">
        <v>93</v>
      </c>
      <c r="G41" s="125"/>
      <c r="H41" s="125"/>
      <c r="I41" s="124"/>
      <c r="J41" s="133">
        <v>1.304446</v>
      </c>
      <c r="K41" s="133">
        <v>4.3366540000000002</v>
      </c>
      <c r="L41" s="133">
        <v>6.8587350000000002</v>
      </c>
      <c r="M41" s="133">
        <v>18.753342</v>
      </c>
      <c r="N41" s="133"/>
      <c r="O41" s="133"/>
      <c r="P41" s="133"/>
      <c r="Q41" s="133"/>
      <c r="R41" s="133"/>
      <c r="S41" s="133"/>
      <c r="T41" s="133"/>
      <c r="U41" s="123" t="s">
        <v>156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3"/>
      <c r="B42" s="123"/>
      <c r="C42" s="131" t="s">
        <v>229</v>
      </c>
      <c r="D42" s="124" t="s">
        <v>68</v>
      </c>
      <c r="E42" s="124" t="str">
        <f>units</f>
        <v>$millions</v>
      </c>
      <c r="F42" s="138" t="s">
        <v>93</v>
      </c>
      <c r="G42" s="125"/>
      <c r="H42" s="125"/>
      <c r="I42" s="124"/>
      <c r="J42" s="133">
        <v>1.5745920200000001</v>
      </c>
      <c r="K42" s="133">
        <v>0.37887797000000001</v>
      </c>
      <c r="L42" s="133">
        <v>0.33393354999999997</v>
      </c>
      <c r="M42" s="133">
        <v>0.80121968999999993</v>
      </c>
      <c r="N42" s="133"/>
      <c r="O42" s="133"/>
      <c r="P42" s="133"/>
      <c r="Q42" s="133"/>
      <c r="R42" s="133"/>
      <c r="S42" s="133"/>
      <c r="T42" s="133"/>
      <c r="U42" s="123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3"/>
      <c r="B43" s="123"/>
      <c r="C43" s="131"/>
      <c r="D43" s="124" t="s">
        <v>68</v>
      </c>
      <c r="E43" s="124" t="str">
        <f>units</f>
        <v>$millions</v>
      </c>
      <c r="F43" s="138" t="s">
        <v>93</v>
      </c>
      <c r="G43" s="125"/>
      <c r="H43" s="125"/>
      <c r="I43" s="12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23"/>
      <c r="V43" s="64" t="str">
        <f t="shared" si="7"/>
        <v>Ok</v>
      </c>
    </row>
    <row r="44" spans="1:22">
      <c r="A44" s="123"/>
      <c r="B44" s="123"/>
      <c r="C44" s="131"/>
      <c r="D44" s="124" t="s">
        <v>68</v>
      </c>
      <c r="E44" s="124" t="str">
        <f>units</f>
        <v>$millions</v>
      </c>
      <c r="F44" s="138" t="s">
        <v>93</v>
      </c>
      <c r="G44" s="125"/>
      <c r="H44" s="125"/>
      <c r="I44" s="124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23"/>
      <c r="V44" s="64" t="str">
        <f t="shared" si="7"/>
        <v>Ok</v>
      </c>
    </row>
    <row r="45" spans="1:22">
      <c r="A45" s="123"/>
      <c r="B45" s="123"/>
      <c r="C45" s="131"/>
      <c r="D45" s="124" t="s">
        <v>68</v>
      </c>
      <c r="E45" s="124" t="str">
        <f>units</f>
        <v>$millions</v>
      </c>
      <c r="F45" s="138" t="s">
        <v>93</v>
      </c>
      <c r="G45" s="125"/>
      <c r="H45" s="125"/>
      <c r="I45" s="124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3"/>
      <c r="V45" s="64" t="str">
        <f t="shared" si="7"/>
        <v>Ok</v>
      </c>
    </row>
    <row r="46" spans="1:22">
      <c r="A46" s="123"/>
      <c r="B46" s="123"/>
      <c r="C46" s="129"/>
      <c r="D46" s="124"/>
      <c r="E46" s="124"/>
      <c r="F46" s="124"/>
      <c r="G46" s="125"/>
      <c r="H46" s="125"/>
      <c r="I46" s="124"/>
      <c r="J46" s="123"/>
      <c r="K46" s="123"/>
      <c r="L46" s="123"/>
      <c r="M46" s="123"/>
      <c r="N46" s="140"/>
      <c r="O46" s="140"/>
      <c r="P46" s="140"/>
      <c r="Q46" s="140"/>
      <c r="R46" s="140"/>
      <c r="S46" s="140"/>
      <c r="T46" s="140"/>
      <c r="U46" s="123"/>
      <c r="V46" s="8"/>
    </row>
    <row r="47" spans="1:22">
      <c r="A47" s="123"/>
      <c r="B47" s="123"/>
      <c r="C47" s="134" t="s">
        <v>154</v>
      </c>
      <c r="D47" s="135" t="s">
        <v>30</v>
      </c>
      <c r="E47" s="139" t="str">
        <f>units</f>
        <v>$millions</v>
      </c>
      <c r="F47" s="136" t="s">
        <v>93</v>
      </c>
      <c r="G47" s="125"/>
      <c r="H47" s="125"/>
      <c r="I47" s="124"/>
      <c r="J47" s="137">
        <f>J37-SUM(J41:J45)</f>
        <v>367.29367697999999</v>
      </c>
      <c r="K47" s="137">
        <f t="shared" ref="K47:S47" si="8">K37-SUM(K41:K45)</f>
        <v>375.63815103000002</v>
      </c>
      <c r="L47" s="137">
        <f t="shared" si="8"/>
        <v>439.21333444999999</v>
      </c>
      <c r="M47" s="137">
        <f t="shared" si="8"/>
        <v>565.46994430999996</v>
      </c>
      <c r="N47" s="137">
        <f t="shared" si="8"/>
        <v>0</v>
      </c>
      <c r="O47" s="137">
        <f t="shared" si="8"/>
        <v>0</v>
      </c>
      <c r="P47" s="137">
        <f t="shared" si="8"/>
        <v>0</v>
      </c>
      <c r="Q47" s="137">
        <f t="shared" si="8"/>
        <v>0</v>
      </c>
      <c r="R47" s="137">
        <f t="shared" si="8"/>
        <v>0</v>
      </c>
      <c r="S47" s="137">
        <f t="shared" si="8"/>
        <v>0</v>
      </c>
      <c r="T47" s="137"/>
      <c r="U47" s="123"/>
      <c r="V47" s="8"/>
    </row>
    <row r="48" spans="1:22">
      <c r="A48" s="123"/>
      <c r="B48" s="123"/>
      <c r="C48" s="123"/>
      <c r="D48" s="124"/>
      <c r="E48" s="124"/>
      <c r="F48" s="124"/>
      <c r="G48" s="124"/>
      <c r="H48" s="124"/>
      <c r="I48" s="12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8"/>
    </row>
    <row r="49" spans="1:22">
      <c r="A49" s="123"/>
      <c r="B49" s="123"/>
      <c r="C49" s="126" t="s">
        <v>101</v>
      </c>
      <c r="D49" s="124"/>
      <c r="E49" s="124"/>
      <c r="F49" s="124"/>
      <c r="G49" s="124"/>
      <c r="H49" s="124"/>
      <c r="I49" s="12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8"/>
    </row>
    <row r="50" spans="1:22">
      <c r="A50" s="123"/>
      <c r="B50" s="123"/>
      <c r="C50" s="123"/>
      <c r="D50" s="124"/>
      <c r="E50" s="124"/>
      <c r="F50" s="124"/>
      <c r="G50" s="124"/>
      <c r="H50" s="124"/>
      <c r="I50" s="124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8"/>
    </row>
    <row r="51" spans="1:22">
      <c r="A51" s="123"/>
      <c r="B51" s="123"/>
      <c r="C51" s="131" t="s">
        <v>39</v>
      </c>
      <c r="D51" s="124" t="s">
        <v>68</v>
      </c>
      <c r="E51" s="124" t="str">
        <f>units</f>
        <v>$millions</v>
      </c>
      <c r="F51" s="138" t="s">
        <v>93</v>
      </c>
      <c r="G51" s="125"/>
      <c r="H51" s="125"/>
      <c r="I51" s="124"/>
      <c r="J51" s="133">
        <v>2.147767</v>
      </c>
      <c r="K51" s="133">
        <v>2.2215060000000002</v>
      </c>
      <c r="L51" s="133">
        <v>6.9824539999999997</v>
      </c>
      <c r="M51" s="133">
        <v>7.63253</v>
      </c>
      <c r="N51" s="133"/>
      <c r="O51" s="133"/>
      <c r="P51" s="133"/>
      <c r="Q51" s="133"/>
      <c r="R51" s="133"/>
      <c r="S51" s="133"/>
      <c r="T51" s="133"/>
      <c r="U51" s="123" t="s">
        <v>152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3"/>
      <c r="B52" s="123"/>
      <c r="C52" s="131"/>
      <c r="D52" s="124" t="s">
        <v>68</v>
      </c>
      <c r="E52" s="124" t="str">
        <f>units</f>
        <v>$millions</v>
      </c>
      <c r="F52" s="138" t="s">
        <v>93</v>
      </c>
      <c r="G52" s="125"/>
      <c r="H52" s="125"/>
      <c r="I52" s="124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23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3"/>
      <c r="B53" s="123"/>
      <c r="C53" s="131"/>
      <c r="D53" s="124" t="s">
        <v>68</v>
      </c>
      <c r="E53" s="124" t="str">
        <f>units</f>
        <v>$millions</v>
      </c>
      <c r="F53" s="138" t="s">
        <v>93</v>
      </c>
      <c r="G53" s="125"/>
      <c r="H53" s="125"/>
      <c r="I53" s="124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23"/>
      <c r="V53" s="64" t="str">
        <f t="shared" si="9"/>
        <v>Ok</v>
      </c>
    </row>
    <row r="54" spans="1:22">
      <c r="A54" s="123"/>
      <c r="B54" s="123"/>
      <c r="C54" s="131"/>
      <c r="D54" s="124" t="s">
        <v>68</v>
      </c>
      <c r="E54" s="124" t="str">
        <f>units</f>
        <v>$millions</v>
      </c>
      <c r="F54" s="138" t="s">
        <v>93</v>
      </c>
      <c r="G54" s="125"/>
      <c r="H54" s="125"/>
      <c r="I54" s="124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23"/>
      <c r="V54" s="64" t="str">
        <f t="shared" si="9"/>
        <v>Ok</v>
      </c>
    </row>
    <row r="55" spans="1:22">
      <c r="A55" s="123"/>
      <c r="B55" s="123"/>
      <c r="C55" s="131"/>
      <c r="D55" s="124" t="s">
        <v>68</v>
      </c>
      <c r="E55" s="124" t="str">
        <f>units</f>
        <v>$millions</v>
      </c>
      <c r="F55" s="138" t="s">
        <v>93</v>
      </c>
      <c r="G55" s="125"/>
      <c r="H55" s="125"/>
      <c r="I55" s="12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23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3"/>
      <c r="B56" s="123"/>
      <c r="C56" s="129"/>
      <c r="D56" s="124"/>
      <c r="E56" s="124"/>
      <c r="F56" s="124"/>
      <c r="G56" s="125"/>
      <c r="H56" s="125"/>
      <c r="I56" s="124"/>
      <c r="J56" s="123"/>
      <c r="K56" s="123"/>
      <c r="L56" s="123"/>
      <c r="M56" s="123"/>
      <c r="N56" s="140"/>
      <c r="O56" s="140"/>
      <c r="P56" s="140"/>
      <c r="Q56" s="140"/>
      <c r="R56" s="140"/>
      <c r="S56" s="140"/>
      <c r="T56" s="140"/>
      <c r="U56" s="123"/>
      <c r="V56" s="8"/>
    </row>
    <row r="57" spans="1:22">
      <c r="A57" s="123"/>
      <c r="B57" s="123"/>
      <c r="C57" s="134" t="s">
        <v>143</v>
      </c>
      <c r="D57" s="135" t="s">
        <v>30</v>
      </c>
      <c r="E57" s="139" t="str">
        <f>units</f>
        <v>$millions</v>
      </c>
      <c r="F57" s="136" t="s">
        <v>93</v>
      </c>
      <c r="G57" s="125"/>
      <c r="H57" s="125"/>
      <c r="I57" s="124"/>
      <c r="J57" s="141">
        <f>SUM(J51:J55)</f>
        <v>2.147767</v>
      </c>
      <c r="K57" s="141">
        <f t="shared" ref="K57:S57" si="10">SUM(K51:K55)</f>
        <v>2.2215060000000002</v>
      </c>
      <c r="L57" s="141">
        <f>SUM(L51:L55)</f>
        <v>6.9824539999999997</v>
      </c>
      <c r="M57" s="141">
        <f t="shared" si="10"/>
        <v>7.63253</v>
      </c>
      <c r="N57" s="141">
        <f t="shared" si="10"/>
        <v>0</v>
      </c>
      <c r="O57" s="141">
        <f t="shared" si="10"/>
        <v>0</v>
      </c>
      <c r="P57" s="141">
        <f t="shared" si="10"/>
        <v>0</v>
      </c>
      <c r="Q57" s="141">
        <f t="shared" si="10"/>
        <v>0</v>
      </c>
      <c r="R57" s="141">
        <f t="shared" si="10"/>
        <v>0</v>
      </c>
      <c r="S57" s="141">
        <f t="shared" si="10"/>
        <v>0</v>
      </c>
      <c r="T57" s="141"/>
      <c r="U57" s="123"/>
      <c r="V57" s="64"/>
    </row>
    <row r="58" spans="1:22">
      <c r="A58" s="123"/>
      <c r="B58" s="123"/>
      <c r="C58" s="123"/>
      <c r="D58" s="124"/>
      <c r="E58" s="124"/>
      <c r="F58" s="124"/>
      <c r="G58" s="125"/>
      <c r="H58" s="125"/>
      <c r="I58" s="124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"/>
    </row>
    <row r="59" spans="1:22" ht="12.75">
      <c r="A59" s="119"/>
      <c r="B59" s="38" t="s">
        <v>102</v>
      </c>
      <c r="C59" s="119"/>
      <c r="D59" s="119"/>
      <c r="E59" s="119"/>
      <c r="F59" s="120"/>
      <c r="G59" s="120"/>
      <c r="H59" s="120"/>
      <c r="I59" s="120"/>
      <c r="J59" s="121"/>
      <c r="K59" s="122"/>
      <c r="L59" s="121"/>
      <c r="M59" s="122"/>
      <c r="N59" s="121"/>
      <c r="O59" s="121"/>
      <c r="P59" s="121"/>
      <c r="Q59" s="121"/>
      <c r="R59" s="121"/>
      <c r="S59" s="121"/>
      <c r="T59" s="121"/>
      <c r="U59" s="121"/>
      <c r="V59" s="35"/>
    </row>
    <row r="60" spans="1:22">
      <c r="A60" s="123"/>
      <c r="B60" s="123"/>
      <c r="C60" s="123"/>
      <c r="D60" s="124"/>
      <c r="E60" s="124"/>
      <c r="F60" s="124"/>
      <c r="G60" s="124"/>
      <c r="H60" s="124"/>
      <c r="I60" s="124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8"/>
    </row>
    <row r="61" spans="1:22">
      <c r="A61" s="123"/>
      <c r="B61" s="123"/>
      <c r="C61" s="126" t="s">
        <v>103</v>
      </c>
      <c r="D61" s="125" t="s">
        <v>7</v>
      </c>
      <c r="E61" s="125" t="s">
        <v>8</v>
      </c>
      <c r="F61" s="125" t="s">
        <v>22</v>
      </c>
      <c r="G61" s="125"/>
      <c r="H61" s="125"/>
      <c r="I61" s="125"/>
      <c r="J61" s="127" t="str">
        <f t="shared" ref="J61:S61" si="11">IF(YEAR(J$4)=PPLastYear,J$4,"")</f>
        <v/>
      </c>
      <c r="K61" s="127" t="str">
        <f t="shared" si="11"/>
        <v/>
      </c>
      <c r="L61" s="127" t="str">
        <f t="shared" si="11"/>
        <v/>
      </c>
      <c r="M61" s="127" t="str">
        <f t="shared" si="11"/>
        <v/>
      </c>
      <c r="N61" s="127">
        <f t="shared" si="11"/>
        <v>45809</v>
      </c>
      <c r="O61" s="127" t="str">
        <f t="shared" si="11"/>
        <v/>
      </c>
      <c r="P61" s="127" t="str">
        <f t="shared" si="11"/>
        <v/>
      </c>
      <c r="Q61" s="127" t="str">
        <f t="shared" si="11"/>
        <v/>
      </c>
      <c r="R61" s="127" t="str">
        <f t="shared" si="11"/>
        <v/>
      </c>
      <c r="S61" s="127" t="str">
        <f t="shared" si="11"/>
        <v/>
      </c>
      <c r="T61" s="127"/>
      <c r="U61" s="123"/>
      <c r="V61" s="8"/>
    </row>
    <row r="62" spans="1:22">
      <c r="A62" s="123"/>
      <c r="B62" s="123"/>
      <c r="C62" s="126"/>
      <c r="D62" s="125"/>
      <c r="E62" s="125"/>
      <c r="F62" s="125"/>
      <c r="G62" s="125"/>
      <c r="H62" s="125"/>
      <c r="I62" s="125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23"/>
      <c r="V62" s="8"/>
    </row>
    <row r="63" spans="1:22">
      <c r="A63" s="123"/>
      <c r="B63" s="123"/>
      <c r="C63" s="131" t="s">
        <v>230</v>
      </c>
      <c r="D63" s="124" t="s">
        <v>34</v>
      </c>
      <c r="E63" s="124" t="str">
        <f>units</f>
        <v>$millions</v>
      </c>
      <c r="F63" s="143">
        <v>45809</v>
      </c>
      <c r="G63" s="125"/>
      <c r="H63" s="125"/>
      <c r="I63" s="125"/>
      <c r="J63" s="133"/>
      <c r="K63" s="133"/>
      <c r="L63" s="133"/>
      <c r="M63" s="133"/>
      <c r="N63" s="133">
        <v>-6.6417590852900226</v>
      </c>
      <c r="O63" s="133"/>
      <c r="P63" s="133"/>
      <c r="Q63" s="133"/>
      <c r="R63" s="133"/>
      <c r="S63" s="133"/>
      <c r="T63" s="133"/>
      <c r="U63" s="123" t="s">
        <v>159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23"/>
      <c r="B64" s="123"/>
      <c r="C64" s="131" t="s">
        <v>231</v>
      </c>
      <c r="D64" s="124" t="s">
        <v>34</v>
      </c>
      <c r="E64" s="124" t="str">
        <f>units</f>
        <v>$millions</v>
      </c>
      <c r="F64" s="143">
        <v>45809</v>
      </c>
      <c r="G64" s="125"/>
      <c r="H64" s="125"/>
      <c r="I64" s="125"/>
      <c r="J64" s="133"/>
      <c r="K64" s="133"/>
      <c r="L64" s="133"/>
      <c r="M64" s="133"/>
      <c r="N64" s="133">
        <f>-2580054/10^6*'Input|Rate of change'!M31</f>
        <v>-2.824196897461742</v>
      </c>
      <c r="O64" s="133"/>
      <c r="P64" s="133"/>
      <c r="Q64" s="133"/>
      <c r="R64" s="133"/>
      <c r="S64" s="133"/>
      <c r="T64" s="133"/>
      <c r="U64" s="126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23"/>
      <c r="B65" s="123"/>
      <c r="C65" s="131"/>
      <c r="D65" s="124" t="s">
        <v>34</v>
      </c>
      <c r="E65" s="124" t="str">
        <f>units</f>
        <v>$millions</v>
      </c>
      <c r="F65" s="143">
        <f>DATE(PPLastYear,MONTH(month),1)</f>
        <v>45809</v>
      </c>
      <c r="G65" s="125"/>
      <c r="H65" s="125"/>
      <c r="I65" s="125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26"/>
      <c r="V65" s="64" t="str">
        <f t="shared" si="12"/>
        <v>Ok</v>
      </c>
    </row>
    <row r="66" spans="1:22">
      <c r="A66" s="123"/>
      <c r="B66" s="123"/>
      <c r="C66" s="131"/>
      <c r="D66" s="124" t="s">
        <v>34</v>
      </c>
      <c r="E66" s="124" t="str">
        <f>units</f>
        <v>$millions</v>
      </c>
      <c r="F66" s="143">
        <f>DATE(PPLastYear,MONTH(month),1)</f>
        <v>45809</v>
      </c>
      <c r="G66" s="125"/>
      <c r="H66" s="125"/>
      <c r="I66" s="125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26"/>
      <c r="V66" s="64" t="str">
        <f t="shared" si="12"/>
        <v>Ok</v>
      </c>
    </row>
    <row r="67" spans="1:22">
      <c r="A67" s="123"/>
      <c r="B67" s="123"/>
      <c r="C67" s="131"/>
      <c r="D67" s="124" t="s">
        <v>34</v>
      </c>
      <c r="E67" s="124" t="str">
        <f>units</f>
        <v>$millions</v>
      </c>
      <c r="F67" s="143">
        <f>DATE(PPLastYear,MONTH(month),1)</f>
        <v>45809</v>
      </c>
      <c r="G67" s="125"/>
      <c r="H67" s="125"/>
      <c r="I67" s="125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26"/>
      <c r="V67" s="64" t="str">
        <f t="shared" si="12"/>
        <v>Ok</v>
      </c>
    </row>
    <row r="68" spans="1:22">
      <c r="A68" s="123"/>
      <c r="B68" s="123"/>
      <c r="C68" s="144"/>
      <c r="D68" s="124"/>
      <c r="E68" s="124"/>
      <c r="F68" s="125"/>
      <c r="G68" s="125"/>
      <c r="H68" s="125"/>
      <c r="I68" s="12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26"/>
      <c r="V68" s="8"/>
    </row>
    <row r="69" spans="1:22">
      <c r="A69" s="123"/>
      <c r="B69" s="123"/>
      <c r="C69" s="146" t="s">
        <v>155</v>
      </c>
      <c r="D69" s="124" t="s">
        <v>34</v>
      </c>
      <c r="E69" s="124" t="str">
        <f>units</f>
        <v>$millions</v>
      </c>
      <c r="F69" s="143">
        <f>DATE(PPLastYear,MONTH(month),1)</f>
        <v>45809</v>
      </c>
      <c r="G69" s="125"/>
      <c r="H69" s="125"/>
      <c r="I69" s="125"/>
      <c r="J69" s="133"/>
      <c r="K69" s="133"/>
      <c r="L69" s="133"/>
      <c r="M69" s="133"/>
      <c r="N69" s="133">
        <v>0</v>
      </c>
      <c r="O69" s="133"/>
      <c r="P69" s="133"/>
      <c r="Q69" s="133"/>
      <c r="R69" s="133"/>
      <c r="S69" s="133"/>
      <c r="T69" s="133"/>
      <c r="U69" s="123" t="s">
        <v>216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23"/>
      <c r="B70" s="123"/>
      <c r="C70" s="146"/>
      <c r="D70" s="124"/>
      <c r="E70" s="124"/>
      <c r="F70" s="125"/>
      <c r="G70" s="125"/>
      <c r="H70" s="125"/>
      <c r="I70" s="12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26"/>
      <c r="V70" s="8"/>
    </row>
    <row r="71" spans="1:22">
      <c r="A71" s="123"/>
      <c r="B71" s="123"/>
      <c r="C71" s="146" t="s">
        <v>82</v>
      </c>
      <c r="D71" s="124" t="s">
        <v>34</v>
      </c>
      <c r="E71" s="124" t="s">
        <v>31</v>
      </c>
      <c r="F71" s="125"/>
      <c r="G71" s="125"/>
      <c r="H71" s="125"/>
      <c r="I71" s="125"/>
      <c r="J71" s="147"/>
      <c r="K71" s="147"/>
      <c r="L71" s="147"/>
      <c r="M71" s="147"/>
      <c r="N71" s="147">
        <v>0</v>
      </c>
      <c r="O71" s="147"/>
      <c r="P71" s="147"/>
      <c r="Q71" s="147"/>
      <c r="R71" s="147"/>
      <c r="S71" s="147"/>
      <c r="T71" s="147"/>
      <c r="U71" s="123" t="s">
        <v>215</v>
      </c>
      <c r="V71" s="64" t="str">
        <f t="shared" si="13"/>
        <v>Ok</v>
      </c>
    </row>
    <row r="72" spans="1:22">
      <c r="A72" s="123"/>
      <c r="B72" s="123"/>
      <c r="C72" s="129"/>
      <c r="D72" s="124"/>
      <c r="E72" s="124"/>
      <c r="F72" s="124"/>
      <c r="G72" s="125"/>
      <c r="H72" s="125"/>
      <c r="I72" s="124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"/>
    </row>
    <row r="73" spans="1:22" ht="12.75">
      <c r="A73" s="119"/>
      <c r="B73" s="38" t="s">
        <v>21</v>
      </c>
      <c r="C73" s="119"/>
      <c r="D73" s="119"/>
      <c r="E73" s="119"/>
      <c r="F73" s="120"/>
      <c r="G73" s="120"/>
      <c r="H73" s="120"/>
      <c r="I73" s="120"/>
      <c r="J73" s="121"/>
      <c r="K73" s="122"/>
      <c r="L73" s="121"/>
      <c r="M73" s="122"/>
      <c r="N73" s="121"/>
      <c r="O73" s="121"/>
      <c r="P73" s="121"/>
      <c r="Q73" s="121"/>
      <c r="R73" s="121"/>
      <c r="S73" s="121"/>
      <c r="T73" s="121"/>
      <c r="U73" s="121"/>
      <c r="V73" s="35"/>
    </row>
  </sheetData>
  <sheetProtection selectLockedCells="1"/>
  <conditionalFormatting sqref="J13:T13">
    <cfRule type="expression" dxfId="161" priority="31">
      <formula>J$10=J$4</formula>
    </cfRule>
  </conditionalFormatting>
  <conditionalFormatting sqref="J15:T15">
    <cfRule type="cellIs" dxfId="160" priority="34" operator="equal">
      <formula>0</formula>
    </cfRule>
  </conditionalFormatting>
  <conditionalFormatting sqref="J19:T27">
    <cfRule type="expression" dxfId="159" priority="26">
      <formula>J$10=J$4</formula>
    </cfRule>
  </conditionalFormatting>
  <conditionalFormatting sqref="J29:T29">
    <cfRule type="cellIs" dxfId="158" priority="27" operator="equal">
      <formula>0</formula>
    </cfRule>
  </conditionalFormatting>
  <conditionalFormatting sqref="J33:T33 N37:T37">
    <cfRule type="expression" dxfId="157" priority="32">
      <formula>J$34=J$4</formula>
    </cfRule>
  </conditionalFormatting>
  <conditionalFormatting sqref="J37:T37">
    <cfRule type="expression" dxfId="156" priority="30">
      <formula>J$10=J$4</formula>
    </cfRule>
  </conditionalFormatting>
  <conditionalFormatting sqref="J41:T45">
    <cfRule type="expression" dxfId="155" priority="24">
      <formula>J$34=J$4</formula>
    </cfRule>
  </conditionalFormatting>
  <conditionalFormatting sqref="J47:T47">
    <cfRule type="cellIs" dxfId="154" priority="29" operator="equal">
      <formula>0</formula>
    </cfRule>
  </conditionalFormatting>
  <conditionalFormatting sqref="J51:T55">
    <cfRule type="expression" dxfId="153" priority="21">
      <formula>J$34=J$4</formula>
    </cfRule>
  </conditionalFormatting>
  <conditionalFormatting sqref="J57:T57">
    <cfRule type="cellIs" dxfId="152" priority="33" operator="equal">
      <formula>0</formula>
    </cfRule>
  </conditionalFormatting>
  <conditionalFormatting sqref="J63:T67">
    <cfRule type="expression" dxfId="151" priority="28">
      <formula>J$61=J$4</formula>
    </cfRule>
  </conditionalFormatting>
  <conditionalFormatting sqref="J69:T69 J71:T71">
    <cfRule type="expression" dxfId="150" priority="63">
      <formula>J$61=J$4</formula>
    </cfRule>
  </conditionalFormatting>
  <conditionalFormatting sqref="S1:T1">
    <cfRule type="cellIs" dxfId="149" priority="52" operator="equal">
      <formula>"Ok"</formula>
    </cfRule>
    <cfRule type="cellIs" dxfId="148" priority="51" operator="equal">
      <formula>"Check"</formula>
    </cfRule>
  </conditionalFormatting>
  <conditionalFormatting sqref="V1">
    <cfRule type="cellIs" dxfId="147" priority="81" operator="equal">
      <formula>"Ok"</formula>
    </cfRule>
    <cfRule type="cellIs" dxfId="146" priority="80" operator="equal">
      <formula>"Check"</formula>
    </cfRule>
  </conditionalFormatting>
  <conditionalFormatting sqref="V13">
    <cfRule type="cellIs" dxfId="145" priority="19" operator="equal">
      <formula>"Check"</formula>
    </cfRule>
    <cfRule type="cellIs" dxfId="144" priority="20" operator="equal">
      <formula>"Ok"</formula>
    </cfRule>
  </conditionalFormatting>
  <conditionalFormatting sqref="V15">
    <cfRule type="cellIs" dxfId="143" priority="82" operator="equal">
      <formula>"Check"</formula>
    </cfRule>
    <cfRule type="cellIs" dxfId="142" priority="83" operator="equal">
      <formula>"Ok"</formula>
    </cfRule>
  </conditionalFormatting>
  <conditionalFormatting sqref="V19:V27">
    <cfRule type="cellIs" dxfId="141" priority="17" operator="equal">
      <formula>"Check"</formula>
    </cfRule>
    <cfRule type="cellIs" dxfId="140" priority="18" operator="equal">
      <formula>"Ok"</formula>
    </cfRule>
  </conditionalFormatting>
  <conditionalFormatting sqref="V29">
    <cfRule type="cellIs" dxfId="139" priority="60" operator="equal">
      <formula>"Ok"</formula>
    </cfRule>
    <cfRule type="cellIs" dxfId="138" priority="59" operator="equal">
      <formula>"Check"</formula>
    </cfRule>
  </conditionalFormatting>
  <conditionalFormatting sqref="V37">
    <cfRule type="cellIs" dxfId="137" priority="13" operator="equal">
      <formula>"Check"</formula>
    </cfRule>
    <cfRule type="cellIs" dxfId="136" priority="14" operator="equal">
      <formula>"Ok"</formula>
    </cfRule>
  </conditionalFormatting>
  <conditionalFormatting sqref="V41:V45">
    <cfRule type="cellIs" dxfId="135" priority="9" operator="equal">
      <formula>"Check"</formula>
    </cfRule>
    <cfRule type="cellIs" dxfId="134" priority="10" operator="equal">
      <formula>"Ok"</formula>
    </cfRule>
  </conditionalFormatting>
  <conditionalFormatting sqref="V47">
    <cfRule type="cellIs" dxfId="133" priority="67" operator="equal">
      <formula>"Ok"</formula>
    </cfRule>
    <cfRule type="cellIs" dxfId="132" priority="66" operator="equal">
      <formula>"Check"</formula>
    </cfRule>
  </conditionalFormatting>
  <conditionalFormatting sqref="V48:V50">
    <cfRule type="cellIs" dxfId="131" priority="74" operator="equal">
      <formula>"Check"</formula>
    </cfRule>
    <cfRule type="cellIs" dxfId="130" priority="75" operator="equal">
      <formula>"Ok"</formula>
    </cfRule>
  </conditionalFormatting>
  <conditionalFormatting sqref="V51:V55">
    <cfRule type="cellIs" dxfId="129" priority="8" operator="equal">
      <formula>"Ok"</formula>
    </cfRule>
    <cfRule type="cellIs" dxfId="128" priority="7" operator="equal">
      <formula>"Check"</formula>
    </cfRule>
  </conditionalFormatting>
  <conditionalFormatting sqref="V52:V55">
    <cfRule type="cellIs" dxfId="127" priority="86" operator="equal">
      <formula>"Check"</formula>
    </cfRule>
    <cfRule type="cellIs" dxfId="126" priority="87" operator="equal">
      <formula>"Ok"</formula>
    </cfRule>
  </conditionalFormatting>
  <conditionalFormatting sqref="V57">
    <cfRule type="cellIs" dxfId="125" priority="84" operator="equal">
      <formula>"Check"</formula>
    </cfRule>
    <cfRule type="cellIs" dxfId="124" priority="85" operator="equal">
      <formula>"Ok"</formula>
    </cfRule>
  </conditionalFormatting>
  <conditionalFormatting sqref="V63:V67">
    <cfRule type="cellIs" dxfId="123" priority="6" operator="equal">
      <formula>"Ok"</formula>
    </cfRule>
    <cfRule type="cellIs" dxfId="122" priority="5" operator="equal">
      <formula>"Check"</formula>
    </cfRule>
  </conditionalFormatting>
  <conditionalFormatting sqref="V69">
    <cfRule type="cellIs" dxfId="121" priority="4" operator="equal">
      <formula>"Ok"</formula>
    </cfRule>
    <cfRule type="cellIs" dxfId="120" priority="3" operator="equal">
      <formula>"Check"</formula>
    </cfRule>
  </conditionalFormatting>
  <conditionalFormatting sqref="V71">
    <cfRule type="cellIs" dxfId="119" priority="2" operator="equal">
      <formula>"Ok"</formula>
    </cfRule>
    <cfRule type="cellIs" dxfId="118" priority="1" operator="equal">
      <formula>"Check"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51:T55 J19:T27 J37:T37 J13:T13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zoomScaleNormal="100" workbookViewId="0">
      <selection activeCell="K1" sqref="K1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4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75</v>
      </c>
      <c r="T1" s="29" t="str">
        <f>IF(COUNTIF(X5:X118,"Check")=0,"Ok","Check")</f>
        <v>Ok</v>
      </c>
      <c r="U1" s="29"/>
      <c r="W1" s="205" t="s">
        <v>24</v>
      </c>
      <c r="X1" s="29" t="str">
        <f ca="1"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107</v>
      </c>
      <c r="K3" s="221"/>
      <c r="L3" s="221"/>
      <c r="M3" s="221"/>
      <c r="N3" s="105"/>
      <c r="O3" s="221"/>
      <c r="P3" s="221"/>
      <c r="Q3" s="221"/>
      <c r="R3" s="221"/>
      <c r="S3" s="221"/>
      <c r="T3" s="221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34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34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1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34" customFormat="1" ht="12.75">
      <c r="A8" s="119"/>
      <c r="B8" s="38" t="s">
        <v>35</v>
      </c>
      <c r="C8" s="119"/>
      <c r="D8" s="119"/>
      <c r="E8" s="119"/>
      <c r="F8" s="120"/>
      <c r="G8" s="120"/>
      <c r="H8" s="120"/>
      <c r="I8" s="120"/>
      <c r="J8" s="120"/>
      <c r="K8" s="121"/>
      <c r="L8" s="122"/>
      <c r="M8" s="121"/>
      <c r="N8" s="122"/>
      <c r="O8" s="121"/>
      <c r="P8" s="121"/>
      <c r="Q8" s="121"/>
      <c r="R8" s="121"/>
      <c r="S8" s="121"/>
      <c r="T8" s="121"/>
      <c r="U8" s="121"/>
      <c r="V8" s="121"/>
      <c r="W8" s="121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3"/>
      <c r="B9" s="123"/>
      <c r="C9" s="123"/>
      <c r="D9" s="124"/>
      <c r="E9" s="124"/>
      <c r="F9" s="124"/>
      <c r="G9" s="124"/>
      <c r="H9" s="124"/>
      <c r="I9" s="124"/>
      <c r="J9" s="12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34" ht="11.25" customHeight="1" outlineLevel="1">
      <c r="A10" s="123"/>
      <c r="B10" s="123"/>
      <c r="C10" s="126" t="s">
        <v>33</v>
      </c>
      <c r="D10" s="124"/>
      <c r="E10" s="124"/>
      <c r="F10" s="124"/>
      <c r="G10" s="124"/>
      <c r="H10" s="124"/>
      <c r="I10" s="124"/>
      <c r="J10" s="127">
        <f t="shared" ref="J10:T10" si="0">IF(YEAR(J$4)&lt;=PPLastYear,J$4,"")</f>
        <v>43983</v>
      </c>
      <c r="K10" s="127">
        <f t="shared" si="0"/>
        <v>44348</v>
      </c>
      <c r="L10" s="127">
        <f t="shared" si="0"/>
        <v>44713</v>
      </c>
      <c r="M10" s="127">
        <f t="shared" si="0"/>
        <v>45078</v>
      </c>
      <c r="N10" s="127">
        <f t="shared" si="0"/>
        <v>45444</v>
      </c>
      <c r="O10" s="127">
        <f t="shared" si="0"/>
        <v>45809</v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 t="str">
        <f t="shared" si="0"/>
        <v/>
      </c>
      <c r="U10" s="142"/>
      <c r="V10" s="123"/>
      <c r="W10" s="123"/>
    </row>
    <row r="11" spans="1:34" ht="11.25" customHeight="1" outlineLevel="1">
      <c r="A11" s="123"/>
      <c r="B11" s="123"/>
      <c r="C11" s="126"/>
      <c r="D11" s="124"/>
      <c r="E11" s="124"/>
      <c r="F11" s="124"/>
      <c r="G11" s="124"/>
      <c r="H11" s="124"/>
      <c r="I11" s="124"/>
      <c r="J11" s="123"/>
      <c r="K11" s="123"/>
      <c r="L11" s="123"/>
      <c r="M11" s="123"/>
      <c r="N11" s="123"/>
      <c r="O11" s="123"/>
      <c r="P11" s="152"/>
      <c r="Q11" s="152"/>
      <c r="R11" s="152"/>
      <c r="S11" s="152"/>
      <c r="T11" s="152"/>
      <c r="U11" s="152"/>
      <c r="V11" s="153"/>
      <c r="W11" s="153"/>
      <c r="X11" s="14"/>
    </row>
    <row r="12" spans="1:34" ht="11.25" customHeight="1" outlineLevel="1">
      <c r="A12" s="123"/>
      <c r="B12" s="123"/>
      <c r="C12" s="129" t="s">
        <v>33</v>
      </c>
      <c r="D12" s="154" t="s">
        <v>91</v>
      </c>
      <c r="E12" s="124" t="str">
        <f>percent</f>
        <v>Per cent</v>
      </c>
      <c r="F12" s="124"/>
      <c r="G12" s="124"/>
      <c r="H12" s="124"/>
      <c r="I12" s="124"/>
      <c r="J12" s="152">
        <f>IF(J10=J4,LOOKUP(EOMONTH(J4,0),'Input|Inflation'!$C$9:$C$84,'Input|Inflation'!$I$9:$I$84),"")</f>
        <v>-3.4843205574912606E-3</v>
      </c>
      <c r="K12" s="152">
        <f>IF(K10=K4,LOOKUP(EOMONTH(K4,0),'Input|Inflation'!$C$9:$C$84,'Input|Inflation'!$I$9:$I$84),"")</f>
        <v>3.8461538461538325E-2</v>
      </c>
      <c r="L12" s="152">
        <f>IF(L10=L4,LOOKUP(EOMONTH(L4,0),'Input|Inflation'!$C$9:$C$84,'Input|Inflation'!$I$9:$I$84),"")</f>
        <v>6.1447811447811418E-2</v>
      </c>
      <c r="M12" s="152">
        <f>IF(M10=M4,LOOKUP(EOMONTH(M4,0),'Input|Inflation'!$C$9:$C$84,'Input|Inflation'!$I$9:$I$84),"")</f>
        <v>6.0269627279936566E-2</v>
      </c>
      <c r="N12" s="152">
        <f>IF(N10=N4,LOOKUP(EOMONTH(N4,0),'Input|Inflation'!$C$9:$C$84,'Input|Inflation'!$I$9:$I$84),"")</f>
        <v>3.8145100972326373E-2</v>
      </c>
      <c r="O12" s="152">
        <f>IF(O10=O4,LOOKUP(EOMONTH(O4,0),'Input|Inflation'!$C$9:$C$84,'Input|Inflation'!$I$9:$I$84),"")</f>
        <v>2.4000000000000021E-2</v>
      </c>
      <c r="P12" s="152" t="str">
        <f>IF(P10=P4,LOOKUP(EOMONTH(P4,0),'Input|Inflation'!$C$9:$C$84,'Input|Inflation'!$I$9:$I$84),"")</f>
        <v/>
      </c>
      <c r="Q12" s="152" t="str">
        <f>IF(Q10=Q4,LOOKUP(EOMONTH(Q4,0),'Input|Inflation'!$C$9:$C$84,'Input|Inflation'!$I$9:$I$84),"")</f>
        <v/>
      </c>
      <c r="R12" s="152" t="str">
        <f>IF(R10=R4,LOOKUP(EOMONTH(R4,0),'Input|Inflation'!$C$9:$C$84,'Input|Inflation'!$I$9:$I$84),"")</f>
        <v/>
      </c>
      <c r="S12" s="152" t="str">
        <f>IF(S10=S4,LOOKUP(EOMONTH(S4,0),'Input|Inflation'!$C$9:$C$84,'Input|Inflation'!$I$9:$I$84),"")</f>
        <v/>
      </c>
      <c r="T12" s="152" t="str">
        <f>IF(T10=T4,LOOKUP(EOMONTH(T4,0),'Input|Inflation'!$C$9:$C$84,'Input|Inflation'!$I$9:$I$84),"")</f>
        <v/>
      </c>
      <c r="U12" s="152"/>
      <c r="V12" s="155"/>
      <c r="W12" s="123"/>
    </row>
    <row r="13" spans="1:34" ht="11.25" customHeight="1" outlineLevel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34" ht="11.25" customHeight="1" outlineLevel="1">
      <c r="A14" s="123"/>
      <c r="B14" s="123"/>
      <c r="C14" s="126" t="s">
        <v>92</v>
      </c>
      <c r="D14" s="124"/>
      <c r="E14" s="124"/>
      <c r="F14" s="124"/>
      <c r="G14" s="124"/>
      <c r="H14" s="124"/>
      <c r="I14" s="123"/>
      <c r="J14" s="127">
        <f t="shared" ref="J14:T14" si="1">IF(YEAR(J$4)&lt;=PPLastYear,J$4,"")</f>
        <v>43983</v>
      </c>
      <c r="K14" s="127">
        <f t="shared" si="1"/>
        <v>44348</v>
      </c>
      <c r="L14" s="127">
        <f t="shared" si="1"/>
        <v>44713</v>
      </c>
      <c r="M14" s="127">
        <f t="shared" si="1"/>
        <v>45078</v>
      </c>
      <c r="N14" s="127">
        <f t="shared" si="1"/>
        <v>45444</v>
      </c>
      <c r="O14" s="127">
        <f t="shared" si="1"/>
        <v>45809</v>
      </c>
      <c r="P14" s="127" t="str">
        <f t="shared" si="1"/>
        <v/>
      </c>
      <c r="Q14" s="127" t="str">
        <f t="shared" si="1"/>
        <v/>
      </c>
      <c r="R14" s="127" t="str">
        <f t="shared" si="1"/>
        <v/>
      </c>
      <c r="S14" s="127" t="str">
        <f t="shared" si="1"/>
        <v/>
      </c>
      <c r="T14" s="127" t="str">
        <f t="shared" si="1"/>
        <v/>
      </c>
      <c r="U14" s="142"/>
      <c r="V14" s="123"/>
      <c r="W14" s="123"/>
    </row>
    <row r="15" spans="1:34" ht="11.25" customHeight="1" outlineLevel="1">
      <c r="A15" s="123"/>
      <c r="B15" s="123"/>
      <c r="C15" s="126"/>
      <c r="D15" s="124"/>
      <c r="E15" s="124"/>
      <c r="F15" s="124"/>
      <c r="G15" s="124"/>
      <c r="H15" s="124"/>
      <c r="I15" s="123"/>
      <c r="J15" s="153"/>
      <c r="K15" s="153"/>
      <c r="L15" s="153"/>
      <c r="M15" s="153"/>
      <c r="N15" s="153"/>
      <c r="O15" s="153"/>
      <c r="P15" s="156"/>
      <c r="Q15" s="156"/>
      <c r="R15" s="156"/>
      <c r="S15" s="156"/>
      <c r="T15" s="156"/>
      <c r="U15" s="156"/>
      <c r="V15" s="123"/>
      <c r="W15" s="123"/>
    </row>
    <row r="16" spans="1:34" ht="11.25" customHeight="1" outlineLevel="1">
      <c r="A16" s="123"/>
      <c r="B16" s="123"/>
      <c r="C16" s="157">
        <f t="array" ref="C16:C22">TRANSPOSE(J10:P10)</f>
        <v>43983</v>
      </c>
      <c r="D16" s="154" t="str">
        <f t="shared" ref="D16:D20" si="2">IF(ISNONTEXT($C16),"calculated","")</f>
        <v>calculated</v>
      </c>
      <c r="E16" s="124" t="str">
        <f>IF(ISNONTEXT($C16),"index","")</f>
        <v>index</v>
      </c>
      <c r="F16" s="124"/>
      <c r="G16" s="124"/>
      <c r="H16" s="124"/>
      <c r="I16" s="124"/>
      <c r="J16" s="158">
        <f t="shared" ref="J16:N16" si="3">IF(AND($C16&gt;J$14,ISNONTEXT($C16)),K16/(1+K$12),IF(AND($C16=J$14,J$14=J$4),1,IF(AND($C16&lt;J$14,J$14=J$4),I16*(1+J$12),0)))</f>
        <v>1</v>
      </c>
      <c r="K16" s="158">
        <f t="shared" si="3"/>
        <v>1.0384615384615383</v>
      </c>
      <c r="L16" s="158">
        <f t="shared" si="3"/>
        <v>1.1022727272727271</v>
      </c>
      <c r="M16" s="158">
        <f t="shared" si="3"/>
        <v>1.1687062937062935</v>
      </c>
      <c r="N16" s="158">
        <f t="shared" si="3"/>
        <v>1.2132867132867133</v>
      </c>
      <c r="O16" s="158">
        <f t="shared" ref="O16:P16" si="4">IF(AND($C16&gt;O$14,ISNONTEXT($C16)),P16/(1+O$12),IF(AND($C16=O$14,O$14=O$4),1,IF(AND($C16&lt;O$14,O$14=O$4),N16*(1+O$12),0)))</f>
        <v>1.2424055944055945</v>
      </c>
      <c r="P16" s="158">
        <f t="shared" si="4"/>
        <v>0</v>
      </c>
      <c r="Q16" s="159"/>
      <c r="R16" s="159"/>
      <c r="S16" s="159"/>
      <c r="T16" s="159"/>
      <c r="U16" s="159"/>
      <c r="V16" s="123"/>
      <c r="W16" s="123"/>
    </row>
    <row r="17" spans="1:23" ht="11.25" customHeight="1" outlineLevel="1">
      <c r="A17" s="123"/>
      <c r="B17" s="123"/>
      <c r="C17" s="157">
        <v>44348</v>
      </c>
      <c r="D17" s="154" t="str">
        <f t="shared" si="2"/>
        <v>calculated</v>
      </c>
      <c r="E17" s="124" t="str">
        <f t="shared" ref="E17:E22" si="5">IF(ISNONTEXT($C17),"index","")</f>
        <v>index</v>
      </c>
      <c r="F17" s="124"/>
      <c r="G17" s="124"/>
      <c r="H17" s="124"/>
      <c r="I17" s="158"/>
      <c r="J17" s="158">
        <f t="shared" ref="J17:N17" si="6">IF(AND($C17&gt;J$14,ISNONTEXT($C17)),K17/(1+K$12),IF(AND($C17=J$14,J$14=J$4),1,IF(AND($C17&lt;J$14,J$14=J$4),I17*(1+J$12),0)))</f>
        <v>0.96296296296296313</v>
      </c>
      <c r="K17" s="158">
        <f t="shared" si="6"/>
        <v>1</v>
      </c>
      <c r="L17" s="158">
        <f t="shared" si="6"/>
        <v>1.0614478114478114</v>
      </c>
      <c r="M17" s="158">
        <f t="shared" si="6"/>
        <v>1.1254208754208754</v>
      </c>
      <c r="N17" s="158">
        <f t="shared" si="6"/>
        <v>1.1683501683501687</v>
      </c>
      <c r="O17" s="158">
        <f t="shared" ref="O17:P17" si="7">IF(AND($C17&gt;O$14,ISNONTEXT($C17)),P17/(1+O$12),IF(AND($C17=O$14,O$14=O$4),1,IF(AND($C17&lt;O$14,O$14=O$4),N17*(1+O$12),0)))</f>
        <v>1.1963905723905728</v>
      </c>
      <c r="P17" s="158">
        <f t="shared" si="7"/>
        <v>0</v>
      </c>
      <c r="Q17" s="159"/>
      <c r="R17" s="159"/>
      <c r="S17" s="159"/>
      <c r="T17" s="159"/>
      <c r="U17" s="159"/>
      <c r="V17" s="123"/>
      <c r="W17" s="123"/>
    </row>
    <row r="18" spans="1:23" ht="11.25" customHeight="1" outlineLevel="1">
      <c r="A18" s="123"/>
      <c r="B18" s="123"/>
      <c r="C18" s="157">
        <v>44713</v>
      </c>
      <c r="D18" s="154" t="str">
        <f t="shared" si="2"/>
        <v>calculated</v>
      </c>
      <c r="E18" s="124" t="str">
        <f t="shared" si="5"/>
        <v>index</v>
      </c>
      <c r="F18" s="124"/>
      <c r="G18" s="124"/>
      <c r="H18" s="124"/>
      <c r="I18" s="158"/>
      <c r="J18" s="158">
        <f t="shared" ref="J18:N18" si="8">IF(AND($C18&gt;J$14,ISNONTEXT($C18)),K18/(1+K$12),IF(AND($C18=J$14,J$14=J$4),1,IF(AND($C18&lt;J$14,J$14=J$4),I18*(1+J$12),0)))</f>
        <v>0.90721649484536093</v>
      </c>
      <c r="K18" s="158">
        <f t="shared" si="8"/>
        <v>0.94210943695479776</v>
      </c>
      <c r="L18" s="158">
        <f t="shared" si="8"/>
        <v>1</v>
      </c>
      <c r="M18" s="158">
        <f t="shared" si="8"/>
        <v>1.0602696272799366</v>
      </c>
      <c r="N18" s="158">
        <f t="shared" si="8"/>
        <v>1.1007137192704206</v>
      </c>
      <c r="O18" s="158">
        <f t="shared" ref="O18:P18" si="9">IF(AND($C18&gt;O$14,ISNONTEXT($C18)),P18/(1+O$12),IF(AND($C18=O$14,O$14=O$4),1,IF(AND($C18&lt;O$14,O$14=O$4),N18*(1+O$12),0)))</f>
        <v>1.1271308485329108</v>
      </c>
      <c r="P18" s="158">
        <f t="shared" si="9"/>
        <v>0</v>
      </c>
      <c r="Q18" s="159"/>
      <c r="R18" s="159"/>
      <c r="S18" s="159"/>
      <c r="T18" s="159"/>
      <c r="U18" s="159"/>
      <c r="V18" s="123"/>
      <c r="W18" s="123"/>
    </row>
    <row r="19" spans="1:23" ht="11.25" customHeight="1" outlineLevel="1">
      <c r="A19" s="123"/>
      <c r="B19" s="123"/>
      <c r="C19" s="157">
        <v>45078</v>
      </c>
      <c r="D19" s="154" t="str">
        <f t="shared" si="2"/>
        <v>calculated</v>
      </c>
      <c r="E19" s="124" t="str">
        <f t="shared" si="5"/>
        <v>index</v>
      </c>
      <c r="F19" s="124"/>
      <c r="G19" s="124"/>
      <c r="H19" s="124"/>
      <c r="I19" s="158"/>
      <c r="J19" s="158">
        <f t="shared" ref="J19:N19" si="10">IF(AND($C19&gt;J$14,ISNONTEXT($C19)),K19/(1+K$12),IF(AND($C19=J$14,J$14=J$4),1,IF(AND($C19&lt;J$14,J$14=J$4),I19*(1+J$12),0)))</f>
        <v>0.85564697083021701</v>
      </c>
      <c r="K19" s="158">
        <f t="shared" si="10"/>
        <v>0.88855646970830215</v>
      </c>
      <c r="L19" s="158">
        <f t="shared" si="10"/>
        <v>0.94315632011967088</v>
      </c>
      <c r="M19" s="158">
        <f t="shared" si="10"/>
        <v>1</v>
      </c>
      <c r="N19" s="158">
        <f t="shared" si="10"/>
        <v>1.0381451009723264</v>
      </c>
      <c r="O19" s="158">
        <f t="shared" ref="O19:P19" si="11">IF(AND($C19&gt;O$14,ISNONTEXT($C19)),P19/(1+O$12),IF(AND($C19=O$14,O$14=O$4),1,IF(AND($C19&lt;O$14,O$14=O$4),N19*(1+O$12),0)))</f>
        <v>1.0630605833956621</v>
      </c>
      <c r="P19" s="158">
        <f t="shared" si="11"/>
        <v>0</v>
      </c>
      <c r="Q19" s="159"/>
      <c r="R19" s="159"/>
      <c r="S19" s="159"/>
      <c r="T19" s="159"/>
      <c r="U19" s="159"/>
      <c r="V19" s="123"/>
      <c r="W19" s="123"/>
    </row>
    <row r="20" spans="1:23" ht="11.25" customHeight="1" outlineLevel="1">
      <c r="A20" s="123"/>
      <c r="B20" s="123"/>
      <c r="C20" s="157">
        <v>45444</v>
      </c>
      <c r="D20" s="154" t="str">
        <f t="shared" si="2"/>
        <v>calculated</v>
      </c>
      <c r="E20" s="124" t="str">
        <f t="shared" si="5"/>
        <v>index</v>
      </c>
      <c r="F20" s="124"/>
      <c r="G20" s="124"/>
      <c r="H20" s="124"/>
      <c r="I20" s="158"/>
      <c r="J20" s="158">
        <f>IF(AND($C20&gt;J$14,ISNONTEXT($C20)),K20/(1+K$12),IF(AND($C20=J$14,J$14=J$4),1,IF(AND($C20&lt;J$14,J$14=J$4),I20*(1+J$12),0)))</f>
        <v>0.82420749279538896</v>
      </c>
      <c r="K20" s="158">
        <f t="shared" ref="K20:N21" si="12">IF(AND($C20&gt;K$14,ISNONTEXT($C20)),L20/(1+L$12),IF(AND($C20=K$14,K$14=K$4),1,IF(AND($C20&lt;K$14,K$14=K$4),J20*(1+K$12),0)))</f>
        <v>0.85590778097982689</v>
      </c>
      <c r="L20" s="158">
        <f t="shared" si="12"/>
        <v>0.90850144092218998</v>
      </c>
      <c r="M20" s="158">
        <f t="shared" si="12"/>
        <v>0.96325648414985565</v>
      </c>
      <c r="N20" s="158">
        <f t="shared" si="12"/>
        <v>1</v>
      </c>
      <c r="O20" s="158">
        <f t="shared" ref="O20:P21" si="13">IF(AND($C20&gt;O$14,ISNONTEXT($C20)),P20/(1+O$12),IF(AND($C20=O$14,O$14=O$4),1,IF(AND($C20&lt;O$14,O$14=O$4),N20*(1+O$12),0)))</f>
        <v>1.024</v>
      </c>
      <c r="P20" s="158">
        <f t="shared" si="13"/>
        <v>0</v>
      </c>
      <c r="Q20" s="159"/>
      <c r="R20" s="159"/>
      <c r="S20" s="159"/>
      <c r="T20" s="159"/>
      <c r="U20" s="159"/>
      <c r="V20" s="123"/>
      <c r="W20" s="123"/>
    </row>
    <row r="21" spans="1:23" ht="11.25" customHeight="1" outlineLevel="1">
      <c r="A21" s="123"/>
      <c r="B21" s="123"/>
      <c r="C21" s="157">
        <v>45809</v>
      </c>
      <c r="D21" s="154" t="str">
        <f>IF(ISNONTEXT($C21),"calculated","")</f>
        <v>calculated</v>
      </c>
      <c r="E21" s="124" t="str">
        <f t="shared" si="5"/>
        <v>index</v>
      </c>
      <c r="F21" s="124"/>
      <c r="G21" s="124"/>
      <c r="H21" s="124"/>
      <c r="I21" s="158"/>
      <c r="J21" s="158">
        <f>IF(AND($C21&gt;J$14,ISNONTEXT($C21)),K21/(1+K$12),IF(AND($C21=J$14,J$14=J$4),1,IF(AND($C21&lt;J$14,J$14=J$4),I21*(1+J$12),0)))</f>
        <v>0.804890129682997</v>
      </c>
      <c r="K21" s="158">
        <f t="shared" si="12"/>
        <v>0.83584744236311215</v>
      </c>
      <c r="L21" s="158">
        <f t="shared" si="12"/>
        <v>0.88720843840057606</v>
      </c>
      <c r="M21" s="158">
        <f t="shared" si="12"/>
        <v>0.94068016030259338</v>
      </c>
      <c r="N21" s="158">
        <f t="shared" si="12"/>
        <v>0.9765625</v>
      </c>
      <c r="O21" s="158">
        <f t="shared" si="13"/>
        <v>1</v>
      </c>
      <c r="P21" s="158">
        <f t="shared" ref="P21" si="14">IF(AND($C21&gt;P$14,ISNONTEXT($C21)),Q21/(1+P$12),IF(AND($C21=P$14,P$14=P$4),1,IF(AND($C21&lt;P$14,P$14=P$4),O21*(1+P$12),0)))</f>
        <v>0</v>
      </c>
      <c r="Q21" s="159"/>
      <c r="R21" s="159"/>
      <c r="S21" s="159"/>
      <c r="T21" s="159"/>
      <c r="U21" s="159"/>
      <c r="V21" s="123"/>
      <c r="W21" s="123"/>
    </row>
    <row r="22" spans="1:23" ht="11.25" customHeight="1" outlineLevel="1">
      <c r="A22" s="123"/>
      <c r="B22" s="123"/>
      <c r="C22" s="157" t="str">
        <v/>
      </c>
      <c r="D22" s="154" t="str">
        <f>IF(ISNONTEXT($C22),"calculated","")</f>
        <v/>
      </c>
      <c r="E22" s="124" t="str">
        <f t="shared" si="5"/>
        <v/>
      </c>
      <c r="F22" s="124"/>
      <c r="G22" s="124"/>
      <c r="H22" s="124"/>
      <c r="I22" s="158"/>
      <c r="J22" s="158">
        <f>IF(AND($C22&gt;J$14,ISNONTEXT($C22)),K22/(1+K$12),IF(AND($C22=J$14,J$14=J$4),1,IF(AND($C22&lt;J$14,J$14=J$4),I22*(1+J$12),0)))</f>
        <v>0</v>
      </c>
      <c r="K22" s="158">
        <f t="shared" ref="K22" si="15">IF(AND($C22&gt;K$14,ISNONTEXT($C22)),L22/(1+L$12),IF(AND($C22=K$14,K$14=K$4),1,IF(AND($C22&lt;K$14,K$14=K$4),J22*(1+K$12),0)))</f>
        <v>0</v>
      </c>
      <c r="L22" s="158">
        <f t="shared" ref="L22" si="16">IF(AND($C22&gt;L$14,ISNONTEXT($C22)),M22/(1+M$12),IF(AND($C22=L$14,L$14=L$4),1,IF(AND($C22&lt;L$14,L$14=L$4),K22*(1+L$12),0)))</f>
        <v>0</v>
      </c>
      <c r="M22" s="158">
        <f t="shared" ref="M22" si="17">IF(AND($C22&gt;M$14,ISNONTEXT($C22)),N22/(1+N$12),IF(AND($C22=M$14,M$14=M$4),1,IF(AND($C22&lt;M$14,M$14=M$4),L22*(1+M$12),0)))</f>
        <v>0</v>
      </c>
      <c r="N22" s="158">
        <f t="shared" ref="N22" si="18">IF(AND($C22&gt;N$14,ISNONTEXT($C22)),O22/(1+O$12),IF(AND($C22=N$14,N$14=N$4),1,IF(AND($C22&lt;N$14,N$14=N$4),M22*(1+N$12),0)))</f>
        <v>0</v>
      </c>
      <c r="O22" s="158">
        <f t="shared" ref="O22:P22" si="19">IF(AND($C22&gt;O$14,ISNONTEXT($C22)),P22/(1+P$12),IF(AND($C22=O$14,O$14=O$4),1,IF(AND($C22&lt;O$14,O$14=O$4),N22*(1+O$12),0)))</f>
        <v>0</v>
      </c>
      <c r="P22" s="158">
        <f t="shared" si="19"/>
        <v>0</v>
      </c>
      <c r="Q22" s="159"/>
      <c r="R22" s="159"/>
      <c r="S22" s="159"/>
      <c r="T22" s="159"/>
      <c r="U22" s="159"/>
      <c r="V22" s="123"/>
      <c r="W22" s="123"/>
    </row>
    <row r="23" spans="1:23" ht="11.25" customHeight="1" outlineLevel="1">
      <c r="A23" s="123"/>
      <c r="B23" s="123"/>
      <c r="C23" s="129"/>
      <c r="D23" s="124"/>
      <c r="E23" s="124"/>
      <c r="F23" s="124"/>
      <c r="G23" s="124"/>
      <c r="H23" s="124"/>
      <c r="I23" s="124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23"/>
      <c r="W23" s="123"/>
    </row>
    <row r="24" spans="1:23" ht="11.25" customHeight="1" outlineLevel="1">
      <c r="A24" s="123"/>
      <c r="B24" s="123"/>
      <c r="C24" s="126" t="s">
        <v>46</v>
      </c>
      <c r="D24" s="124"/>
      <c r="E24" s="124"/>
      <c r="F24" s="124"/>
      <c r="G24" s="124"/>
      <c r="H24" s="124"/>
      <c r="I24" s="124"/>
      <c r="J24" s="127">
        <f t="shared" ref="J24:T24" si="20">IF(YEAR(J$4)&lt;=PPLastYear,J$4,"")</f>
        <v>43983</v>
      </c>
      <c r="K24" s="127">
        <f t="shared" si="20"/>
        <v>44348</v>
      </c>
      <c r="L24" s="127">
        <f t="shared" si="20"/>
        <v>44713</v>
      </c>
      <c r="M24" s="127">
        <f t="shared" si="20"/>
        <v>45078</v>
      </c>
      <c r="N24" s="127">
        <f t="shared" si="20"/>
        <v>45444</v>
      </c>
      <c r="O24" s="127">
        <f t="shared" si="20"/>
        <v>45809</v>
      </c>
      <c r="P24" s="127" t="str">
        <f t="shared" si="20"/>
        <v/>
      </c>
      <c r="Q24" s="127" t="str">
        <f t="shared" si="20"/>
        <v/>
      </c>
      <c r="R24" s="127" t="str">
        <f t="shared" si="20"/>
        <v/>
      </c>
      <c r="S24" s="127" t="str">
        <f t="shared" si="20"/>
        <v/>
      </c>
      <c r="T24" s="127" t="str">
        <f t="shared" si="20"/>
        <v/>
      </c>
      <c r="U24" s="142"/>
      <c r="V24" s="123"/>
      <c r="W24" s="123"/>
    </row>
    <row r="25" spans="1:23" ht="11.25" customHeight="1" outlineLevel="1">
      <c r="A25" s="123"/>
      <c r="B25" s="123"/>
      <c r="C25" s="129"/>
      <c r="D25" s="124"/>
      <c r="E25" s="124"/>
      <c r="F25" s="124"/>
      <c r="G25" s="124"/>
      <c r="H25" s="124"/>
      <c r="I25" s="124"/>
      <c r="J25" s="123"/>
      <c r="K25" s="123"/>
      <c r="L25" s="123"/>
      <c r="M25" s="123"/>
      <c r="N25" s="123"/>
      <c r="O25" s="123"/>
      <c r="P25" s="123"/>
      <c r="Q25" s="158"/>
      <c r="R25" s="158"/>
      <c r="S25" s="158"/>
      <c r="T25" s="158"/>
      <c r="U25" s="158"/>
      <c r="V25" s="123"/>
      <c r="W25" s="123"/>
    </row>
    <row r="26" spans="1:23" ht="11.25" customHeight="1" outlineLevel="1">
      <c r="A26" s="123"/>
      <c r="B26" s="123"/>
      <c r="C26" s="157">
        <f t="array" ref="C26:C32">TRANSPOSE(J10:P10)</f>
        <v>43983</v>
      </c>
      <c r="D26" s="154" t="str">
        <f t="shared" ref="D26:D32" si="21">IF(ISNONTEXT($C26),"calculated","")</f>
        <v>calculated</v>
      </c>
      <c r="E26" s="124" t="str">
        <f>IF(ISNONTEXT($C26),"index","")</f>
        <v>index</v>
      </c>
      <c r="F26" s="124"/>
      <c r="G26" s="124"/>
      <c r="H26" s="124"/>
      <c r="I26" s="158"/>
      <c r="J26" s="158">
        <f>IF(AND(J$24=J$4,ISNONTEXT($C26)),1/J16*(1+J$12)^0.5,0)</f>
        <v>0.99825631951042948</v>
      </c>
      <c r="K26" s="158">
        <f t="shared" ref="K26:T26" si="22">IF(AND(K$24=K$4,ISNONTEXT($C26)),1/K16*(1+K$12)^0.5,0)</f>
        <v>0.98130676292531638</v>
      </c>
      <c r="L26" s="158">
        <f t="shared" si="22"/>
        <v>0.93467421272075479</v>
      </c>
      <c r="M26" s="158">
        <f t="shared" si="22"/>
        <v>0.88105450779258843</v>
      </c>
      <c r="N26" s="158">
        <f t="shared" si="22"/>
        <v>0.83978011678411546</v>
      </c>
      <c r="O26" s="158">
        <f t="shared" si="22"/>
        <v>0.8144915443157027</v>
      </c>
      <c r="P26" s="158">
        <f t="shared" si="22"/>
        <v>0</v>
      </c>
      <c r="Q26" s="158">
        <f t="shared" si="22"/>
        <v>0</v>
      </c>
      <c r="R26" s="158">
        <f t="shared" si="22"/>
        <v>0</v>
      </c>
      <c r="S26" s="158">
        <f t="shared" si="22"/>
        <v>0</v>
      </c>
      <c r="T26" s="158">
        <f t="shared" si="22"/>
        <v>0</v>
      </c>
      <c r="U26" s="158"/>
      <c r="V26" s="160"/>
      <c r="W26" s="160"/>
    </row>
    <row r="27" spans="1:23" ht="11.25" customHeight="1" outlineLevel="1">
      <c r="A27" s="123"/>
      <c r="B27" s="123"/>
      <c r="C27" s="157">
        <v>44348</v>
      </c>
      <c r="D27" s="154" t="str">
        <f t="shared" si="21"/>
        <v>calculated</v>
      </c>
      <c r="E27" s="124" t="str">
        <f t="shared" ref="E27:E32" si="23">IF(ISNONTEXT($C27),"index","")</f>
        <v>index</v>
      </c>
      <c r="F27" s="124"/>
      <c r="G27" s="124"/>
      <c r="H27" s="124"/>
      <c r="I27" s="158"/>
      <c r="J27" s="158">
        <f t="shared" ref="J27:T27" si="24">IF(AND(J$24=J$4,ISNONTEXT($C27)),1/J17*(1+J$12)^0.5,0)</f>
        <v>1.0366507933377536</v>
      </c>
      <c r="K27" s="158">
        <f t="shared" si="24"/>
        <v>1.019049330730136</v>
      </c>
      <c r="L27" s="158">
        <f t="shared" si="24"/>
        <v>0.970623220902322</v>
      </c>
      <c r="M27" s="158">
        <f t="shared" si="24"/>
        <v>0.9149412196307648</v>
      </c>
      <c r="N27" s="158">
        <f t="shared" si="24"/>
        <v>0.87207935204504272</v>
      </c>
      <c r="O27" s="158">
        <f t="shared" si="24"/>
        <v>0.84581814217399887</v>
      </c>
      <c r="P27" s="158">
        <f t="shared" si="24"/>
        <v>0</v>
      </c>
      <c r="Q27" s="158">
        <f t="shared" si="24"/>
        <v>0</v>
      </c>
      <c r="R27" s="158">
        <f t="shared" si="24"/>
        <v>0</v>
      </c>
      <c r="S27" s="158">
        <f t="shared" si="24"/>
        <v>0</v>
      </c>
      <c r="T27" s="158">
        <f t="shared" si="24"/>
        <v>0</v>
      </c>
      <c r="U27" s="158"/>
      <c r="V27" s="160"/>
      <c r="W27" s="160"/>
    </row>
    <row r="28" spans="1:23" ht="11.25" customHeight="1" outlineLevel="1">
      <c r="A28" s="123"/>
      <c r="B28" s="123"/>
      <c r="C28" s="157">
        <v>44713</v>
      </c>
      <c r="D28" s="154" t="str">
        <f t="shared" si="21"/>
        <v>calculated</v>
      </c>
      <c r="E28" s="124" t="str">
        <f t="shared" si="23"/>
        <v>index</v>
      </c>
      <c r="F28" s="124"/>
      <c r="G28" s="124"/>
      <c r="H28" s="124"/>
      <c r="I28" s="158"/>
      <c r="J28" s="158">
        <f t="shared" ref="J28:T28" si="25">IF(AND(J$24=J$4,ISNONTEXT($C28)),1/J18*(1+J$12)^0.5,0)</f>
        <v>1.100350715823996</v>
      </c>
      <c r="K28" s="158">
        <f t="shared" si="25"/>
        <v>1.0816676818608599</v>
      </c>
      <c r="L28" s="158">
        <f t="shared" si="25"/>
        <v>1.0302658935671953</v>
      </c>
      <c r="M28" s="158">
        <f t="shared" si="25"/>
        <v>0.97116235518046667</v>
      </c>
      <c r="N28" s="158">
        <f t="shared" si="25"/>
        <v>0.92566671963703617</v>
      </c>
      <c r="O28" s="158">
        <f t="shared" si="25"/>
        <v>0.89779181589344481</v>
      </c>
      <c r="P28" s="158">
        <f t="shared" si="25"/>
        <v>0</v>
      </c>
      <c r="Q28" s="158">
        <f t="shared" si="25"/>
        <v>0</v>
      </c>
      <c r="R28" s="158">
        <f t="shared" si="25"/>
        <v>0</v>
      </c>
      <c r="S28" s="158">
        <f t="shared" si="25"/>
        <v>0</v>
      </c>
      <c r="T28" s="158">
        <f t="shared" si="25"/>
        <v>0</v>
      </c>
      <c r="U28" s="158"/>
      <c r="V28" s="160"/>
      <c r="W28" s="160"/>
    </row>
    <row r="29" spans="1:23" ht="11.25" customHeight="1" outlineLevel="1">
      <c r="A29" s="123"/>
      <c r="B29" s="123"/>
      <c r="C29" s="157">
        <v>45078</v>
      </c>
      <c r="D29" s="154" t="str">
        <f t="shared" si="21"/>
        <v>calculated</v>
      </c>
      <c r="E29" s="124" t="str">
        <f t="shared" si="23"/>
        <v>index</v>
      </c>
      <c r="F29" s="124"/>
      <c r="G29" s="124"/>
      <c r="H29" s="124"/>
      <c r="I29" s="158"/>
      <c r="J29" s="158">
        <f t="shared" ref="J29:T29" si="26">IF(AND(J$24=J$4,ISNONTEXT($C29)),1/J19*(1+J$12)^0.5,0)</f>
        <v>1.1666684433439196</v>
      </c>
      <c r="K29" s="158">
        <f t="shared" si="26"/>
        <v>1.1468593898873669</v>
      </c>
      <c r="L29" s="158">
        <f t="shared" si="26"/>
        <v>1.0923596349717211</v>
      </c>
      <c r="M29" s="158">
        <f t="shared" si="26"/>
        <v>1.0296939483554988</v>
      </c>
      <c r="N29" s="158">
        <f t="shared" si="26"/>
        <v>0.98145630781500182</v>
      </c>
      <c r="O29" s="158">
        <f t="shared" si="26"/>
        <v>0.95190139401232032</v>
      </c>
      <c r="P29" s="158">
        <f t="shared" si="26"/>
        <v>0</v>
      </c>
      <c r="Q29" s="158">
        <f t="shared" si="26"/>
        <v>0</v>
      </c>
      <c r="R29" s="158">
        <f t="shared" si="26"/>
        <v>0</v>
      </c>
      <c r="S29" s="158">
        <f t="shared" si="26"/>
        <v>0</v>
      </c>
      <c r="T29" s="158">
        <f t="shared" si="26"/>
        <v>0</v>
      </c>
      <c r="U29" s="158"/>
      <c r="V29" s="160"/>
      <c r="W29" s="160"/>
    </row>
    <row r="30" spans="1:23" ht="11.25" customHeight="1" outlineLevel="1">
      <c r="A30" s="123"/>
      <c r="B30" s="123"/>
      <c r="C30" s="157">
        <v>45444</v>
      </c>
      <c r="D30" s="154" t="str">
        <f t="shared" si="21"/>
        <v>calculated</v>
      </c>
      <c r="E30" s="124" t="str">
        <f t="shared" si="23"/>
        <v>index</v>
      </c>
      <c r="F30" s="124"/>
      <c r="G30" s="124"/>
      <c r="H30" s="124"/>
      <c r="I30" s="158"/>
      <c r="J30" s="158">
        <f t="shared" ref="J30:T30" si="27">IF(AND(J$24=J$4,ISNONTEXT($C30)),1/J20*(1+J$12)^0.5,0)</f>
        <v>1.2111711289165001</v>
      </c>
      <c r="K30" s="158">
        <f t="shared" si="27"/>
        <v>1.1906064571156811</v>
      </c>
      <c r="L30" s="158">
        <f t="shared" si="27"/>
        <v>1.1340278035458109</v>
      </c>
      <c r="M30" s="158">
        <f t="shared" si="27"/>
        <v>1.0689717279861126</v>
      </c>
      <c r="N30" s="158">
        <f t="shared" si="27"/>
        <v>1.0188940577765317</v>
      </c>
      <c r="O30" s="158">
        <f t="shared" si="27"/>
        <v>0.98821176880261852</v>
      </c>
      <c r="P30" s="158">
        <f t="shared" si="27"/>
        <v>0</v>
      </c>
      <c r="Q30" s="158">
        <f t="shared" si="27"/>
        <v>0</v>
      </c>
      <c r="R30" s="158">
        <f t="shared" si="27"/>
        <v>0</v>
      </c>
      <c r="S30" s="158">
        <f t="shared" si="27"/>
        <v>0</v>
      </c>
      <c r="T30" s="158">
        <f t="shared" si="27"/>
        <v>0</v>
      </c>
      <c r="U30" s="158"/>
      <c r="V30" s="160"/>
      <c r="W30" s="160"/>
    </row>
    <row r="31" spans="1:23" ht="11.25" customHeight="1" outlineLevel="1">
      <c r="A31" s="123"/>
      <c r="B31" s="123"/>
      <c r="C31" s="157">
        <v>45809</v>
      </c>
      <c r="D31" s="154" t="str">
        <f t="shared" si="21"/>
        <v>calculated</v>
      </c>
      <c r="E31" s="124" t="str">
        <f t="shared" si="23"/>
        <v>index</v>
      </c>
      <c r="F31" s="124"/>
      <c r="G31" s="124"/>
      <c r="H31" s="124"/>
      <c r="I31" s="158"/>
      <c r="J31" s="158">
        <f t="shared" ref="J31:T32" si="28">IF(AND(J$24=J$4,ISNONTEXT($C31)),1/J21*(1+J$12)^0.5,0)</f>
        <v>1.2402392360104961</v>
      </c>
      <c r="K31" s="158">
        <f t="shared" si="28"/>
        <v>1.2191810120864575</v>
      </c>
      <c r="L31" s="158">
        <f t="shared" si="28"/>
        <v>1.1612444708309104</v>
      </c>
      <c r="M31" s="158">
        <f t="shared" si="28"/>
        <v>1.0946270494577794</v>
      </c>
      <c r="N31" s="158">
        <f t="shared" si="28"/>
        <v>1.0433475151631686</v>
      </c>
      <c r="O31" s="158">
        <f t="shared" si="28"/>
        <v>1.0119288512538813</v>
      </c>
      <c r="P31" s="158">
        <f t="shared" si="28"/>
        <v>0</v>
      </c>
      <c r="Q31" s="158">
        <f t="shared" si="28"/>
        <v>0</v>
      </c>
      <c r="R31" s="158">
        <f t="shared" si="28"/>
        <v>0</v>
      </c>
      <c r="S31" s="158">
        <f t="shared" si="28"/>
        <v>0</v>
      </c>
      <c r="T31" s="158">
        <f t="shared" si="28"/>
        <v>0</v>
      </c>
      <c r="U31" s="158"/>
      <c r="V31" s="160"/>
      <c r="W31" s="160"/>
    </row>
    <row r="32" spans="1:23" ht="11.25" customHeight="1" outlineLevel="1">
      <c r="A32" s="123"/>
      <c r="B32" s="123"/>
      <c r="C32" s="157" t="str">
        <v/>
      </c>
      <c r="D32" s="154" t="str">
        <f t="shared" si="21"/>
        <v/>
      </c>
      <c r="E32" s="124" t="str">
        <f t="shared" si="23"/>
        <v/>
      </c>
      <c r="F32" s="124"/>
      <c r="G32" s="124"/>
      <c r="H32" s="124"/>
      <c r="I32" s="158"/>
      <c r="J32" s="158">
        <f t="shared" si="28"/>
        <v>0</v>
      </c>
      <c r="K32" s="158">
        <f t="shared" si="28"/>
        <v>0</v>
      </c>
      <c r="L32" s="158">
        <f t="shared" si="28"/>
        <v>0</v>
      </c>
      <c r="M32" s="158">
        <f t="shared" si="28"/>
        <v>0</v>
      </c>
      <c r="N32" s="158">
        <f t="shared" si="28"/>
        <v>0</v>
      </c>
      <c r="O32" s="158">
        <f t="shared" si="28"/>
        <v>0</v>
      </c>
      <c r="P32" s="158">
        <f t="shared" si="28"/>
        <v>0</v>
      </c>
      <c r="Q32" s="158">
        <f t="shared" si="28"/>
        <v>0</v>
      </c>
      <c r="R32" s="158">
        <f t="shared" si="28"/>
        <v>0</v>
      </c>
      <c r="S32" s="158">
        <f t="shared" si="28"/>
        <v>0</v>
      </c>
      <c r="T32" s="158">
        <f t="shared" si="28"/>
        <v>0</v>
      </c>
      <c r="U32" s="158"/>
      <c r="V32" s="160"/>
      <c r="W32" s="160"/>
    </row>
    <row r="33" spans="1:34">
      <c r="A33" s="123"/>
      <c r="B33" s="123"/>
      <c r="C33" s="129"/>
      <c r="D33" s="124"/>
      <c r="E33" s="124"/>
      <c r="F33" s="124"/>
      <c r="G33" s="124"/>
      <c r="H33" s="124"/>
      <c r="I33" s="124"/>
      <c r="J33" s="124"/>
      <c r="K33" s="158"/>
      <c r="L33" s="158"/>
      <c r="M33" s="158"/>
      <c r="N33" s="158"/>
      <c r="O33" s="158"/>
      <c r="P33" s="156"/>
      <c r="Q33" s="158"/>
      <c r="R33" s="158"/>
      <c r="S33" s="158"/>
      <c r="T33" s="158"/>
      <c r="U33" s="158"/>
      <c r="V33" s="123"/>
      <c r="W33" s="123"/>
    </row>
    <row r="34" spans="1:34" customFormat="1" ht="12.75">
      <c r="A34" s="119"/>
      <c r="B34" s="38" t="s">
        <v>70</v>
      </c>
      <c r="C34" s="119"/>
      <c r="D34" s="119"/>
      <c r="E34" s="119"/>
      <c r="F34" s="120"/>
      <c r="G34" s="120"/>
      <c r="H34" s="120"/>
      <c r="I34" s="120"/>
      <c r="J34" s="120"/>
      <c r="K34" s="121"/>
      <c r="L34" s="122"/>
      <c r="M34" s="121"/>
      <c r="N34" s="122"/>
      <c r="O34" s="121"/>
      <c r="P34" s="121"/>
      <c r="Q34" s="121"/>
      <c r="R34" s="121"/>
      <c r="S34" s="121"/>
      <c r="T34" s="121"/>
      <c r="U34" s="121"/>
      <c r="V34" s="121"/>
      <c r="W34" s="121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3"/>
      <c r="B35" s="12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</row>
    <row r="36" spans="1:34" ht="11.25" customHeight="1" outlineLevel="1">
      <c r="A36" s="123"/>
      <c r="B36" s="123"/>
      <c r="C36" s="126" t="s">
        <v>73</v>
      </c>
      <c r="D36" s="125" t="s">
        <v>7</v>
      </c>
      <c r="E36" s="125" t="s">
        <v>8</v>
      </c>
      <c r="F36" s="124"/>
      <c r="G36" s="124"/>
      <c r="H36" s="124"/>
      <c r="I36" s="124"/>
      <c r="J36" s="142" t="str">
        <f t="shared" ref="J36:U36" si="29">IF(YEAR(J$4)&gt;=FPFirstYear,IF(YEAR(J$4)&lt;=FPLastYear,J$4,""),"")</f>
        <v/>
      </c>
      <c r="K36" s="142" t="str">
        <f t="shared" si="29"/>
        <v/>
      </c>
      <c r="L36" s="142" t="str">
        <f t="shared" si="29"/>
        <v/>
      </c>
      <c r="M36" s="142" t="str">
        <f t="shared" si="29"/>
        <v/>
      </c>
      <c r="N36" s="142" t="str">
        <f t="shared" si="29"/>
        <v/>
      </c>
      <c r="O36" s="142" t="str">
        <f t="shared" si="29"/>
        <v/>
      </c>
      <c r="P36" s="142">
        <f t="shared" si="29"/>
        <v>46174</v>
      </c>
      <c r="Q36" s="142">
        <f t="shared" si="29"/>
        <v>46539</v>
      </c>
      <c r="R36" s="142">
        <f t="shared" si="29"/>
        <v>46905</v>
      </c>
      <c r="S36" s="142">
        <f t="shared" si="29"/>
        <v>47270</v>
      </c>
      <c r="T36" s="142">
        <f t="shared" si="29"/>
        <v>47635</v>
      </c>
      <c r="U36" s="142" t="str">
        <f t="shared" si="29"/>
        <v/>
      </c>
      <c r="V36" s="123"/>
      <c r="W36" s="123"/>
    </row>
    <row r="37" spans="1:34" ht="11.25" customHeight="1" outlineLevel="1">
      <c r="A37" s="123"/>
      <c r="B37" s="123"/>
      <c r="C37" s="123"/>
      <c r="D37" s="124"/>
      <c r="E37" s="124"/>
      <c r="F37" s="124"/>
      <c r="G37" s="124"/>
      <c r="H37" s="124"/>
      <c r="I37" s="124"/>
      <c r="J37" s="124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34" ht="11.25" customHeight="1" outlineLevel="1">
      <c r="A38" s="123"/>
      <c r="B38" s="123"/>
      <c r="C38" s="217" t="s">
        <v>234</v>
      </c>
      <c r="D38" s="124" t="s">
        <v>94</v>
      </c>
      <c r="E38" s="124" t="str">
        <f t="shared" ref="E38:E45" si="30">percent</f>
        <v>Per cent</v>
      </c>
      <c r="F38" s="124"/>
      <c r="G38" s="124"/>
      <c r="H38" s="124"/>
      <c r="I38" s="124"/>
      <c r="J38" s="161"/>
      <c r="K38" s="162"/>
      <c r="L38" s="162"/>
      <c r="M38" s="162"/>
      <c r="N38" s="162"/>
      <c r="O38" s="162"/>
      <c r="P38" s="163">
        <v>5.7698214964065908E-3</v>
      </c>
      <c r="Q38" s="163">
        <v>1.1213132548946847E-2</v>
      </c>
      <c r="R38" s="163">
        <v>6.9765444188543135E-3</v>
      </c>
      <c r="S38" s="163">
        <v>6.3072757051296779E-3</v>
      </c>
      <c r="T38" s="163">
        <v>9.2514742853524456E-3</v>
      </c>
      <c r="U38" s="123"/>
      <c r="V38" s="123"/>
      <c r="W38" s="123"/>
    </row>
    <row r="39" spans="1:34" ht="11.25" customHeight="1" outlineLevel="1">
      <c r="A39" s="123"/>
      <c r="B39" s="123"/>
      <c r="C39" s="217" t="s">
        <v>236</v>
      </c>
      <c r="D39" s="124" t="s">
        <v>94</v>
      </c>
      <c r="E39" s="124" t="str">
        <f t="shared" si="30"/>
        <v>Per cent</v>
      </c>
      <c r="F39" s="124"/>
      <c r="G39" s="124"/>
      <c r="H39" s="124"/>
      <c r="I39" s="124"/>
      <c r="J39" s="161"/>
      <c r="K39" s="161"/>
      <c r="L39" s="161"/>
      <c r="M39" s="161"/>
      <c r="N39" s="161"/>
      <c r="O39" s="161"/>
      <c r="P39" s="164">
        <v>6.4010311340859886E-3</v>
      </c>
      <c r="Q39" s="164">
        <v>1.0527048788004131E-2</v>
      </c>
      <c r="R39" s="164">
        <v>1.0516711257610578E-2</v>
      </c>
      <c r="S39" s="164">
        <v>1.2755871599297076E-2</v>
      </c>
      <c r="T39" s="164">
        <v>1.3780376168036011E-2</v>
      </c>
      <c r="U39" s="123"/>
      <c r="V39" s="123"/>
      <c r="W39" s="123"/>
    </row>
    <row r="40" spans="1:34" ht="11.25" customHeight="1" outlineLevel="1">
      <c r="A40" s="123"/>
      <c r="B40" s="123"/>
      <c r="C40" s="217" t="s">
        <v>235</v>
      </c>
      <c r="D40" s="124" t="s">
        <v>94</v>
      </c>
      <c r="E40" s="124" t="str">
        <f t="shared" si="30"/>
        <v>Per cent</v>
      </c>
      <c r="F40" s="124"/>
      <c r="G40" s="124"/>
      <c r="H40" s="124"/>
      <c r="I40" s="124"/>
      <c r="J40" s="161"/>
      <c r="K40" s="162"/>
      <c r="L40" s="162"/>
      <c r="M40" s="162"/>
      <c r="N40" s="162"/>
      <c r="O40" s="162"/>
      <c r="P40" s="164">
        <f>AVERAGE(P38:P39)</f>
        <v>6.0854263152462897E-3</v>
      </c>
      <c r="Q40" s="164">
        <f t="shared" ref="Q40:T40" si="31">AVERAGE(Q38:Q39)</f>
        <v>1.0870090668475489E-2</v>
      </c>
      <c r="R40" s="164">
        <f t="shared" si="31"/>
        <v>8.7466278382324451E-3</v>
      </c>
      <c r="S40" s="164">
        <f t="shared" si="31"/>
        <v>9.5315736522133768E-3</v>
      </c>
      <c r="T40" s="164">
        <f t="shared" si="31"/>
        <v>1.1515925226694229E-2</v>
      </c>
      <c r="U40" s="123"/>
      <c r="V40" s="123"/>
      <c r="W40" s="123"/>
    </row>
    <row r="41" spans="1:34" ht="11.25" customHeight="1" outlineLevel="1">
      <c r="A41" s="123"/>
      <c r="B41" s="123"/>
      <c r="C41" s="131" t="s">
        <v>161</v>
      </c>
      <c r="D41" s="124" t="s">
        <v>94</v>
      </c>
      <c r="E41" s="124" t="str">
        <f t="shared" si="30"/>
        <v>Per cent</v>
      </c>
      <c r="F41" s="124"/>
      <c r="G41" s="124"/>
      <c r="H41" s="124"/>
      <c r="I41" s="124"/>
      <c r="J41" s="161"/>
      <c r="K41" s="162"/>
      <c r="L41" s="162"/>
      <c r="M41" s="162"/>
      <c r="N41" s="162"/>
      <c r="O41" s="162"/>
      <c r="P41" s="164">
        <v>5.0000000000000001E-3</v>
      </c>
      <c r="Q41" s="164">
        <v>0</v>
      </c>
      <c r="R41" s="164">
        <v>0</v>
      </c>
      <c r="S41" s="164">
        <v>0</v>
      </c>
      <c r="T41" s="164">
        <v>0</v>
      </c>
      <c r="U41" s="165"/>
      <c r="V41" s="166"/>
      <c r="W41" s="123"/>
    </row>
    <row r="42" spans="1:34" ht="11.25" customHeight="1" outlineLevel="1">
      <c r="A42" s="123"/>
      <c r="B42" s="123"/>
      <c r="C42" s="131" t="s">
        <v>162</v>
      </c>
      <c r="D42" s="124" t="s">
        <v>94</v>
      </c>
      <c r="E42" s="124" t="str">
        <f t="shared" si="30"/>
        <v>Per cent</v>
      </c>
      <c r="F42" s="124"/>
      <c r="G42" s="124"/>
      <c r="H42" s="124"/>
      <c r="I42" s="124"/>
      <c r="J42" s="161"/>
      <c r="K42" s="162"/>
      <c r="L42" s="162"/>
      <c r="M42" s="162"/>
      <c r="N42" s="162"/>
      <c r="O42" s="162"/>
      <c r="P42" s="164">
        <f>P41+P40</f>
        <v>1.108542631524629E-2</v>
      </c>
      <c r="Q42" s="164">
        <f t="shared" ref="Q42:T42" si="32">Q41+Q40</f>
        <v>1.0870090668475489E-2</v>
      </c>
      <c r="R42" s="164">
        <f t="shared" si="32"/>
        <v>8.7466278382324451E-3</v>
      </c>
      <c r="S42" s="164">
        <f t="shared" si="32"/>
        <v>9.5315736522133768E-3</v>
      </c>
      <c r="T42" s="164">
        <f t="shared" si="32"/>
        <v>1.1515925226694229E-2</v>
      </c>
      <c r="U42" s="165"/>
      <c r="V42" s="123"/>
      <c r="W42" s="123"/>
    </row>
    <row r="43" spans="1:34" ht="11.25" customHeight="1" outlineLevel="1">
      <c r="A43" s="123"/>
      <c r="B43" s="123"/>
      <c r="C43" s="131"/>
      <c r="D43" s="124" t="s">
        <v>94</v>
      </c>
      <c r="E43" s="124" t="str">
        <f t="shared" si="30"/>
        <v>Per cent</v>
      </c>
      <c r="F43" s="124"/>
      <c r="G43" s="124"/>
      <c r="H43" s="124"/>
      <c r="I43" s="124"/>
      <c r="J43" s="161"/>
      <c r="K43" s="162"/>
      <c r="L43" s="162"/>
      <c r="M43" s="162"/>
      <c r="N43" s="162"/>
      <c r="O43" s="162"/>
      <c r="P43" s="167"/>
      <c r="Q43" s="167"/>
      <c r="R43" s="167"/>
      <c r="S43" s="167"/>
      <c r="T43" s="167"/>
      <c r="U43" s="165"/>
      <c r="V43" s="123"/>
      <c r="W43" s="123"/>
    </row>
    <row r="44" spans="1:34" ht="11.25" customHeight="1" outlineLevel="1">
      <c r="A44" s="123"/>
      <c r="B44" s="123"/>
      <c r="C44" s="131"/>
      <c r="D44" s="124" t="s">
        <v>94</v>
      </c>
      <c r="E44" s="124" t="str">
        <f t="shared" si="30"/>
        <v>Per cent</v>
      </c>
      <c r="F44" s="124"/>
      <c r="G44" s="124"/>
      <c r="H44" s="124"/>
      <c r="I44" s="124"/>
      <c r="J44" s="161"/>
      <c r="K44" s="162"/>
      <c r="L44" s="162"/>
      <c r="M44" s="162"/>
      <c r="N44" s="162"/>
      <c r="O44" s="162"/>
      <c r="P44" s="167"/>
      <c r="Q44" s="167"/>
      <c r="R44" s="167"/>
      <c r="S44" s="167"/>
      <c r="T44" s="167"/>
      <c r="U44" s="165"/>
      <c r="V44" s="123"/>
      <c r="W44" s="123"/>
    </row>
    <row r="45" spans="1:34" ht="11.25" customHeight="1" outlineLevel="1">
      <c r="A45" s="123"/>
      <c r="B45" s="123"/>
      <c r="C45" s="131" t="s">
        <v>74</v>
      </c>
      <c r="D45" s="124" t="s">
        <v>94</v>
      </c>
      <c r="E45" s="124" t="str">
        <f t="shared" si="30"/>
        <v>Per cent</v>
      </c>
      <c r="F45" s="124"/>
      <c r="G45" s="124"/>
      <c r="H45" s="124"/>
      <c r="I45" s="124"/>
      <c r="J45" s="161"/>
      <c r="K45" s="162"/>
      <c r="L45" s="162"/>
      <c r="M45" s="162"/>
      <c r="N45" s="162"/>
      <c r="O45" s="162"/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5"/>
      <c r="V45" s="123"/>
      <c r="W45" s="123"/>
    </row>
    <row r="46" spans="1:34" ht="11.25" customHeight="1" outlineLevel="1">
      <c r="A46" s="123"/>
      <c r="B46" s="123"/>
      <c r="C46" s="123"/>
      <c r="D46" s="124"/>
      <c r="E46" s="124"/>
      <c r="F46" s="124"/>
      <c r="G46" s="124"/>
      <c r="H46" s="124"/>
      <c r="I46" s="124"/>
      <c r="J46" s="124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34" ht="11.25" customHeight="1" outlineLevel="1">
      <c r="A47" s="123"/>
      <c r="B47" s="123"/>
      <c r="C47" s="123" t="s">
        <v>40</v>
      </c>
      <c r="D47" s="124" t="s">
        <v>91</v>
      </c>
      <c r="E47" s="124" t="s">
        <v>28</v>
      </c>
      <c r="F47" s="124" t="s">
        <v>36</v>
      </c>
      <c r="G47" s="124"/>
      <c r="H47" s="124"/>
      <c r="I47" s="124"/>
      <c r="J47" s="168" t="str">
        <f t="shared" ref="J47:S47" si="33">IF(J36=J4,IF(COUNTA($C38:$C45)=COUNT(J38:J45),"Ok","Check"),"")</f>
        <v/>
      </c>
      <c r="K47" s="168" t="str">
        <f t="shared" si="33"/>
        <v/>
      </c>
      <c r="L47" s="168" t="str">
        <f t="shared" si="33"/>
        <v/>
      </c>
      <c r="M47" s="168" t="str">
        <f t="shared" si="33"/>
        <v/>
      </c>
      <c r="N47" s="168" t="str">
        <f t="shared" si="33"/>
        <v/>
      </c>
      <c r="O47" s="168" t="str">
        <f t="shared" si="33"/>
        <v/>
      </c>
      <c r="P47" s="168" t="str">
        <f>IF(P36=P4,IF(COUNTA($C38:$C45)=COUNT(P38:P45),"Ok","Check"),"")</f>
        <v>Ok</v>
      </c>
      <c r="Q47" s="168" t="str">
        <f t="shared" si="33"/>
        <v>Ok</v>
      </c>
      <c r="R47" s="168" t="str">
        <f t="shared" si="33"/>
        <v>Ok</v>
      </c>
      <c r="S47" s="168" t="str">
        <f t="shared" si="33"/>
        <v>Ok</v>
      </c>
      <c r="T47" s="168" t="str">
        <f>IF(T36=T4,IF(COUNTA($C38:$C45)=COUNT(T38:T45),"Ok","Check"),"")</f>
        <v>Ok</v>
      </c>
      <c r="U47" s="168" t="str">
        <f>IF(U36=U4,IF(COUNTA($C38:$C45)=COUNT(U38:U45),"Ok","Check"),"")</f>
        <v/>
      </c>
      <c r="V47" s="169"/>
      <c r="W47" s="123"/>
      <c r="X47" s="81" t="str">
        <f>IF(COUNTIF(J47:U47,"Check")=0,"Ok","Check")</f>
        <v>Ok</v>
      </c>
    </row>
    <row r="48" spans="1:34" ht="11.25" customHeight="1" outlineLevel="1">
      <c r="A48" s="123"/>
      <c r="B48" s="123"/>
      <c r="C48" s="123"/>
      <c r="D48" s="124"/>
      <c r="E48" s="124"/>
      <c r="F48" s="124"/>
      <c r="G48" s="124"/>
      <c r="H48" s="124"/>
      <c r="I48" s="124"/>
      <c r="J48" s="124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34" ht="11.25" customHeight="1" outlineLevel="1">
      <c r="A49" s="123"/>
      <c r="B49" s="123"/>
      <c r="C49" s="126" t="s">
        <v>43</v>
      </c>
      <c r="D49" s="125" t="s">
        <v>7</v>
      </c>
      <c r="E49" s="125" t="s">
        <v>8</v>
      </c>
      <c r="F49" s="124"/>
      <c r="G49" s="124"/>
      <c r="H49" s="124"/>
      <c r="I49" s="124"/>
      <c r="J49" s="142" t="str">
        <f t="shared" ref="J49:U49" si="34">IF(YEAR(J$4)&gt;=FPFirstYear,IF(YEAR(J$4)&lt;=FPLastYear,J$4,""),"")</f>
        <v/>
      </c>
      <c r="K49" s="142" t="str">
        <f t="shared" si="34"/>
        <v/>
      </c>
      <c r="L49" s="142" t="str">
        <f t="shared" si="34"/>
        <v/>
      </c>
      <c r="M49" s="142" t="str">
        <f t="shared" si="34"/>
        <v/>
      </c>
      <c r="N49" s="142" t="str">
        <f t="shared" si="34"/>
        <v/>
      </c>
      <c r="O49" s="142" t="str">
        <f t="shared" si="34"/>
        <v/>
      </c>
      <c r="P49" s="142">
        <f t="shared" si="34"/>
        <v>46174</v>
      </c>
      <c r="Q49" s="142">
        <f t="shared" si="34"/>
        <v>46539</v>
      </c>
      <c r="R49" s="142">
        <f t="shared" si="34"/>
        <v>46905</v>
      </c>
      <c r="S49" s="142">
        <f t="shared" si="34"/>
        <v>47270</v>
      </c>
      <c r="T49" s="142">
        <f t="shared" si="34"/>
        <v>47635</v>
      </c>
      <c r="U49" s="142" t="str">
        <f t="shared" si="34"/>
        <v/>
      </c>
      <c r="V49" s="123"/>
      <c r="W49" s="123"/>
    </row>
    <row r="50" spans="1:34" ht="11.25" customHeight="1" outlineLevel="1">
      <c r="A50" s="123"/>
      <c r="B50" s="123"/>
      <c r="C50" s="123"/>
      <c r="D50" s="124"/>
      <c r="E50" s="124"/>
      <c r="F50" s="124"/>
      <c r="G50" s="124"/>
      <c r="H50" s="124"/>
      <c r="I50" s="124"/>
      <c r="J50" s="124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34" ht="11.25" customHeight="1" outlineLevel="1">
      <c r="A51" s="123"/>
      <c r="B51" s="123"/>
      <c r="C51" s="170" t="str">
        <f t="shared" ref="C51:C58" si="35">C38</f>
        <v>WPI – Deloitte Access Economics</v>
      </c>
      <c r="D51" s="124" t="s">
        <v>94</v>
      </c>
      <c r="E51" s="124" t="str">
        <f t="shared" ref="E51:E58" si="36">percent</f>
        <v>Per cent</v>
      </c>
      <c r="F51" s="124"/>
      <c r="G51" s="124"/>
      <c r="H51" s="124"/>
      <c r="I51" s="124"/>
      <c r="J51" s="161"/>
      <c r="K51" s="162"/>
      <c r="L51" s="162"/>
      <c r="M51" s="162"/>
      <c r="N51" s="162"/>
      <c r="O51" s="162"/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71"/>
      <c r="V51" s="123"/>
      <c r="W51" s="123"/>
    </row>
    <row r="52" spans="1:34" ht="11.25" customHeight="1" outlineLevel="1">
      <c r="A52" s="123"/>
      <c r="B52" s="123"/>
      <c r="C52" s="170" t="str">
        <f t="shared" si="35"/>
        <v>WPI – BIS Oxford Economics</v>
      </c>
      <c r="D52" s="124" t="s">
        <v>94</v>
      </c>
      <c r="E52" s="124" t="str">
        <f t="shared" si="36"/>
        <v>Per cent</v>
      </c>
      <c r="F52" s="124"/>
      <c r="G52" s="124"/>
      <c r="H52" s="124"/>
      <c r="I52" s="124"/>
      <c r="J52" s="161"/>
      <c r="K52" s="162"/>
      <c r="L52" s="162"/>
      <c r="M52" s="162"/>
      <c r="N52" s="162"/>
      <c r="O52" s="162"/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71"/>
      <c r="V52" s="123"/>
      <c r="W52" s="123"/>
    </row>
    <row r="53" spans="1:34" ht="11.25" customHeight="1" outlineLevel="1">
      <c r="A53" s="123"/>
      <c r="B53" s="123"/>
      <c r="C53" s="170" t="str">
        <f t="shared" si="35"/>
        <v>WPI - average of BISOE and DAE</v>
      </c>
      <c r="D53" s="124" t="s">
        <v>94</v>
      </c>
      <c r="E53" s="124" t="str">
        <f t="shared" si="36"/>
        <v>Per cent</v>
      </c>
      <c r="F53" s="124"/>
      <c r="G53" s="124"/>
      <c r="H53" s="124"/>
      <c r="I53" s="124"/>
      <c r="J53" s="161"/>
      <c r="K53" s="162"/>
      <c r="L53" s="162"/>
      <c r="M53" s="162"/>
      <c r="N53" s="162"/>
      <c r="O53" s="162"/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71"/>
      <c r="V53" s="123"/>
      <c r="W53" s="123"/>
    </row>
    <row r="54" spans="1:34" ht="11.25" customHeight="1" outlineLevel="1">
      <c r="A54" s="123"/>
      <c r="B54" s="123"/>
      <c r="C54" s="170" t="str">
        <f t="shared" si="35"/>
        <v>Superannuation guarantee increases</v>
      </c>
      <c r="D54" s="124" t="s">
        <v>94</v>
      </c>
      <c r="E54" s="124" t="str">
        <f t="shared" si="36"/>
        <v>Per cent</v>
      </c>
      <c r="F54" s="124"/>
      <c r="G54" s="124"/>
      <c r="H54" s="124"/>
      <c r="I54" s="124"/>
      <c r="J54" s="161"/>
      <c r="K54" s="162"/>
      <c r="L54" s="162"/>
      <c r="M54" s="162"/>
      <c r="N54" s="162"/>
      <c r="O54" s="162"/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71"/>
      <c r="V54" s="166"/>
      <c r="W54" s="123"/>
    </row>
    <row r="55" spans="1:34" ht="11.25" customHeight="1" outlineLevel="1">
      <c r="A55" s="123"/>
      <c r="B55" s="123"/>
      <c r="C55" s="170" t="str">
        <f t="shared" si="35"/>
        <v>WPI - average + super guarantee increases</v>
      </c>
      <c r="D55" s="124" t="s">
        <v>94</v>
      </c>
      <c r="E55" s="124" t="str">
        <f t="shared" si="36"/>
        <v>Per cent</v>
      </c>
      <c r="F55" s="124"/>
      <c r="G55" s="124"/>
      <c r="H55" s="124"/>
      <c r="I55" s="124"/>
      <c r="J55" s="161"/>
      <c r="K55" s="162"/>
      <c r="L55" s="162"/>
      <c r="M55" s="162"/>
      <c r="N55" s="162"/>
      <c r="O55" s="162"/>
      <c r="P55" s="172">
        <v>0.59199999999999997</v>
      </c>
      <c r="Q55" s="172">
        <v>0.59199999999999997</v>
      </c>
      <c r="R55" s="172">
        <v>0.59199999999999997</v>
      </c>
      <c r="S55" s="172">
        <v>0.59199999999999997</v>
      </c>
      <c r="T55" s="172">
        <v>0.59199999999999997</v>
      </c>
      <c r="U55" s="171"/>
      <c r="V55" s="123"/>
      <c r="W55" s="123"/>
    </row>
    <row r="56" spans="1:34" ht="11.25" customHeight="1" outlineLevel="1">
      <c r="A56" s="123"/>
      <c r="B56" s="123"/>
      <c r="C56" s="170">
        <f t="shared" si="35"/>
        <v>0</v>
      </c>
      <c r="D56" s="124" t="s">
        <v>94</v>
      </c>
      <c r="E56" s="124" t="str">
        <f t="shared" si="36"/>
        <v>Per cent</v>
      </c>
      <c r="F56" s="124"/>
      <c r="G56" s="124"/>
      <c r="H56" s="124"/>
      <c r="I56" s="124"/>
      <c r="J56" s="161"/>
      <c r="K56" s="162"/>
      <c r="L56" s="162"/>
      <c r="M56" s="162"/>
      <c r="N56" s="162"/>
      <c r="O56" s="162"/>
      <c r="P56" s="147"/>
      <c r="Q56" s="147"/>
      <c r="R56" s="147"/>
      <c r="S56" s="147"/>
      <c r="T56" s="147"/>
      <c r="U56" s="171"/>
      <c r="V56" s="123"/>
      <c r="W56" s="123"/>
    </row>
    <row r="57" spans="1:34" ht="11.25" customHeight="1" outlineLevel="1">
      <c r="A57" s="123"/>
      <c r="B57" s="123"/>
      <c r="C57" s="170">
        <f t="shared" si="35"/>
        <v>0</v>
      </c>
      <c r="D57" s="124" t="s">
        <v>94</v>
      </c>
      <c r="E57" s="124" t="str">
        <f t="shared" si="36"/>
        <v>Per cent</v>
      </c>
      <c r="F57" s="124"/>
      <c r="G57" s="124"/>
      <c r="H57" s="124"/>
      <c r="I57" s="124"/>
      <c r="J57" s="161"/>
      <c r="K57" s="162"/>
      <c r="L57" s="162"/>
      <c r="M57" s="162"/>
      <c r="N57" s="162"/>
      <c r="O57" s="162"/>
      <c r="P57" s="147"/>
      <c r="Q57" s="147"/>
      <c r="R57" s="147"/>
      <c r="S57" s="147"/>
      <c r="T57" s="147"/>
      <c r="U57" s="171"/>
      <c r="V57" s="123"/>
      <c r="W57" s="123"/>
    </row>
    <row r="58" spans="1:34" ht="11.25" customHeight="1" outlineLevel="1">
      <c r="A58" s="123"/>
      <c r="B58" s="123"/>
      <c r="C58" s="170" t="str">
        <f t="shared" si="35"/>
        <v>CPI</v>
      </c>
      <c r="D58" s="124" t="s">
        <v>94</v>
      </c>
      <c r="E58" s="124" t="str">
        <f t="shared" si="36"/>
        <v>Per cent</v>
      </c>
      <c r="F58" s="124"/>
      <c r="G58" s="124"/>
      <c r="H58" s="124"/>
      <c r="I58" s="124"/>
      <c r="J58" s="161"/>
      <c r="K58" s="162"/>
      <c r="L58" s="162"/>
      <c r="M58" s="162"/>
      <c r="N58" s="162"/>
      <c r="O58" s="162"/>
      <c r="P58" s="147">
        <v>0.40800000000000003</v>
      </c>
      <c r="Q58" s="147">
        <v>0.40800000000000003</v>
      </c>
      <c r="R58" s="147">
        <v>0.40800000000000003</v>
      </c>
      <c r="S58" s="147">
        <v>0.40800000000000003</v>
      </c>
      <c r="T58" s="147">
        <v>0.40800000000000003</v>
      </c>
      <c r="U58" s="171"/>
      <c r="V58" s="123"/>
      <c r="W58" s="123"/>
    </row>
    <row r="59" spans="1:34" ht="11.25" customHeight="1" outlineLevel="1">
      <c r="A59" s="123"/>
      <c r="B59" s="123"/>
      <c r="C59" s="123"/>
      <c r="D59" s="124"/>
      <c r="E59" s="124"/>
      <c r="F59" s="124"/>
      <c r="G59" s="124"/>
      <c r="H59" s="124"/>
      <c r="I59" s="124"/>
      <c r="J59" s="124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34" outlineLevel="1">
      <c r="A60" s="123"/>
      <c r="B60" s="123"/>
      <c r="C60" s="123" t="s">
        <v>40</v>
      </c>
      <c r="D60" s="124" t="s">
        <v>91</v>
      </c>
      <c r="E60" s="124" t="s">
        <v>28</v>
      </c>
      <c r="F60" s="124" t="s">
        <v>36</v>
      </c>
      <c r="G60" s="124"/>
      <c r="H60" s="124"/>
      <c r="I60" s="124"/>
      <c r="J60" s="168" t="str">
        <f t="shared" ref="J60:S60" si="37">IF(J49=J$4,IF(SUM(J51:J58)=1,"Ok","Check"),"")</f>
        <v/>
      </c>
      <c r="K60" s="168" t="str">
        <f t="shared" si="37"/>
        <v/>
      </c>
      <c r="L60" s="168" t="str">
        <f t="shared" si="37"/>
        <v/>
      </c>
      <c r="M60" s="168" t="str">
        <f t="shared" si="37"/>
        <v/>
      </c>
      <c r="N60" s="168" t="str">
        <f t="shared" si="37"/>
        <v/>
      </c>
      <c r="O60" s="168" t="str">
        <f t="shared" si="37"/>
        <v/>
      </c>
      <c r="P60" s="168" t="str">
        <f t="shared" si="37"/>
        <v>Ok</v>
      </c>
      <c r="Q60" s="168" t="str">
        <f t="shared" si="37"/>
        <v>Ok</v>
      </c>
      <c r="R60" s="168" t="str">
        <f t="shared" si="37"/>
        <v>Ok</v>
      </c>
      <c r="S60" s="168" t="str">
        <f t="shared" si="37"/>
        <v>Ok</v>
      </c>
      <c r="T60" s="168" t="str">
        <f>IF(T49=T$4,IF(SUM(T51:T58)=1,"Ok","Check"),"")</f>
        <v>Ok</v>
      </c>
      <c r="U60" s="168" t="str">
        <f>IF(U49=U$4,IF(SUM(U51:U58)=1,"Ok","Check"),"")</f>
        <v/>
      </c>
      <c r="V60" s="169"/>
      <c r="W60" s="123"/>
      <c r="X60" s="81" t="str">
        <f>IF(COUNTIF(J60:U60,"Check")=0,"Ok","Check")</f>
        <v>Ok</v>
      </c>
    </row>
    <row r="61" spans="1:34">
      <c r="A61" s="123"/>
      <c r="B61" s="123"/>
      <c r="C61" s="123"/>
      <c r="D61" s="124"/>
      <c r="E61" s="124"/>
      <c r="F61" s="124"/>
      <c r="G61" s="124"/>
      <c r="H61" s="124"/>
      <c r="I61" s="124"/>
      <c r="J61" s="124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34" customFormat="1" ht="12.75">
      <c r="A62" s="119"/>
      <c r="B62" s="38" t="s">
        <v>77</v>
      </c>
      <c r="C62" s="119"/>
      <c r="D62" s="119"/>
      <c r="E62" s="119"/>
      <c r="F62" s="120"/>
      <c r="G62" s="120"/>
      <c r="H62" s="120"/>
      <c r="I62" s="120"/>
      <c r="J62" s="120"/>
      <c r="K62" s="121"/>
      <c r="L62" s="122"/>
      <c r="M62" s="121"/>
      <c r="N62" s="122"/>
      <c r="O62" s="121"/>
      <c r="P62" s="121"/>
      <c r="Q62" s="121"/>
      <c r="R62" s="121"/>
      <c r="S62" s="121"/>
      <c r="T62" s="121"/>
      <c r="U62" s="121"/>
      <c r="V62" s="121"/>
      <c r="W62" s="121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3"/>
      <c r="B63" s="123"/>
      <c r="C63" s="123"/>
      <c r="D63" s="124"/>
      <c r="E63" s="124"/>
      <c r="F63" s="124"/>
      <c r="G63" s="125"/>
      <c r="H63" s="125"/>
      <c r="I63" s="124"/>
      <c r="J63" s="124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34" outlineLevel="1">
      <c r="A64" s="123"/>
      <c r="B64" s="123"/>
      <c r="C64" s="126" t="s">
        <v>78</v>
      </c>
      <c r="D64" s="125" t="s">
        <v>7</v>
      </c>
      <c r="E64" s="125" t="s">
        <v>8</v>
      </c>
      <c r="F64" s="125" t="s">
        <v>22</v>
      </c>
      <c r="G64" s="125"/>
      <c r="H64" s="125"/>
      <c r="I64" s="124"/>
      <c r="J64" s="142" t="str">
        <f t="shared" ref="J64:U64" si="38">IF(YEAR(J$4)&gt;=PPLastYear,IF(YEAR(J$4)&lt;=FPLastYear,J$4,""),"")</f>
        <v/>
      </c>
      <c r="K64" s="142" t="str">
        <f t="shared" si="38"/>
        <v/>
      </c>
      <c r="L64" s="142" t="str">
        <f t="shared" si="38"/>
        <v/>
      </c>
      <c r="M64" s="142" t="str">
        <f t="shared" si="38"/>
        <v/>
      </c>
      <c r="N64" s="142" t="str">
        <f t="shared" si="38"/>
        <v/>
      </c>
      <c r="O64" s="142">
        <f t="shared" si="38"/>
        <v>45809</v>
      </c>
      <c r="P64" s="142">
        <f t="shared" si="38"/>
        <v>46174</v>
      </c>
      <c r="Q64" s="142">
        <f t="shared" si="38"/>
        <v>46539</v>
      </c>
      <c r="R64" s="142">
        <f t="shared" si="38"/>
        <v>46905</v>
      </c>
      <c r="S64" s="142">
        <f t="shared" si="38"/>
        <v>47270</v>
      </c>
      <c r="T64" s="142">
        <f t="shared" si="38"/>
        <v>47635</v>
      </c>
      <c r="U64" s="142" t="str">
        <f t="shared" si="38"/>
        <v/>
      </c>
      <c r="V64" s="123"/>
      <c r="W64" s="123"/>
    </row>
    <row r="65" spans="1:24" outlineLevel="1">
      <c r="A65" s="123"/>
      <c r="B65" s="123"/>
      <c r="C65" s="129"/>
      <c r="D65" s="124"/>
      <c r="E65" s="124"/>
      <c r="F65" s="124"/>
      <c r="G65" s="125"/>
      <c r="H65" s="125"/>
      <c r="I65" s="124"/>
      <c r="J65" s="124"/>
      <c r="K65" s="130"/>
      <c r="L65" s="130"/>
      <c r="M65" s="130"/>
      <c r="N65" s="130"/>
      <c r="O65" s="130"/>
      <c r="P65" s="123"/>
      <c r="Q65" s="123"/>
      <c r="R65" s="123"/>
      <c r="S65" s="123"/>
      <c r="T65" s="123"/>
      <c r="U65" s="123"/>
      <c r="V65" s="123"/>
      <c r="W65" s="123"/>
    </row>
    <row r="66" spans="1:24" outlineLevel="1">
      <c r="A66" s="123"/>
      <c r="B66" s="123"/>
      <c r="C66" s="131" t="s">
        <v>174</v>
      </c>
      <c r="D66" s="124" t="s">
        <v>94</v>
      </c>
      <c r="E66" s="124" t="s">
        <v>18</v>
      </c>
      <c r="F66" s="124" t="s">
        <v>36</v>
      </c>
      <c r="G66" s="125"/>
      <c r="H66" s="125"/>
      <c r="I66" s="124"/>
      <c r="J66" s="161"/>
      <c r="K66" s="173"/>
      <c r="L66" s="173"/>
      <c r="M66" s="173"/>
      <c r="N66" s="173"/>
      <c r="O66" s="145">
        <v>798535.0040017498</v>
      </c>
      <c r="P66" s="145">
        <v>805073.77412921959</v>
      </c>
      <c r="Q66" s="145">
        <v>812032.04189831472</v>
      </c>
      <c r="R66" s="145">
        <v>818852.30496988236</v>
      </c>
      <c r="S66" s="145">
        <v>825520.77894716919</v>
      </c>
      <c r="T66" s="145">
        <v>832018.63724487845</v>
      </c>
      <c r="U66" s="145"/>
      <c r="V66" s="123"/>
      <c r="W66" s="123"/>
    </row>
    <row r="67" spans="1:24" outlineLevel="1">
      <c r="A67" s="123"/>
      <c r="B67" s="123"/>
      <c r="C67" s="131" t="s">
        <v>175</v>
      </c>
      <c r="D67" s="124" t="s">
        <v>94</v>
      </c>
      <c r="E67" s="124" t="s">
        <v>18</v>
      </c>
      <c r="F67" s="124" t="s">
        <v>36</v>
      </c>
      <c r="G67" s="125"/>
      <c r="H67" s="125"/>
      <c r="I67" s="124"/>
      <c r="J67" s="161"/>
      <c r="K67" s="173"/>
      <c r="L67" s="173"/>
      <c r="M67" s="173"/>
      <c r="N67" s="173"/>
      <c r="O67" s="145">
        <v>154866.94792538355</v>
      </c>
      <c r="P67" s="145">
        <v>155311.74368931301</v>
      </c>
      <c r="Q67" s="145">
        <v>155760.45092015993</v>
      </c>
      <c r="R67" s="145">
        <v>156222.13441261009</v>
      </c>
      <c r="S67" s="145">
        <v>156678.87623322755</v>
      </c>
      <c r="T67" s="145">
        <v>157149.72751933712</v>
      </c>
      <c r="U67" s="145"/>
      <c r="V67" s="123"/>
      <c r="W67" s="123"/>
    </row>
    <row r="68" spans="1:24" outlineLevel="1">
      <c r="A68" s="123"/>
      <c r="B68" s="123"/>
      <c r="C68" s="131" t="s">
        <v>176</v>
      </c>
      <c r="D68" s="124" t="s">
        <v>94</v>
      </c>
      <c r="E68" s="124" t="s">
        <v>18</v>
      </c>
      <c r="F68" s="124" t="s">
        <v>36</v>
      </c>
      <c r="G68" s="125"/>
      <c r="H68" s="125"/>
      <c r="I68" s="124"/>
      <c r="J68" s="161"/>
      <c r="K68" s="173"/>
      <c r="L68" s="173"/>
      <c r="M68" s="173"/>
      <c r="N68" s="173"/>
      <c r="O68" s="145">
        <v>3238.0459999999998</v>
      </c>
      <c r="P68" s="145">
        <v>3238.0459999999998</v>
      </c>
      <c r="Q68" s="145">
        <v>3238.0459999999998</v>
      </c>
      <c r="R68" s="145">
        <v>3238.0459999999998</v>
      </c>
      <c r="S68" s="145">
        <v>3238.0459999999998</v>
      </c>
      <c r="T68" s="145">
        <v>3238.0459999999998</v>
      </c>
      <c r="U68" s="145"/>
      <c r="V68" s="123"/>
      <c r="W68" s="123"/>
    </row>
    <row r="69" spans="1:24" outlineLevel="1">
      <c r="A69" s="123"/>
      <c r="B69" s="123"/>
      <c r="C69" s="131"/>
      <c r="D69" s="124" t="s">
        <v>94</v>
      </c>
      <c r="E69" s="124" t="s">
        <v>18</v>
      </c>
      <c r="F69" s="124" t="s">
        <v>36</v>
      </c>
      <c r="G69" s="125"/>
      <c r="H69" s="125"/>
      <c r="I69" s="124"/>
      <c r="J69" s="161"/>
      <c r="K69" s="173"/>
      <c r="L69" s="173"/>
      <c r="M69" s="173"/>
      <c r="N69" s="173"/>
      <c r="O69" s="145"/>
      <c r="P69" s="145"/>
      <c r="Q69" s="145"/>
      <c r="R69" s="145"/>
      <c r="S69" s="145"/>
      <c r="T69" s="145"/>
      <c r="U69" s="145"/>
      <c r="V69" s="123"/>
      <c r="W69" s="123"/>
    </row>
    <row r="70" spans="1:24" outlineLevel="1">
      <c r="A70" s="123"/>
      <c r="B70" s="123"/>
      <c r="C70" s="131"/>
      <c r="D70" s="124" t="s">
        <v>94</v>
      </c>
      <c r="E70" s="124" t="s">
        <v>18</v>
      </c>
      <c r="F70" s="124" t="s">
        <v>36</v>
      </c>
      <c r="G70" s="125"/>
      <c r="H70" s="125"/>
      <c r="I70" s="124"/>
      <c r="J70" s="161"/>
      <c r="K70" s="173"/>
      <c r="L70" s="173"/>
      <c r="M70" s="173"/>
      <c r="N70" s="173"/>
      <c r="O70" s="145"/>
      <c r="P70" s="145"/>
      <c r="Q70" s="145"/>
      <c r="R70" s="145"/>
      <c r="S70" s="145"/>
      <c r="T70" s="145"/>
      <c r="U70" s="145"/>
      <c r="V70" s="123"/>
      <c r="W70" s="123"/>
    </row>
    <row r="71" spans="1:24" outlineLevel="1">
      <c r="A71" s="123"/>
      <c r="B71" s="123"/>
      <c r="C71" s="131"/>
      <c r="D71" s="124" t="s">
        <v>94</v>
      </c>
      <c r="E71" s="124" t="s">
        <v>18</v>
      </c>
      <c r="F71" s="124" t="s">
        <v>36</v>
      </c>
      <c r="G71" s="125"/>
      <c r="H71" s="125"/>
      <c r="I71" s="124"/>
      <c r="J71" s="161"/>
      <c r="K71" s="173"/>
      <c r="L71" s="173"/>
      <c r="M71" s="173"/>
      <c r="N71" s="173"/>
      <c r="O71" s="145"/>
      <c r="P71" s="145"/>
      <c r="Q71" s="145"/>
      <c r="R71" s="145"/>
      <c r="S71" s="145"/>
      <c r="T71" s="145"/>
      <c r="U71" s="145"/>
      <c r="V71" s="123"/>
      <c r="W71" s="123"/>
    </row>
    <row r="72" spans="1:24" outlineLevel="1">
      <c r="A72" s="123"/>
      <c r="B72" s="123"/>
      <c r="C72" s="129"/>
      <c r="D72" s="124"/>
      <c r="E72" s="124"/>
      <c r="F72" s="124"/>
      <c r="G72" s="125"/>
      <c r="H72" s="125"/>
      <c r="I72" s="124"/>
      <c r="J72" s="124"/>
      <c r="K72" s="130"/>
      <c r="L72" s="130"/>
      <c r="M72" s="130"/>
      <c r="N72" s="130"/>
      <c r="O72" s="130"/>
      <c r="P72" s="123"/>
      <c r="Q72" s="123"/>
      <c r="R72" s="123"/>
      <c r="S72" s="123"/>
      <c r="T72" s="123"/>
      <c r="U72" s="123"/>
      <c r="V72" s="123"/>
      <c r="W72" s="123"/>
    </row>
    <row r="73" spans="1:24" outlineLevel="1">
      <c r="A73" s="123"/>
      <c r="B73" s="123"/>
      <c r="C73" s="123" t="s">
        <v>40</v>
      </c>
      <c r="D73" s="124" t="s">
        <v>91</v>
      </c>
      <c r="E73" s="124" t="s">
        <v>28</v>
      </c>
      <c r="F73" s="124" t="s">
        <v>36</v>
      </c>
      <c r="G73" s="124"/>
      <c r="H73" s="124"/>
      <c r="I73" s="124"/>
      <c r="J73" s="168" t="str">
        <f t="shared" ref="J73:N73" si="39">IF(J64=J$4,IF(COUNTA($C66:$C71)=COUNT(J66:J71),"Ok","Check"),"")</f>
        <v/>
      </c>
      <c r="K73" s="168" t="str">
        <f t="shared" si="39"/>
        <v/>
      </c>
      <c r="L73" s="168" t="str">
        <f t="shared" si="39"/>
        <v/>
      </c>
      <c r="M73" s="168" t="str">
        <f t="shared" si="39"/>
        <v/>
      </c>
      <c r="N73" s="168" t="str">
        <f t="shared" si="39"/>
        <v/>
      </c>
      <c r="O73" s="168" t="str">
        <f t="shared" ref="O73:U73" si="40">IF(O64=O$4,IF(COUNTA($C66:$C71)=COUNT(O66:O71),"Ok","Check"),"")</f>
        <v>Ok</v>
      </c>
      <c r="P73" s="168" t="str">
        <f t="shared" si="40"/>
        <v>Ok</v>
      </c>
      <c r="Q73" s="168" t="str">
        <f t="shared" si="40"/>
        <v>Ok</v>
      </c>
      <c r="R73" s="168" t="str">
        <f t="shared" si="40"/>
        <v>Ok</v>
      </c>
      <c r="S73" s="168" t="str">
        <f t="shared" si="40"/>
        <v>Ok</v>
      </c>
      <c r="T73" s="168" t="str">
        <f t="shared" si="40"/>
        <v>Ok</v>
      </c>
      <c r="U73" s="168" t="str">
        <f t="shared" si="40"/>
        <v/>
      </c>
      <c r="V73" s="169"/>
      <c r="W73" s="123"/>
      <c r="X73" s="81" t="str">
        <f>IF(COUNTIF(J73:U73,"Check")=0,"Ok","Check")</f>
        <v>Ok</v>
      </c>
    </row>
    <row r="74" spans="1:24" outlineLevel="1">
      <c r="A74" s="123"/>
      <c r="B74" s="123"/>
      <c r="C74" s="129"/>
      <c r="D74" s="124"/>
      <c r="E74" s="124"/>
      <c r="F74" s="124"/>
      <c r="G74" s="125"/>
      <c r="H74" s="125"/>
      <c r="I74" s="124"/>
      <c r="J74" s="124"/>
      <c r="K74" s="130"/>
      <c r="L74" s="130"/>
      <c r="M74" s="130"/>
      <c r="N74" s="130"/>
      <c r="O74" s="130"/>
      <c r="P74" s="123"/>
      <c r="Q74" s="123"/>
      <c r="R74" s="123"/>
      <c r="S74" s="123"/>
      <c r="T74" s="123"/>
      <c r="U74" s="123"/>
      <c r="V74" s="123"/>
      <c r="W74" s="123"/>
    </row>
    <row r="75" spans="1:24" outlineLevel="1">
      <c r="A75" s="123"/>
      <c r="B75" s="123"/>
      <c r="C75" s="126" t="s">
        <v>81</v>
      </c>
      <c r="D75" s="125" t="s">
        <v>7</v>
      </c>
      <c r="E75" s="125" t="s">
        <v>8</v>
      </c>
      <c r="F75" s="125" t="s">
        <v>22</v>
      </c>
      <c r="G75" s="125"/>
      <c r="H75" s="125"/>
      <c r="I75" s="124"/>
      <c r="J75" s="142" t="str">
        <f t="shared" ref="J75:U75" si="41">IF(YEAR(J$4)&gt;=FPFirstYear,IF(YEAR(J$4)&lt;=FPLastYear,J$4,""),"")</f>
        <v/>
      </c>
      <c r="K75" s="142" t="str">
        <f t="shared" si="41"/>
        <v/>
      </c>
      <c r="L75" s="142" t="str">
        <f t="shared" si="41"/>
        <v/>
      </c>
      <c r="M75" s="142" t="str">
        <f t="shared" si="41"/>
        <v/>
      </c>
      <c r="N75" s="142" t="str">
        <f t="shared" si="41"/>
        <v/>
      </c>
      <c r="O75" s="142" t="str">
        <f t="shared" si="41"/>
        <v/>
      </c>
      <c r="P75" s="142">
        <f t="shared" si="41"/>
        <v>46174</v>
      </c>
      <c r="Q75" s="142">
        <f t="shared" si="41"/>
        <v>46539</v>
      </c>
      <c r="R75" s="142">
        <f t="shared" si="41"/>
        <v>46905</v>
      </c>
      <c r="S75" s="142">
        <f t="shared" si="41"/>
        <v>47270</v>
      </c>
      <c r="T75" s="142">
        <f t="shared" si="41"/>
        <v>47635</v>
      </c>
      <c r="U75" s="142" t="str">
        <f t="shared" si="41"/>
        <v/>
      </c>
      <c r="V75" s="123" t="str">
        <f>IF(RIGHT(V$4,2)&gt;=RIGHT('Input|General'!$G$13,2),IF(RIGHT(V$4,2)&lt;='Input|General'!$G$14,'Input|Reported opex'!U$4,""),"")</f>
        <v/>
      </c>
      <c r="W75" s="123"/>
    </row>
    <row r="76" spans="1:24" outlineLevel="1">
      <c r="A76" s="123"/>
      <c r="B76" s="123"/>
      <c r="C76" s="129"/>
      <c r="D76" s="124"/>
      <c r="E76" s="124"/>
      <c r="F76" s="124"/>
      <c r="G76" s="125"/>
      <c r="H76" s="125"/>
      <c r="I76" s="124"/>
      <c r="J76" s="124"/>
      <c r="K76" s="130"/>
      <c r="L76" s="130"/>
      <c r="M76" s="130"/>
      <c r="N76" s="130"/>
      <c r="O76" s="130"/>
      <c r="P76" s="123"/>
      <c r="Q76" s="123"/>
      <c r="R76" s="123"/>
      <c r="S76" s="123"/>
      <c r="T76" s="123"/>
      <c r="U76" s="123"/>
      <c r="V76" s="123"/>
      <c r="W76" s="123"/>
    </row>
    <row r="77" spans="1:24" outlineLevel="1">
      <c r="A77" s="123"/>
      <c r="B77" s="123"/>
      <c r="C77" s="170" t="str">
        <f>C66</f>
        <v>Customer numbers (#)</v>
      </c>
      <c r="D77" s="124" t="s">
        <v>91</v>
      </c>
      <c r="E77" s="124" t="s">
        <v>18</v>
      </c>
      <c r="F77" s="124" t="s">
        <v>36</v>
      </c>
      <c r="G77" s="125"/>
      <c r="H77" s="125"/>
      <c r="I77" s="124"/>
      <c r="J77" s="174" t="str">
        <f t="shared" ref="J77:M77" si="42">IF(ISBLANK(I66),"",IF(ISBLANK(J66),"",LN(J66)-LN(I66)))</f>
        <v/>
      </c>
      <c r="K77" s="174" t="str">
        <f t="shared" si="42"/>
        <v/>
      </c>
      <c r="L77" s="174" t="str">
        <f t="shared" si="42"/>
        <v/>
      </c>
      <c r="M77" s="174" t="str">
        <f t="shared" si="42"/>
        <v/>
      </c>
      <c r="N77" s="174" t="str">
        <f t="shared" ref="N77:U77" si="43">IF(ISBLANK(M66),"",IF(ISBLANK(N66),"",LN(N66)-LN(M66)))</f>
        <v/>
      </c>
      <c r="O77" s="174" t="str">
        <f t="shared" si="43"/>
        <v/>
      </c>
      <c r="P77" s="174">
        <f>IF(ISBLANK(O66),"",IF(ISBLANK(P66),"",LN(P66)-LN(O66)))</f>
        <v>8.1551142092699536E-3</v>
      </c>
      <c r="Q77" s="174">
        <f t="shared" si="43"/>
        <v>8.6058817485934469E-3</v>
      </c>
      <c r="R77" s="174">
        <f t="shared" si="43"/>
        <v>8.3639319294626091E-3</v>
      </c>
      <c r="S77" s="174">
        <f t="shared" si="43"/>
        <v>8.1107026121554071E-3</v>
      </c>
      <c r="T77" s="174">
        <f t="shared" si="43"/>
        <v>7.84040671437225E-3</v>
      </c>
      <c r="U77" s="174" t="str">
        <f t="shared" si="43"/>
        <v/>
      </c>
      <c r="V77" s="123"/>
      <c r="W77" s="123"/>
    </row>
    <row r="78" spans="1:24" outlineLevel="1">
      <c r="A78" s="123"/>
      <c r="B78" s="123"/>
      <c r="C78" s="170" t="str">
        <f t="shared" ref="C78:C82" si="44">C67</f>
        <v>Circuit Length (km)</v>
      </c>
      <c r="D78" s="124" t="s">
        <v>91</v>
      </c>
      <c r="E78" s="124" t="s">
        <v>18</v>
      </c>
      <c r="F78" s="124" t="s">
        <v>36</v>
      </c>
      <c r="G78" s="125"/>
      <c r="H78" s="125"/>
      <c r="I78" s="124"/>
      <c r="J78" s="174" t="str">
        <f t="shared" ref="J78:N78" si="45">IF(ISBLANK(I67),"",IF(ISBLANK(J67),"",LN(J67)-LN(I67)))</f>
        <v/>
      </c>
      <c r="K78" s="174" t="str">
        <f t="shared" si="45"/>
        <v/>
      </c>
      <c r="L78" s="174" t="str">
        <f t="shared" si="45"/>
        <v/>
      </c>
      <c r="M78" s="174" t="str">
        <f t="shared" si="45"/>
        <v/>
      </c>
      <c r="N78" s="174" t="str">
        <f t="shared" si="45"/>
        <v/>
      </c>
      <c r="O78" s="174" t="str">
        <f t="shared" ref="O78:U78" si="46">IF(ISBLANK(N67),"",IF(ISBLANK(O67),"",LN(O67)-LN(N67)))</f>
        <v/>
      </c>
      <c r="P78" s="174">
        <f t="shared" si="46"/>
        <v>2.8679988718742777E-3</v>
      </c>
      <c r="Q78" s="174">
        <f t="shared" si="46"/>
        <v>2.8849093543374948E-3</v>
      </c>
      <c r="R78" s="174">
        <f t="shared" si="46"/>
        <v>2.959676925394561E-3</v>
      </c>
      <c r="S78" s="174">
        <f t="shared" si="46"/>
        <v>2.9194034501340838E-3</v>
      </c>
      <c r="T78" s="174">
        <f t="shared" si="46"/>
        <v>3.0006929501080748E-3</v>
      </c>
      <c r="U78" s="174" t="str">
        <f t="shared" si="46"/>
        <v/>
      </c>
      <c r="V78" s="123"/>
      <c r="W78" s="123"/>
    </row>
    <row r="79" spans="1:24" outlineLevel="1">
      <c r="A79" s="123"/>
      <c r="B79" s="123"/>
      <c r="C79" s="170" t="str">
        <f t="shared" si="44"/>
        <v xml:space="preserve">Ratcheted maximum demand </v>
      </c>
      <c r="D79" s="124" t="s">
        <v>91</v>
      </c>
      <c r="E79" s="124" t="s">
        <v>18</v>
      </c>
      <c r="F79" s="124" t="s">
        <v>36</v>
      </c>
      <c r="G79" s="125"/>
      <c r="H79" s="125"/>
      <c r="I79" s="124"/>
      <c r="J79" s="174" t="str">
        <f t="shared" ref="J79:U79" si="47">IF(ISBLANK(I68),"",IF(ISBLANK(J68),"",LN(J68)-LN(I68)))</f>
        <v/>
      </c>
      <c r="K79" s="174" t="str">
        <f t="shared" si="47"/>
        <v/>
      </c>
      <c r="L79" s="174" t="str">
        <f t="shared" si="47"/>
        <v/>
      </c>
      <c r="M79" s="174" t="str">
        <f t="shared" si="47"/>
        <v/>
      </c>
      <c r="N79" s="174" t="str">
        <f t="shared" si="47"/>
        <v/>
      </c>
      <c r="O79" s="174" t="str">
        <f t="shared" si="47"/>
        <v/>
      </c>
      <c r="P79" s="174">
        <f t="shared" si="47"/>
        <v>0</v>
      </c>
      <c r="Q79" s="174">
        <f t="shared" si="47"/>
        <v>0</v>
      </c>
      <c r="R79" s="174">
        <f t="shared" si="47"/>
        <v>0</v>
      </c>
      <c r="S79" s="174">
        <f t="shared" si="47"/>
        <v>0</v>
      </c>
      <c r="T79" s="174">
        <f t="shared" si="47"/>
        <v>0</v>
      </c>
      <c r="U79" s="174" t="str">
        <f t="shared" si="47"/>
        <v/>
      </c>
      <c r="V79" s="123"/>
      <c r="W79" s="123"/>
    </row>
    <row r="80" spans="1:24" outlineLevel="1">
      <c r="A80" s="123"/>
      <c r="B80" s="123"/>
      <c r="C80" s="170">
        <f t="shared" si="44"/>
        <v>0</v>
      </c>
      <c r="D80" s="124" t="s">
        <v>91</v>
      </c>
      <c r="E80" s="124" t="s">
        <v>18</v>
      </c>
      <c r="F80" s="124" t="s">
        <v>36</v>
      </c>
      <c r="G80" s="125"/>
      <c r="H80" s="125"/>
      <c r="I80" s="124"/>
      <c r="J80" s="174" t="str">
        <f t="shared" ref="J80:U80" si="48">IF(ISBLANK(I69),"",IF(ISBLANK(J69),"",LN(J69)-LN(I69)))</f>
        <v/>
      </c>
      <c r="K80" s="174" t="str">
        <f t="shared" si="48"/>
        <v/>
      </c>
      <c r="L80" s="174" t="str">
        <f t="shared" si="48"/>
        <v/>
      </c>
      <c r="M80" s="174" t="str">
        <f t="shared" si="48"/>
        <v/>
      </c>
      <c r="N80" s="174" t="str">
        <f t="shared" si="48"/>
        <v/>
      </c>
      <c r="O80" s="174" t="str">
        <f t="shared" si="48"/>
        <v/>
      </c>
      <c r="P80" s="174" t="str">
        <f t="shared" si="48"/>
        <v/>
      </c>
      <c r="Q80" s="174" t="str">
        <f t="shared" si="48"/>
        <v/>
      </c>
      <c r="R80" s="174" t="str">
        <f t="shared" si="48"/>
        <v/>
      </c>
      <c r="S80" s="174" t="str">
        <f t="shared" si="48"/>
        <v/>
      </c>
      <c r="T80" s="174" t="str">
        <f t="shared" si="48"/>
        <v/>
      </c>
      <c r="U80" s="174" t="str">
        <f t="shared" si="48"/>
        <v/>
      </c>
      <c r="V80" s="123"/>
      <c r="W80" s="123"/>
    </row>
    <row r="81" spans="1:24" outlineLevel="1">
      <c r="A81" s="123"/>
      <c r="B81" s="123"/>
      <c r="C81" s="170">
        <f t="shared" si="44"/>
        <v>0</v>
      </c>
      <c r="D81" s="124" t="s">
        <v>91</v>
      </c>
      <c r="E81" s="124" t="s">
        <v>18</v>
      </c>
      <c r="F81" s="124" t="s">
        <v>36</v>
      </c>
      <c r="G81" s="125"/>
      <c r="H81" s="125"/>
      <c r="I81" s="124"/>
      <c r="J81" s="174" t="str">
        <f t="shared" ref="J81:T81" si="49">IF(ISBLANK(I70),"",IF(ISBLANK(J70),"",LN(J70)-LN(I70)))</f>
        <v/>
      </c>
      <c r="K81" s="174" t="str">
        <f t="shared" si="49"/>
        <v/>
      </c>
      <c r="L81" s="174" t="str">
        <f t="shared" si="49"/>
        <v/>
      </c>
      <c r="M81" s="174" t="str">
        <f t="shared" si="49"/>
        <v/>
      </c>
      <c r="N81" s="174" t="str">
        <f t="shared" si="49"/>
        <v/>
      </c>
      <c r="O81" s="174" t="str">
        <f t="shared" si="49"/>
        <v/>
      </c>
      <c r="P81" s="174" t="str">
        <f t="shared" si="49"/>
        <v/>
      </c>
      <c r="Q81" s="174" t="str">
        <f t="shared" si="49"/>
        <v/>
      </c>
      <c r="R81" s="174" t="str">
        <f t="shared" si="49"/>
        <v/>
      </c>
      <c r="S81" s="174" t="str">
        <f t="shared" si="49"/>
        <v/>
      </c>
      <c r="T81" s="174" t="str">
        <f t="shared" si="49"/>
        <v/>
      </c>
      <c r="U81" s="174"/>
      <c r="V81" s="123"/>
      <c r="W81" s="123"/>
    </row>
    <row r="82" spans="1:24" outlineLevel="1">
      <c r="A82" s="123"/>
      <c r="B82" s="123"/>
      <c r="C82" s="170">
        <f t="shared" si="44"/>
        <v>0</v>
      </c>
      <c r="D82" s="124" t="s">
        <v>91</v>
      </c>
      <c r="E82" s="124" t="s">
        <v>18</v>
      </c>
      <c r="F82" s="124" t="s">
        <v>36</v>
      </c>
      <c r="G82" s="125"/>
      <c r="H82" s="125"/>
      <c r="I82" s="124"/>
      <c r="J82" s="174" t="str">
        <f t="shared" ref="J82:T82" si="50">IF(ISBLANK(I71),"",IF(ISBLANK(J71),"",LN(J71)-LN(I71)))</f>
        <v/>
      </c>
      <c r="K82" s="174" t="str">
        <f t="shared" si="50"/>
        <v/>
      </c>
      <c r="L82" s="174" t="str">
        <f t="shared" si="50"/>
        <v/>
      </c>
      <c r="M82" s="174" t="str">
        <f t="shared" si="50"/>
        <v/>
      </c>
      <c r="N82" s="174" t="str">
        <f t="shared" si="50"/>
        <v/>
      </c>
      <c r="O82" s="174" t="str">
        <f t="shared" si="50"/>
        <v/>
      </c>
      <c r="P82" s="174" t="str">
        <f t="shared" si="50"/>
        <v/>
      </c>
      <c r="Q82" s="174" t="str">
        <f t="shared" si="50"/>
        <v/>
      </c>
      <c r="R82" s="174" t="str">
        <f t="shared" si="50"/>
        <v/>
      </c>
      <c r="S82" s="174" t="str">
        <f t="shared" si="50"/>
        <v/>
      </c>
      <c r="T82" s="174" t="str">
        <f t="shared" si="50"/>
        <v/>
      </c>
      <c r="U82" s="174"/>
      <c r="V82" s="123"/>
      <c r="W82" s="123"/>
    </row>
    <row r="83" spans="1:24" outlineLevel="1">
      <c r="A83" s="123"/>
      <c r="B83" s="123"/>
      <c r="C83" s="129"/>
      <c r="D83" s="124"/>
      <c r="E83" s="124"/>
      <c r="F83" s="124"/>
      <c r="G83" s="125"/>
      <c r="H83" s="125"/>
      <c r="I83" s="124"/>
      <c r="J83" s="124"/>
      <c r="K83" s="130"/>
      <c r="L83" s="130"/>
      <c r="M83" s="130"/>
      <c r="N83" s="130"/>
      <c r="O83" s="130"/>
      <c r="P83" s="123"/>
      <c r="Q83" s="123"/>
      <c r="R83" s="123"/>
      <c r="S83" s="123"/>
      <c r="T83" s="123"/>
      <c r="U83" s="123"/>
      <c r="V83" s="123"/>
      <c r="W83" s="123"/>
    </row>
    <row r="84" spans="1:24" outlineLevel="1">
      <c r="A84" s="123"/>
      <c r="B84" s="123"/>
      <c r="C84" s="126" t="s">
        <v>191</v>
      </c>
      <c r="D84" s="125" t="s">
        <v>7</v>
      </c>
      <c r="E84" s="125" t="s">
        <v>8</v>
      </c>
      <c r="F84" s="125" t="s">
        <v>22</v>
      </c>
      <c r="G84" s="125"/>
      <c r="H84" s="125"/>
      <c r="I84" s="124"/>
      <c r="J84" s="175" t="s">
        <v>184</v>
      </c>
      <c r="K84" s="175" t="s">
        <v>185</v>
      </c>
      <c r="L84" s="175" t="s">
        <v>186</v>
      </c>
      <c r="M84" s="175" t="s">
        <v>187</v>
      </c>
      <c r="N84" s="130"/>
      <c r="O84" s="130"/>
      <c r="P84" s="123"/>
      <c r="Q84" s="123"/>
      <c r="R84" s="123"/>
      <c r="S84" s="123"/>
      <c r="T84" s="123"/>
      <c r="U84" s="123"/>
      <c r="V84" s="123"/>
      <c r="W84" s="123"/>
    </row>
    <row r="85" spans="1:24" outlineLevel="1">
      <c r="A85" s="123"/>
      <c r="B85" s="123"/>
      <c r="C85" s="129"/>
      <c r="D85" s="124"/>
      <c r="E85" s="124"/>
      <c r="F85" s="124"/>
      <c r="G85" s="125"/>
      <c r="H85" s="125"/>
      <c r="I85" s="124"/>
      <c r="J85" s="124"/>
      <c r="K85" s="130"/>
      <c r="L85" s="130"/>
      <c r="M85" s="130"/>
      <c r="N85" s="130"/>
      <c r="O85" s="130"/>
      <c r="P85" s="123"/>
      <c r="Q85" s="123"/>
      <c r="R85" s="123"/>
      <c r="S85" s="123"/>
      <c r="T85" s="123"/>
      <c r="U85" s="123"/>
      <c r="V85" s="123"/>
      <c r="W85" s="123"/>
    </row>
    <row r="86" spans="1:24" outlineLevel="1">
      <c r="A86" s="123"/>
      <c r="B86" s="123"/>
      <c r="C86" s="170" t="str">
        <f>C66</f>
        <v>Customer numbers (#)</v>
      </c>
      <c r="D86" s="124" t="s">
        <v>94</v>
      </c>
      <c r="E86" s="124" t="s">
        <v>18</v>
      </c>
      <c r="F86" s="124" t="s">
        <v>36</v>
      </c>
      <c r="G86" s="125"/>
      <c r="H86" s="125"/>
      <c r="I86" s="124"/>
      <c r="J86" s="176">
        <v>0.28000000000000003</v>
      </c>
      <c r="K86" s="176">
        <v>0.53600000000000003</v>
      </c>
      <c r="L86" s="176">
        <v>0.35699999999999998</v>
      </c>
      <c r="M86" s="176">
        <v>0.31840429999999997</v>
      </c>
      <c r="N86" s="130"/>
      <c r="O86" s="130"/>
      <c r="P86" s="123"/>
      <c r="Q86" s="123"/>
      <c r="R86" s="123"/>
      <c r="S86" s="123"/>
      <c r="T86" s="123"/>
      <c r="U86" s="123"/>
      <c r="V86" s="123"/>
      <c r="W86" s="123"/>
    </row>
    <row r="87" spans="1:24" outlineLevel="1">
      <c r="A87" s="123"/>
      <c r="B87" s="123"/>
      <c r="C87" s="170" t="str">
        <f t="shared" ref="C87:C91" si="51">C67</f>
        <v>Circuit Length (km)</v>
      </c>
      <c r="D87" s="124" t="s">
        <v>94</v>
      </c>
      <c r="E87" s="124" t="s">
        <v>18</v>
      </c>
      <c r="F87" s="124" t="s">
        <v>36</v>
      </c>
      <c r="G87" s="125"/>
      <c r="H87" s="125"/>
      <c r="I87" s="124"/>
      <c r="J87" s="176">
        <v>0.129</v>
      </c>
      <c r="K87" s="176">
        <v>0.22800000000000001</v>
      </c>
      <c r="L87" s="176">
        <v>0.23799999999999999</v>
      </c>
      <c r="M87" s="176">
        <v>0.16565669999999999</v>
      </c>
      <c r="N87" s="130"/>
      <c r="O87" s="130"/>
      <c r="P87" s="123"/>
      <c r="Q87" s="123"/>
      <c r="R87" s="123"/>
      <c r="S87" s="123"/>
      <c r="T87" s="123"/>
      <c r="U87" s="123"/>
      <c r="V87" s="123"/>
      <c r="W87" s="123"/>
    </row>
    <row r="88" spans="1:24" outlineLevel="1">
      <c r="A88" s="123"/>
      <c r="B88" s="123"/>
      <c r="C88" s="170" t="str">
        <f t="shared" si="51"/>
        <v xml:space="preserve">Ratcheted maximum demand </v>
      </c>
      <c r="D88" s="124" t="s">
        <v>94</v>
      </c>
      <c r="E88" s="124" t="s">
        <v>18</v>
      </c>
      <c r="F88" s="124" t="s">
        <v>36</v>
      </c>
      <c r="G88" s="125"/>
      <c r="H88" s="125"/>
      <c r="I88" s="124"/>
      <c r="J88" s="176">
        <v>0.55300000000000005</v>
      </c>
      <c r="K88" s="176">
        <v>0.19900000000000001</v>
      </c>
      <c r="L88" s="176">
        <v>0.36099999999999999</v>
      </c>
      <c r="M88" s="176">
        <v>0.4430868</v>
      </c>
      <c r="N88" s="130"/>
      <c r="O88" s="130"/>
      <c r="P88" s="123"/>
      <c r="Q88" s="123"/>
      <c r="R88" s="123"/>
      <c r="S88" s="123"/>
      <c r="T88" s="123"/>
      <c r="U88" s="123"/>
      <c r="V88" s="123"/>
      <c r="W88" s="123"/>
    </row>
    <row r="89" spans="1:24" outlineLevel="1">
      <c r="A89" s="123"/>
      <c r="B89" s="123"/>
      <c r="C89" s="170">
        <f t="shared" si="51"/>
        <v>0</v>
      </c>
      <c r="D89" s="124" t="s">
        <v>94</v>
      </c>
      <c r="E89" s="124" t="s">
        <v>18</v>
      </c>
      <c r="F89" s="124" t="s">
        <v>36</v>
      </c>
      <c r="G89" s="125"/>
      <c r="H89" s="125"/>
      <c r="I89" s="124"/>
      <c r="J89" s="176"/>
      <c r="K89" s="177"/>
      <c r="L89" s="177"/>
      <c r="M89" s="176"/>
      <c r="N89" s="130"/>
      <c r="O89" s="130"/>
      <c r="P89" s="123"/>
      <c r="Q89" s="123"/>
      <c r="R89" s="123"/>
      <c r="S89" s="123"/>
      <c r="T89" s="123"/>
      <c r="U89" s="123"/>
      <c r="V89" s="123"/>
      <c r="W89" s="123"/>
    </row>
    <row r="90" spans="1:24" outlineLevel="1">
      <c r="A90" s="123"/>
      <c r="B90" s="123"/>
      <c r="C90" s="170">
        <f t="shared" si="51"/>
        <v>0</v>
      </c>
      <c r="D90" s="124" t="s">
        <v>94</v>
      </c>
      <c r="E90" s="124" t="s">
        <v>18</v>
      </c>
      <c r="F90" s="124" t="s">
        <v>36</v>
      </c>
      <c r="G90" s="125"/>
      <c r="H90" s="125"/>
      <c r="I90" s="124"/>
      <c r="J90" s="177"/>
      <c r="K90" s="177"/>
      <c r="L90" s="177"/>
      <c r="M90" s="177"/>
      <c r="N90" s="130"/>
      <c r="O90" s="130"/>
      <c r="P90" s="123"/>
      <c r="Q90" s="123"/>
      <c r="R90" s="123"/>
      <c r="S90" s="123"/>
      <c r="T90" s="123"/>
      <c r="U90" s="123"/>
      <c r="V90" s="123"/>
      <c r="W90" s="123"/>
    </row>
    <row r="91" spans="1:24" outlineLevel="1">
      <c r="A91" s="123"/>
      <c r="B91" s="123"/>
      <c r="C91" s="170">
        <f t="shared" si="51"/>
        <v>0</v>
      </c>
      <c r="D91" s="124" t="s">
        <v>94</v>
      </c>
      <c r="E91" s="124" t="s">
        <v>18</v>
      </c>
      <c r="F91" s="124" t="s">
        <v>36</v>
      </c>
      <c r="G91" s="125"/>
      <c r="H91" s="125"/>
      <c r="I91" s="124"/>
      <c r="J91" s="177"/>
      <c r="K91" s="177"/>
      <c r="L91" s="177"/>
      <c r="M91" s="177"/>
      <c r="N91" s="130"/>
      <c r="O91" s="130"/>
      <c r="P91" s="123"/>
      <c r="Q91" s="123"/>
      <c r="R91" s="123"/>
      <c r="S91" s="123"/>
      <c r="T91" s="123"/>
      <c r="U91" s="123"/>
      <c r="V91" s="123"/>
      <c r="W91" s="123"/>
    </row>
    <row r="92" spans="1:24" outlineLevel="1">
      <c r="A92" s="123"/>
      <c r="B92" s="123"/>
      <c r="C92" s="129"/>
      <c r="D92" s="124"/>
      <c r="E92" s="124"/>
      <c r="F92" s="124"/>
      <c r="G92" s="125"/>
      <c r="H92" s="125"/>
      <c r="I92" s="124"/>
      <c r="J92" s="124"/>
      <c r="K92" s="130"/>
      <c r="L92" s="130"/>
      <c r="M92" s="130"/>
      <c r="N92" s="130"/>
      <c r="O92" s="130"/>
      <c r="P92" s="123"/>
      <c r="Q92" s="123"/>
      <c r="R92" s="123"/>
      <c r="S92" s="123"/>
      <c r="T92" s="123"/>
      <c r="U92" s="123"/>
      <c r="V92" s="123"/>
      <c r="W92" s="123"/>
    </row>
    <row r="93" spans="1:24" outlineLevel="1">
      <c r="A93" s="123"/>
      <c r="B93" s="123"/>
      <c r="C93" s="123" t="s">
        <v>40</v>
      </c>
      <c r="D93" s="124" t="s">
        <v>91</v>
      </c>
      <c r="E93" s="124" t="s">
        <v>28</v>
      </c>
      <c r="F93" s="124" t="s">
        <v>36</v>
      </c>
      <c r="G93" s="124"/>
      <c r="H93" s="124"/>
      <c r="I93" s="124"/>
      <c r="J93" s="168" t="str">
        <f>IF(AND(ISBLANK(J84),COUNT(J86:J91)=0),"Ok",IF(COUNTA($C66:$C71)=COUNT(J86:J91),"Ok","Check"))</f>
        <v>Ok</v>
      </c>
      <c r="K93" s="168" t="str">
        <f t="shared" ref="K93:M93" si="52">IF(AND(ISBLANK(K84),COUNT(K86:K91)=0),"Ok",IF(COUNTA($C66:$C71)=COUNT(K86:K91),"Ok","Check"))</f>
        <v>Ok</v>
      </c>
      <c r="L93" s="168" t="str">
        <f t="shared" si="52"/>
        <v>Ok</v>
      </c>
      <c r="M93" s="168" t="str">
        <f t="shared" si="52"/>
        <v>Ok</v>
      </c>
      <c r="N93" s="168"/>
      <c r="O93" s="168"/>
      <c r="P93" s="168"/>
      <c r="Q93" s="168"/>
      <c r="R93" s="168"/>
      <c r="S93" s="168"/>
      <c r="T93" s="168"/>
      <c r="U93" s="168"/>
      <c r="V93" s="169"/>
      <c r="W93" s="123"/>
      <c r="X93" s="81" t="str">
        <f>IF(COUNTIF(K93:T93,"Check")=0,"Ok","Check")</f>
        <v>Ok</v>
      </c>
    </row>
    <row r="94" spans="1:24" outlineLevel="1">
      <c r="A94" s="123"/>
      <c r="B94" s="123"/>
      <c r="C94" s="129"/>
      <c r="D94" s="124"/>
      <c r="E94" s="124"/>
      <c r="F94" s="124"/>
      <c r="G94" s="125"/>
      <c r="H94" s="125"/>
      <c r="I94" s="124"/>
      <c r="J94" s="124"/>
      <c r="K94" s="130"/>
      <c r="L94" s="130"/>
      <c r="M94" s="130"/>
      <c r="N94" s="130"/>
      <c r="O94" s="130"/>
      <c r="P94" s="123"/>
      <c r="Q94" s="123"/>
      <c r="R94" s="123"/>
      <c r="S94" s="123"/>
      <c r="T94" s="123"/>
      <c r="U94" s="123"/>
      <c r="V94" s="123"/>
      <c r="W94" s="123"/>
    </row>
    <row r="95" spans="1:24" outlineLevel="1">
      <c r="A95" s="123"/>
      <c r="B95" s="123"/>
      <c r="C95" s="126" t="s">
        <v>150</v>
      </c>
      <c r="D95" s="125" t="s">
        <v>7</v>
      </c>
      <c r="E95" s="125" t="s">
        <v>8</v>
      </c>
      <c r="F95" s="125" t="s">
        <v>22</v>
      </c>
      <c r="G95" s="125"/>
      <c r="H95" s="125"/>
      <c r="I95" s="124"/>
      <c r="J95" s="208" t="str">
        <f>J84</f>
        <v>SFA CD</v>
      </c>
      <c r="K95" s="208" t="str">
        <f>K84</f>
        <v>LSE CD</v>
      </c>
      <c r="L95" s="208" t="str">
        <f>L84</f>
        <v>LSE TLG</v>
      </c>
      <c r="M95" s="208" t="str">
        <f>M84</f>
        <v>SFA TLG</v>
      </c>
      <c r="N95" s="142"/>
      <c r="O95" s="142"/>
      <c r="P95" s="142"/>
      <c r="Q95" s="142"/>
      <c r="R95" s="142"/>
      <c r="S95" s="142"/>
      <c r="T95" s="142"/>
      <c r="U95" s="142"/>
      <c r="V95" s="123"/>
      <c r="W95" s="123"/>
    </row>
    <row r="96" spans="1:24" outlineLevel="1">
      <c r="A96" s="123"/>
      <c r="B96" s="123"/>
      <c r="C96" s="129"/>
      <c r="D96" s="124"/>
      <c r="E96" s="124"/>
      <c r="F96" s="124"/>
      <c r="G96" s="125"/>
      <c r="H96" s="125"/>
      <c r="I96" s="124"/>
      <c r="J96" s="209"/>
      <c r="K96" s="130"/>
      <c r="L96" s="130"/>
      <c r="M96" s="130"/>
      <c r="N96" s="130"/>
      <c r="O96" s="178"/>
      <c r="P96" s="178"/>
      <c r="Q96" s="178"/>
      <c r="R96" s="178"/>
      <c r="S96" s="178"/>
      <c r="T96" s="178"/>
      <c r="U96" s="178"/>
      <c r="V96" s="123"/>
      <c r="W96" s="123"/>
    </row>
    <row r="97" spans="1:34" outlineLevel="1">
      <c r="A97" s="123"/>
      <c r="B97" s="123"/>
      <c r="C97" s="170" t="str">
        <f t="shared" ref="C97:C102" si="53">C66</f>
        <v>Customer numbers (#)</v>
      </c>
      <c r="D97" s="124" t="s">
        <v>91</v>
      </c>
      <c r="E97" s="124" t="str">
        <f t="shared" ref="E97:E102" si="54">percent</f>
        <v>Per cent</v>
      </c>
      <c r="F97" s="124" t="s">
        <v>36</v>
      </c>
      <c r="G97" s="125"/>
      <c r="H97" s="125"/>
      <c r="I97" s="124"/>
      <c r="J97" s="210">
        <f t="shared" ref="J97:M102" si="55">J86/SUM(J$86:J$91)</f>
        <v>0.29106029106029108</v>
      </c>
      <c r="K97" s="210">
        <f t="shared" si="55"/>
        <v>0.55659397715472481</v>
      </c>
      <c r="L97" s="210">
        <f t="shared" si="55"/>
        <v>0.37343096234309625</v>
      </c>
      <c r="M97" s="210">
        <f t="shared" si="55"/>
        <v>0.34342345416771736</v>
      </c>
      <c r="N97" s="179"/>
      <c r="O97" s="179"/>
      <c r="P97" s="179"/>
      <c r="Q97" s="179"/>
      <c r="R97" s="179"/>
      <c r="S97" s="179"/>
      <c r="T97" s="179"/>
      <c r="U97" s="179"/>
      <c r="V97" s="123"/>
      <c r="W97" s="123"/>
    </row>
    <row r="98" spans="1:34" outlineLevel="1">
      <c r="A98" s="123"/>
      <c r="B98" s="123"/>
      <c r="C98" s="170" t="str">
        <f t="shared" si="53"/>
        <v>Circuit Length (km)</v>
      </c>
      <c r="D98" s="124" t="s">
        <v>91</v>
      </c>
      <c r="E98" s="124" t="str">
        <f t="shared" si="54"/>
        <v>Per cent</v>
      </c>
      <c r="F98" s="124" t="s">
        <v>36</v>
      </c>
      <c r="G98" s="125"/>
      <c r="H98" s="125"/>
      <c r="I98" s="124"/>
      <c r="J98" s="210">
        <f t="shared" si="55"/>
        <v>0.13409563409563408</v>
      </c>
      <c r="K98" s="210">
        <f t="shared" si="55"/>
        <v>0.2367601246105919</v>
      </c>
      <c r="L98" s="210">
        <f t="shared" si="55"/>
        <v>0.2489539748953975</v>
      </c>
      <c r="M98" s="210">
        <f t="shared" si="55"/>
        <v>0.17867345422164621</v>
      </c>
      <c r="N98" s="179"/>
      <c r="O98" s="179"/>
      <c r="P98" s="179"/>
      <c r="Q98" s="179"/>
      <c r="R98" s="179"/>
      <c r="S98" s="179"/>
      <c r="T98" s="179"/>
      <c r="U98" s="179"/>
      <c r="V98" s="123"/>
      <c r="W98" s="123"/>
    </row>
    <row r="99" spans="1:34" outlineLevel="1">
      <c r="A99" s="123"/>
      <c r="B99" s="123"/>
      <c r="C99" s="170" t="str">
        <f t="shared" si="53"/>
        <v xml:space="preserve">Ratcheted maximum demand </v>
      </c>
      <c r="D99" s="124" t="s">
        <v>91</v>
      </c>
      <c r="E99" s="124" t="str">
        <f t="shared" si="54"/>
        <v>Per cent</v>
      </c>
      <c r="F99" s="124" t="s">
        <v>36</v>
      </c>
      <c r="G99" s="125"/>
      <c r="H99" s="125"/>
      <c r="I99" s="124"/>
      <c r="J99" s="210">
        <f t="shared" si="55"/>
        <v>0.57484407484407485</v>
      </c>
      <c r="K99" s="210">
        <f t="shared" si="55"/>
        <v>0.20664589823468327</v>
      </c>
      <c r="L99" s="210">
        <f t="shared" si="55"/>
        <v>0.3776150627615063</v>
      </c>
      <c r="M99" s="210">
        <f>M88/SUM(M$86:M$91)</f>
        <v>0.47790309161063643</v>
      </c>
      <c r="N99" s="179"/>
      <c r="O99" s="179"/>
      <c r="P99" s="179"/>
      <c r="Q99" s="179"/>
      <c r="R99" s="179"/>
      <c r="S99" s="179"/>
      <c r="T99" s="179"/>
      <c r="U99" s="179"/>
      <c r="V99" s="123"/>
      <c r="W99" s="123"/>
    </row>
    <row r="100" spans="1:34" outlineLevel="1">
      <c r="A100" s="123"/>
      <c r="B100" s="123"/>
      <c r="C100" s="170">
        <f t="shared" si="53"/>
        <v>0</v>
      </c>
      <c r="D100" s="124" t="s">
        <v>91</v>
      </c>
      <c r="E100" s="124" t="str">
        <f t="shared" si="54"/>
        <v>Per cent</v>
      </c>
      <c r="F100" s="124" t="s">
        <v>36</v>
      </c>
      <c r="G100" s="125"/>
      <c r="H100" s="125"/>
      <c r="I100" s="124"/>
      <c r="J100" s="210">
        <f t="shared" si="55"/>
        <v>0</v>
      </c>
      <c r="K100" s="210">
        <f t="shared" si="55"/>
        <v>0</v>
      </c>
      <c r="L100" s="210">
        <f t="shared" si="55"/>
        <v>0</v>
      </c>
      <c r="M100" s="210">
        <f t="shared" si="55"/>
        <v>0</v>
      </c>
      <c r="N100" s="179"/>
      <c r="O100" s="179"/>
      <c r="P100" s="179"/>
      <c r="Q100" s="179"/>
      <c r="R100" s="179"/>
      <c r="S100" s="179"/>
      <c r="T100" s="179"/>
      <c r="U100" s="179"/>
      <c r="V100" s="123"/>
      <c r="W100" s="123"/>
    </row>
    <row r="101" spans="1:34" outlineLevel="1">
      <c r="A101" s="123"/>
      <c r="B101" s="123"/>
      <c r="C101" s="170">
        <f t="shared" si="53"/>
        <v>0</v>
      </c>
      <c r="D101" s="124" t="s">
        <v>91</v>
      </c>
      <c r="E101" s="124" t="str">
        <f t="shared" si="54"/>
        <v>Per cent</v>
      </c>
      <c r="F101" s="124" t="s">
        <v>36</v>
      </c>
      <c r="G101" s="125"/>
      <c r="H101" s="125"/>
      <c r="I101" s="124"/>
      <c r="J101" s="210">
        <f t="shared" si="55"/>
        <v>0</v>
      </c>
      <c r="K101" s="210">
        <f t="shared" si="55"/>
        <v>0</v>
      </c>
      <c r="L101" s="210">
        <f t="shared" si="55"/>
        <v>0</v>
      </c>
      <c r="M101" s="210">
        <f t="shared" si="55"/>
        <v>0</v>
      </c>
      <c r="N101" s="179"/>
      <c r="O101" s="179"/>
      <c r="P101" s="179"/>
      <c r="Q101" s="179"/>
      <c r="R101" s="179"/>
      <c r="S101" s="179"/>
      <c r="T101" s="179"/>
      <c r="U101" s="179"/>
      <c r="V101" s="123"/>
      <c r="W101" s="123"/>
    </row>
    <row r="102" spans="1:34" outlineLevel="1">
      <c r="A102" s="123"/>
      <c r="B102" s="123"/>
      <c r="C102" s="170">
        <f t="shared" si="53"/>
        <v>0</v>
      </c>
      <c r="D102" s="124" t="s">
        <v>91</v>
      </c>
      <c r="E102" s="124" t="str">
        <f t="shared" si="54"/>
        <v>Per cent</v>
      </c>
      <c r="F102" s="124" t="s">
        <v>36</v>
      </c>
      <c r="G102" s="125"/>
      <c r="H102" s="125"/>
      <c r="I102" s="124"/>
      <c r="J102" s="210">
        <f t="shared" si="55"/>
        <v>0</v>
      </c>
      <c r="K102" s="210">
        <f t="shared" si="55"/>
        <v>0</v>
      </c>
      <c r="L102" s="210">
        <f t="shared" si="55"/>
        <v>0</v>
      </c>
      <c r="M102" s="210">
        <f t="shared" si="55"/>
        <v>0</v>
      </c>
      <c r="N102" s="179"/>
      <c r="O102" s="179"/>
      <c r="P102" s="179"/>
      <c r="Q102" s="179"/>
      <c r="R102" s="179"/>
      <c r="S102" s="179"/>
      <c r="T102" s="179"/>
      <c r="U102" s="179"/>
      <c r="V102" s="123"/>
      <c r="W102" s="123"/>
    </row>
    <row r="103" spans="1:34" outlineLevel="1">
      <c r="A103" s="123"/>
      <c r="B103" s="123"/>
      <c r="C103" s="123"/>
      <c r="D103" s="124"/>
      <c r="E103" s="124"/>
      <c r="F103" s="124"/>
      <c r="G103" s="125"/>
      <c r="H103" s="125"/>
      <c r="I103" s="124"/>
      <c r="J103" s="180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34" outlineLevel="1">
      <c r="A104" s="123"/>
      <c r="B104" s="123"/>
      <c r="C104" s="126" t="s">
        <v>151</v>
      </c>
      <c r="D104" s="125" t="s">
        <v>7</v>
      </c>
      <c r="E104" s="125" t="s">
        <v>8</v>
      </c>
      <c r="F104" s="125" t="s">
        <v>22</v>
      </c>
      <c r="G104" s="124"/>
      <c r="H104" s="124"/>
      <c r="I104" s="124"/>
      <c r="J104" s="142" t="str">
        <f t="shared" ref="J104:U104" si="56">IF(YEAR(J$4)&gt;=FPFirstYear,IF(YEAR(J$4)&lt;=FPLastYear,J$4,""),"")</f>
        <v/>
      </c>
      <c r="K104" s="142" t="str">
        <f t="shared" si="56"/>
        <v/>
      </c>
      <c r="L104" s="142" t="str">
        <f t="shared" si="56"/>
        <v/>
      </c>
      <c r="M104" s="142" t="str">
        <f t="shared" si="56"/>
        <v/>
      </c>
      <c r="N104" s="142" t="str">
        <f t="shared" si="56"/>
        <v/>
      </c>
      <c r="O104" s="142" t="str">
        <f t="shared" si="56"/>
        <v/>
      </c>
      <c r="P104" s="142">
        <f t="shared" si="56"/>
        <v>46174</v>
      </c>
      <c r="Q104" s="142">
        <f t="shared" si="56"/>
        <v>46539</v>
      </c>
      <c r="R104" s="142">
        <f t="shared" si="56"/>
        <v>46905</v>
      </c>
      <c r="S104" s="142">
        <f t="shared" si="56"/>
        <v>47270</v>
      </c>
      <c r="T104" s="142">
        <f t="shared" si="56"/>
        <v>47635</v>
      </c>
      <c r="U104" s="142" t="str">
        <f t="shared" si="56"/>
        <v/>
      </c>
      <c r="V104" s="169"/>
      <c r="W104" s="123"/>
      <c r="X104" s="82"/>
    </row>
    <row r="105" spans="1:34" outlineLevel="1">
      <c r="A105" s="123"/>
      <c r="B105" s="123"/>
      <c r="C105" s="123"/>
      <c r="D105" s="124"/>
      <c r="E105" s="124"/>
      <c r="F105" s="124"/>
      <c r="G105" s="124"/>
      <c r="H105" s="124"/>
      <c r="I105" s="124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9"/>
      <c r="W105" s="123"/>
      <c r="X105" s="82"/>
    </row>
    <row r="106" spans="1:34" outlineLevel="1">
      <c r="A106" s="123"/>
      <c r="B106" s="123"/>
      <c r="C106" s="170" t="str">
        <f t="array" ref="C106:C109">TRANSPOSE(J95:M95)</f>
        <v>SFA CD</v>
      </c>
      <c r="D106" s="124" t="s">
        <v>91</v>
      </c>
      <c r="E106" s="124" t="s">
        <v>18</v>
      </c>
      <c r="F106" s="124" t="s">
        <v>36</v>
      </c>
      <c r="G106" s="124"/>
      <c r="H106" s="124"/>
      <c r="I106" s="124"/>
      <c r="J106" s="174" t="str">
        <f t="shared" ref="J106:U106" si="57">IF(J$104=J$4,SUMPRODUCT(J$77:J$82,$J$97:$J$102),"")</f>
        <v/>
      </c>
      <c r="K106" s="174" t="str">
        <f t="shared" si="57"/>
        <v/>
      </c>
      <c r="L106" s="174" t="str">
        <f t="shared" si="57"/>
        <v/>
      </c>
      <c r="M106" s="174" t="str">
        <f t="shared" si="57"/>
        <v/>
      </c>
      <c r="N106" s="174" t="str">
        <f t="shared" si="57"/>
        <v/>
      </c>
      <c r="O106" s="174" t="str">
        <f t="shared" si="57"/>
        <v/>
      </c>
      <c r="P106" s="174">
        <f>IF(P$104=P$4,SUMPRODUCT(P$77:P$82,$J$97:$J$102),"")</f>
        <v>2.7582160426895728E-3</v>
      </c>
      <c r="Q106" s="174">
        <f t="shared" si="57"/>
        <v>2.8916841957543678E-3</v>
      </c>
      <c r="R106" s="174">
        <f t="shared" si="57"/>
        <v>2.8312882158268494E-3</v>
      </c>
      <c r="S106" s="174">
        <f t="shared" si="57"/>
        <v>2.752182719824128E-3</v>
      </c>
      <c r="T106" s="174">
        <f t="shared" si="57"/>
        <v>2.6844108841872888E-3</v>
      </c>
      <c r="U106" s="174" t="str">
        <f t="shared" si="57"/>
        <v/>
      </c>
      <c r="V106" s="169"/>
      <c r="W106" s="123"/>
      <c r="X106" s="82"/>
    </row>
    <row r="107" spans="1:34" outlineLevel="1">
      <c r="A107" s="123"/>
      <c r="B107" s="123"/>
      <c r="C107" s="170" t="str">
        <v>LSE CD</v>
      </c>
      <c r="D107" s="124" t="s">
        <v>91</v>
      </c>
      <c r="E107" s="124" t="s">
        <v>18</v>
      </c>
      <c r="F107" s="124" t="s">
        <v>36</v>
      </c>
      <c r="G107" s="124"/>
      <c r="H107" s="124"/>
      <c r="I107" s="124"/>
      <c r="J107" s="174" t="str">
        <f t="shared" ref="J107:U107" si="58">IF(J$104=J$4,SUMPRODUCT(J$77:J$82,$K$97:$K$102),"")</f>
        <v/>
      </c>
      <c r="K107" s="174" t="str">
        <f t="shared" si="58"/>
        <v/>
      </c>
      <c r="L107" s="174" t="str">
        <f t="shared" si="58"/>
        <v/>
      </c>
      <c r="M107" s="174" t="str">
        <f t="shared" si="58"/>
        <v/>
      </c>
      <c r="N107" s="174" t="str">
        <f t="shared" si="58"/>
        <v/>
      </c>
      <c r="O107" s="174" t="str">
        <f t="shared" si="58"/>
        <v/>
      </c>
      <c r="P107" s="174">
        <f t="shared" si="58"/>
        <v>5.2181152221765633E-3</v>
      </c>
      <c r="Q107" s="174">
        <f t="shared" si="58"/>
        <v>5.4730134475960918E-3</v>
      </c>
      <c r="R107" s="174">
        <f t="shared" si="58"/>
        <v>5.3560476149344949E-3</v>
      </c>
      <c r="S107" s="174">
        <f t="shared" si="58"/>
        <v>5.2055665490611316E-3</v>
      </c>
      <c r="T107" s="174">
        <f t="shared" si="58"/>
        <v>5.0743675924487721E-3</v>
      </c>
      <c r="U107" s="174" t="str">
        <f t="shared" si="58"/>
        <v/>
      </c>
      <c r="V107" s="169"/>
      <c r="W107" s="123"/>
      <c r="X107" s="82"/>
    </row>
    <row r="108" spans="1:34" outlineLevel="1">
      <c r="A108" s="123"/>
      <c r="B108" s="123"/>
      <c r="C108" s="170" t="str">
        <v>LSE TLG</v>
      </c>
      <c r="D108" s="124" t="s">
        <v>91</v>
      </c>
      <c r="E108" s="124" t="s">
        <v>18</v>
      </c>
      <c r="F108" s="124" t="s">
        <v>36</v>
      </c>
      <c r="G108" s="124"/>
      <c r="H108" s="124"/>
      <c r="I108" s="124"/>
      <c r="J108" s="174" t="str">
        <f t="shared" ref="J108:U108" si="59">IF(J$104=J$4,SUMPRODUCT(J$77:J$82,$L$97:$L$102),"")</f>
        <v/>
      </c>
      <c r="K108" s="174" t="str">
        <f t="shared" si="59"/>
        <v/>
      </c>
      <c r="L108" s="174" t="str">
        <f t="shared" si="59"/>
        <v/>
      </c>
      <c r="M108" s="174" t="str">
        <f t="shared" si="59"/>
        <v/>
      </c>
      <c r="N108" s="174" t="str">
        <f t="shared" si="59"/>
        <v/>
      </c>
      <c r="O108" s="174" t="str">
        <f t="shared" si="59"/>
        <v/>
      </c>
      <c r="P108" s="174">
        <f t="shared" si="59"/>
        <v>3.7593718663341547E-3</v>
      </c>
      <c r="Q108" s="174">
        <f t="shared" si="59"/>
        <v>3.9319123541633732E-3</v>
      </c>
      <c r="R108" s="174">
        <f t="shared" si="59"/>
        <v>3.8601744843745366E-3</v>
      </c>
      <c r="S108" s="174">
        <f t="shared" si="59"/>
        <v>3.7555845749700756E-3</v>
      </c>
      <c r="T108" s="174">
        <f t="shared" si="59"/>
        <v>3.6748850618793048E-3</v>
      </c>
      <c r="U108" s="174" t="str">
        <f t="shared" si="59"/>
        <v/>
      </c>
      <c r="V108" s="169"/>
      <c r="W108" s="123"/>
      <c r="X108" s="82"/>
    </row>
    <row r="109" spans="1:34" outlineLevel="1">
      <c r="A109" s="123"/>
      <c r="B109" s="123"/>
      <c r="C109" s="170" t="str">
        <v>SFA TLG</v>
      </c>
      <c r="D109" s="124" t="s">
        <v>91</v>
      </c>
      <c r="E109" s="124" t="s">
        <v>18</v>
      </c>
      <c r="F109" s="124" t="s">
        <v>36</v>
      </c>
      <c r="G109" s="124"/>
      <c r="H109" s="124"/>
      <c r="I109" s="124"/>
      <c r="J109" s="174" t="str">
        <f t="shared" ref="J109:U109" si="60">IF(J$104=J$4,SUMPRODUCT(J$77:J$82,$M$97:$M$102),"")</f>
        <v/>
      </c>
      <c r="K109" s="174" t="str">
        <f t="shared" si="60"/>
        <v/>
      </c>
      <c r="L109" s="174" t="str">
        <f t="shared" si="60"/>
        <v/>
      </c>
      <c r="M109" s="174" t="str">
        <f t="shared" si="60"/>
        <v/>
      </c>
      <c r="N109" s="174" t="str">
        <f t="shared" si="60"/>
        <v/>
      </c>
      <c r="O109" s="174" t="str">
        <f t="shared" si="60"/>
        <v/>
      </c>
      <c r="P109" s="174">
        <f t="shared" si="60"/>
        <v>3.3130927560212822E-3</v>
      </c>
      <c r="Q109" s="174">
        <f t="shared" si="60"/>
        <v>3.470918355716696E-3</v>
      </c>
      <c r="R109" s="174">
        <f t="shared" si="60"/>
        <v>3.4011860932800578E-3</v>
      </c>
      <c r="S109" s="174">
        <f t="shared" si="60"/>
        <v>3.3070254054955862E-3</v>
      </c>
      <c r="T109" s="174">
        <f t="shared" si="60"/>
        <v>3.2287237303838335E-3</v>
      </c>
      <c r="U109" s="174" t="str">
        <f t="shared" si="60"/>
        <v/>
      </c>
      <c r="V109" s="169"/>
      <c r="W109" s="123"/>
      <c r="X109" s="82"/>
    </row>
    <row r="110" spans="1:34" outlineLevel="1">
      <c r="A110" s="123"/>
      <c r="B110" s="123"/>
      <c r="C110" s="129"/>
      <c r="D110" s="124"/>
      <c r="E110" s="124"/>
      <c r="F110" s="124"/>
      <c r="G110" s="125"/>
      <c r="H110" s="125"/>
      <c r="I110" s="124"/>
      <c r="J110" s="124"/>
      <c r="K110" s="130"/>
      <c r="L110" s="130"/>
      <c r="M110" s="130"/>
      <c r="N110" s="130"/>
      <c r="O110" s="130"/>
      <c r="P110" s="123"/>
      <c r="Q110" s="123"/>
      <c r="R110" s="123"/>
      <c r="S110" s="123"/>
      <c r="T110" s="123"/>
      <c r="U110" s="123"/>
      <c r="V110" s="123"/>
      <c r="W110" s="123"/>
    </row>
    <row r="111" spans="1:34" customFormat="1" ht="12.75">
      <c r="A111" s="119"/>
      <c r="B111" s="38" t="s">
        <v>71</v>
      </c>
      <c r="C111" s="119"/>
      <c r="D111" s="119"/>
      <c r="E111" s="119"/>
      <c r="F111" s="120"/>
      <c r="G111" s="120"/>
      <c r="H111" s="120"/>
      <c r="I111" s="120"/>
      <c r="J111" s="120"/>
      <c r="K111" s="121"/>
      <c r="L111" s="122"/>
      <c r="M111" s="121"/>
      <c r="N111" s="122"/>
      <c r="O111" s="121"/>
      <c r="P111" s="121"/>
      <c r="Q111" s="121"/>
      <c r="R111" s="121"/>
      <c r="S111" s="121"/>
      <c r="T111" s="121"/>
      <c r="U111" s="121"/>
      <c r="V111" s="121"/>
      <c r="W111" s="121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3"/>
      <c r="B112" s="123"/>
      <c r="C112" s="123"/>
      <c r="D112" s="124"/>
      <c r="E112" s="124"/>
      <c r="F112" s="124"/>
      <c r="G112" s="125"/>
      <c r="H112" s="125"/>
      <c r="I112" s="124"/>
      <c r="J112" s="124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34" outlineLevel="1">
      <c r="A113" s="123"/>
      <c r="B113" s="123"/>
      <c r="C113" s="126" t="s">
        <v>47</v>
      </c>
      <c r="D113" s="125" t="s">
        <v>7</v>
      </c>
      <c r="E113" s="125" t="s">
        <v>8</v>
      </c>
      <c r="F113" s="125" t="s">
        <v>22</v>
      </c>
      <c r="G113" s="125"/>
      <c r="H113" s="125"/>
      <c r="I113" s="124"/>
      <c r="J113" s="142" t="str">
        <f t="shared" ref="J113:U113" si="61">IF(YEAR(J$4)&gt;=FPFirstYear,IF(YEAR(J$4)&lt;=FPLastYear,J$4,""),"")</f>
        <v/>
      </c>
      <c r="K113" s="142" t="str">
        <f t="shared" si="61"/>
        <v/>
      </c>
      <c r="L113" s="142" t="str">
        <f t="shared" si="61"/>
        <v/>
      </c>
      <c r="M113" s="142" t="str">
        <f t="shared" si="61"/>
        <v/>
      </c>
      <c r="N113" s="142" t="str">
        <f t="shared" si="61"/>
        <v/>
      </c>
      <c r="O113" s="142" t="str">
        <f t="shared" si="61"/>
        <v/>
      </c>
      <c r="P113" s="142">
        <f t="shared" si="61"/>
        <v>46174</v>
      </c>
      <c r="Q113" s="142">
        <f t="shared" si="61"/>
        <v>46539</v>
      </c>
      <c r="R113" s="142">
        <f t="shared" si="61"/>
        <v>46905</v>
      </c>
      <c r="S113" s="142">
        <f t="shared" si="61"/>
        <v>47270</v>
      </c>
      <c r="T113" s="142">
        <f t="shared" si="61"/>
        <v>47635</v>
      </c>
      <c r="U113" s="142" t="str">
        <f t="shared" si="61"/>
        <v/>
      </c>
      <c r="V113" s="123"/>
      <c r="W113" s="123"/>
    </row>
    <row r="114" spans="1:34" outlineLevel="1">
      <c r="A114" s="123"/>
      <c r="B114" s="123"/>
      <c r="C114" s="129"/>
      <c r="D114" s="124"/>
      <c r="E114" s="124"/>
      <c r="F114" s="124"/>
      <c r="G114" s="125"/>
      <c r="H114" s="125"/>
      <c r="I114" s="124"/>
      <c r="J114" s="124"/>
      <c r="K114" s="130"/>
      <c r="L114" s="130"/>
      <c r="M114" s="130"/>
      <c r="N114" s="130"/>
      <c r="O114" s="130"/>
      <c r="P114" s="123"/>
      <c r="Q114" s="123"/>
      <c r="R114" s="123"/>
      <c r="S114" s="123"/>
      <c r="T114" s="123"/>
      <c r="U114" s="123"/>
      <c r="V114" s="123"/>
      <c r="W114" s="123"/>
    </row>
    <row r="115" spans="1:34" outlineLevel="1">
      <c r="A115" s="123"/>
      <c r="B115" s="123"/>
      <c r="C115" s="129" t="s">
        <v>47</v>
      </c>
      <c r="D115" s="124" t="s">
        <v>94</v>
      </c>
      <c r="E115" s="124" t="str">
        <f>percent</f>
        <v>Per cent</v>
      </c>
      <c r="F115" s="124" t="s">
        <v>36</v>
      </c>
      <c r="G115" s="125"/>
      <c r="H115" s="125"/>
      <c r="I115" s="124"/>
      <c r="J115" s="161"/>
      <c r="K115" s="181"/>
      <c r="L115" s="181"/>
      <c r="M115" s="181"/>
      <c r="N115" s="181"/>
      <c r="O115" s="171"/>
      <c r="P115" s="171">
        <v>5.0000000000000001E-3</v>
      </c>
      <c r="Q115" s="171">
        <f>$P$115</f>
        <v>5.0000000000000001E-3</v>
      </c>
      <c r="R115" s="171">
        <f t="shared" ref="R115:T115" si="62">$P$115</f>
        <v>5.0000000000000001E-3</v>
      </c>
      <c r="S115" s="171">
        <f t="shared" si="62"/>
        <v>5.0000000000000001E-3</v>
      </c>
      <c r="T115" s="171">
        <f t="shared" si="62"/>
        <v>5.0000000000000001E-3</v>
      </c>
      <c r="U115" s="171"/>
      <c r="V115" s="123"/>
      <c r="W115" s="123"/>
    </row>
    <row r="116" spans="1:34" outlineLevel="1">
      <c r="A116" s="123"/>
      <c r="B116" s="123"/>
      <c r="C116" s="129"/>
      <c r="D116" s="124"/>
      <c r="E116" s="124"/>
      <c r="F116" s="124"/>
      <c r="G116" s="125"/>
      <c r="H116" s="125"/>
      <c r="I116" s="124"/>
      <c r="J116" s="124"/>
      <c r="K116" s="130"/>
      <c r="L116" s="130"/>
      <c r="M116" s="130"/>
      <c r="N116" s="130"/>
      <c r="O116" s="130"/>
      <c r="P116" s="182"/>
      <c r="Q116" s="182"/>
      <c r="R116" s="182"/>
      <c r="S116" s="182"/>
      <c r="T116" s="182"/>
      <c r="U116" s="182"/>
      <c r="V116" s="123"/>
      <c r="W116" s="123"/>
    </row>
    <row r="117" spans="1:34" outlineLevel="1">
      <c r="A117" s="123"/>
      <c r="B117" s="123"/>
      <c r="C117" s="123" t="s">
        <v>40</v>
      </c>
      <c r="D117" s="124" t="s">
        <v>91</v>
      </c>
      <c r="E117" s="124" t="s">
        <v>28</v>
      </c>
      <c r="F117" s="124" t="s">
        <v>36</v>
      </c>
      <c r="G117" s="124"/>
      <c r="H117" s="124"/>
      <c r="I117" s="124"/>
      <c r="J117" s="168" t="str">
        <f t="shared" ref="J117:S117" si="63">IF(J113=J$4,IF(ISBLANK(J115),"Check","Ok"),"")</f>
        <v/>
      </c>
      <c r="K117" s="168" t="str">
        <f t="shared" si="63"/>
        <v/>
      </c>
      <c r="L117" s="168" t="str">
        <f t="shared" si="63"/>
        <v/>
      </c>
      <c r="M117" s="168" t="str">
        <f t="shared" si="63"/>
        <v/>
      </c>
      <c r="N117" s="168" t="str">
        <f t="shared" si="63"/>
        <v/>
      </c>
      <c r="O117" s="168" t="str">
        <f t="shared" si="63"/>
        <v/>
      </c>
      <c r="P117" s="168" t="str">
        <f t="shared" si="63"/>
        <v>Ok</v>
      </c>
      <c r="Q117" s="168" t="str">
        <f t="shared" si="63"/>
        <v>Ok</v>
      </c>
      <c r="R117" s="168" t="str">
        <f t="shared" si="63"/>
        <v>Ok</v>
      </c>
      <c r="S117" s="168" t="str">
        <f t="shared" si="63"/>
        <v>Ok</v>
      </c>
      <c r="T117" s="168" t="str">
        <f>IF(T113=T$4,IF(ISBLANK(T115),"Check","Ok"),"")</f>
        <v>Ok</v>
      </c>
      <c r="U117" s="168" t="str">
        <f>IF(U113=U$4,IF(ISBLANK(U115),"Check","Ok"),"")</f>
        <v/>
      </c>
      <c r="V117" s="169"/>
      <c r="W117" s="123"/>
      <c r="X117" s="81" t="str">
        <f>IF(COUNTIF(J117:T117,"Check")=0,"Ok","Check")</f>
        <v>Ok</v>
      </c>
    </row>
    <row r="118" spans="1:34" outlineLevel="1">
      <c r="A118" s="123"/>
      <c r="B118" s="123"/>
      <c r="C118" s="129"/>
      <c r="D118" s="124"/>
      <c r="E118" s="124"/>
      <c r="F118" s="124"/>
      <c r="G118" s="125"/>
      <c r="H118" s="125"/>
      <c r="I118" s="124"/>
      <c r="J118" s="124"/>
      <c r="K118" s="130"/>
      <c r="L118" s="130"/>
      <c r="M118" s="130"/>
      <c r="N118" s="130"/>
      <c r="O118" s="130"/>
      <c r="P118" s="123"/>
      <c r="Q118" s="123"/>
      <c r="R118" s="123"/>
      <c r="S118" s="123"/>
      <c r="T118" s="123"/>
      <c r="U118" s="123"/>
      <c r="V118" s="123"/>
      <c r="W118" s="123"/>
    </row>
    <row r="119" spans="1:34" customFormat="1" ht="12.75">
      <c r="A119" s="119"/>
      <c r="B119" s="38" t="s">
        <v>21</v>
      </c>
      <c r="C119" s="119"/>
      <c r="D119" s="119"/>
      <c r="E119" s="119"/>
      <c r="F119" s="120"/>
      <c r="G119" s="120"/>
      <c r="H119" s="120"/>
      <c r="I119" s="120"/>
      <c r="J119" s="120"/>
      <c r="K119" s="121"/>
      <c r="L119" s="122"/>
      <c r="M119" s="121"/>
      <c r="N119" s="122"/>
      <c r="O119" s="121"/>
      <c r="P119" s="121"/>
      <c r="Q119" s="121"/>
      <c r="R119" s="121"/>
      <c r="S119" s="121"/>
      <c r="T119" s="121"/>
      <c r="U119" s="121"/>
      <c r="V119" s="121"/>
      <c r="W119" s="121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conditionalFormatting sqref="J16:U22">
    <cfRule type="cellIs" dxfId="117" priority="21" operator="equal">
      <formula>0</formula>
    </cfRule>
  </conditionalFormatting>
  <conditionalFormatting sqref="J26:U32">
    <cfRule type="cellIs" dxfId="116" priority="22" operator="equal">
      <formula>0</formula>
    </cfRule>
  </conditionalFormatting>
  <conditionalFormatting sqref="J36:U36">
    <cfRule type="expression" dxfId="115" priority="56">
      <formula>J$36=J$4</formula>
    </cfRule>
  </conditionalFormatting>
  <conditionalFormatting sqref="J47:U47">
    <cfRule type="cellIs" dxfId="114" priority="41" operator="equal">
      <formula>"Check"</formula>
    </cfRule>
    <cfRule type="cellIs" dxfId="113" priority="42" operator="equal">
      <formula>"Ok"</formula>
    </cfRule>
  </conditionalFormatting>
  <conditionalFormatting sqref="J49:U49">
    <cfRule type="expression" dxfId="112" priority="26">
      <formula>J$36=J$4</formula>
    </cfRule>
  </conditionalFormatting>
  <conditionalFormatting sqref="J51:U58">
    <cfRule type="expression" dxfId="111" priority="7">
      <formula>J$49=J$4</formula>
    </cfRule>
  </conditionalFormatting>
  <conditionalFormatting sqref="J60:U60">
    <cfRule type="cellIs" dxfId="110" priority="66" operator="equal">
      <formula>"Ok"</formula>
    </cfRule>
    <cfRule type="cellIs" dxfId="109" priority="65" operator="equal">
      <formula>"Check"</formula>
    </cfRule>
  </conditionalFormatting>
  <conditionalFormatting sqref="J64:U64">
    <cfRule type="expression" dxfId="108" priority="31">
      <formula>J$64=J$4</formula>
    </cfRule>
  </conditionalFormatting>
  <conditionalFormatting sqref="J66:U71">
    <cfRule type="expression" dxfId="107" priority="29">
      <formula>J$64=J$4</formula>
    </cfRule>
  </conditionalFormatting>
  <conditionalFormatting sqref="J73:U73">
    <cfRule type="cellIs" dxfId="106" priority="37" operator="equal">
      <formula>"Check"</formula>
    </cfRule>
    <cfRule type="cellIs" dxfId="105" priority="38" operator="equal">
      <formula>"Ok"</formula>
    </cfRule>
  </conditionalFormatting>
  <conditionalFormatting sqref="J75:U75">
    <cfRule type="expression" dxfId="104" priority="25">
      <formula>J$36=J$4</formula>
    </cfRule>
  </conditionalFormatting>
  <conditionalFormatting sqref="J93:U93">
    <cfRule type="cellIs" dxfId="103" priority="2" operator="equal">
      <formula>"Ok"</formula>
    </cfRule>
    <cfRule type="cellIs" dxfId="102" priority="1" operator="equal">
      <formula>"Check"</formula>
    </cfRule>
  </conditionalFormatting>
  <conditionalFormatting sqref="J104:U104">
    <cfRule type="expression" dxfId="101" priority="176">
      <formula>J$104=J$4</formula>
    </cfRule>
  </conditionalFormatting>
  <conditionalFormatting sqref="J105:U105">
    <cfRule type="cellIs" dxfId="100" priority="14" operator="equal">
      <formula>"Check"</formula>
    </cfRule>
    <cfRule type="cellIs" dxfId="99" priority="15" operator="equal">
      <formula>"Ok"</formula>
    </cfRule>
  </conditionalFormatting>
  <conditionalFormatting sqref="J113:U113">
    <cfRule type="expression" dxfId="98" priority="24">
      <formula>J$36=J$4</formula>
    </cfRule>
  </conditionalFormatting>
  <conditionalFormatting sqref="J115:U115">
    <cfRule type="expression" dxfId="97" priority="177">
      <formula>J$113=J$4</formula>
    </cfRule>
  </conditionalFormatting>
  <conditionalFormatting sqref="J117:U117">
    <cfRule type="cellIs" dxfId="96" priority="45" operator="equal">
      <formula>"Check"</formula>
    </cfRule>
    <cfRule type="cellIs" dxfId="95" priority="46" operator="equal">
      <formula>"Ok"</formula>
    </cfRule>
  </conditionalFormatting>
  <conditionalFormatting sqref="K89:M91">
    <cfRule type="expression" dxfId="94" priority="173">
      <formula>K$95=K$4</formula>
    </cfRule>
  </conditionalFormatting>
  <conditionalFormatting sqref="P38:T45">
    <cfRule type="expression" dxfId="93" priority="9">
      <formula>P$36=P$4</formula>
    </cfRule>
  </conditionalFormatting>
  <conditionalFormatting sqref="T38 J38:O39 J39:T40 J41:U45">
    <cfRule type="expression" dxfId="92" priority="54">
      <formula>J$36=J$4</formula>
    </cfRule>
  </conditionalFormatting>
  <conditionalFormatting sqref="T1:U1">
    <cfRule type="cellIs" dxfId="91" priority="85" operator="equal">
      <formula>"Check"</formula>
    </cfRule>
    <cfRule type="cellIs" dxfId="90" priority="86" operator="equal">
      <formula>"Ok"</formula>
    </cfRule>
  </conditionalFormatting>
  <conditionalFormatting sqref="X1 X104:X109">
    <cfRule type="cellIs" dxfId="89" priority="121" operator="equal">
      <formula>"Check"</formula>
    </cfRule>
    <cfRule type="cellIs" dxfId="88" priority="122" operator="equal">
      <formula>"Ok"</formula>
    </cfRule>
  </conditionalFormatting>
  <conditionalFormatting sqref="X47">
    <cfRule type="cellIs" dxfId="87" priority="43" operator="equal">
      <formula>"Check"</formula>
    </cfRule>
    <cfRule type="cellIs" dxfId="86" priority="44" operator="equal">
      <formula>"Ok"</formula>
    </cfRule>
  </conditionalFormatting>
  <conditionalFormatting sqref="X60">
    <cfRule type="cellIs" dxfId="85" priority="73" operator="equal">
      <formula>"Check"</formula>
    </cfRule>
    <cfRule type="cellIs" dxfId="84" priority="74" operator="equal">
      <formula>"Ok"</formula>
    </cfRule>
  </conditionalFormatting>
  <conditionalFormatting sqref="X73">
    <cfRule type="cellIs" dxfId="83" priority="40" operator="equal">
      <formula>"Ok"</formula>
    </cfRule>
    <cfRule type="cellIs" dxfId="82" priority="39" operator="equal">
      <formula>"Check"</formula>
    </cfRule>
  </conditionalFormatting>
  <conditionalFormatting sqref="X93">
    <cfRule type="cellIs" dxfId="81" priority="3" operator="equal">
      <formula>"Check"</formula>
    </cfRule>
    <cfRule type="cellIs" dxfId="80" priority="4" operator="equal">
      <formula>"Ok"</formula>
    </cfRule>
  </conditionalFormatting>
  <conditionalFormatting sqref="X117">
    <cfRule type="cellIs" dxfId="79" priority="47" operator="equal">
      <formula>"Check"</formula>
    </cfRule>
    <cfRule type="cellIs" dxfId="78" priority="48" operator="equal">
      <formula>"Ok"</formula>
    </cfRule>
  </conditionalFormatting>
  <dataValidations count="4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  <dataValidation allowBlank="1" showInputMessage="1" showErrorMessage="1" sqref="O68:T68" xr:uid="{82F53189-C6F4-47D4-88AB-6222535F2845}"/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zoomScale="115" zoomScaleNormal="115"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75</v>
      </c>
      <c r="S1" s="29" t="str">
        <f ca="1">IF(COUNTA($W$8:$W$237)=COUNTIF($W$8:$W$237,"OK"),"OK","Check")</f>
        <v>OK</v>
      </c>
      <c r="U1" s="205" t="s">
        <v>24</v>
      </c>
      <c r="V1" s="29" t="str">
        <f ca="1"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107</v>
      </c>
      <c r="K3" s="100"/>
      <c r="L3" s="100"/>
      <c r="M3" s="105"/>
      <c r="N3" s="221"/>
      <c r="O3" s="221"/>
      <c r="P3" s="221"/>
      <c r="Q3" s="221"/>
      <c r="R3" s="221"/>
      <c r="S3" s="221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3"/>
      <c r="W4" s="60"/>
    </row>
    <row r="5" spans="1:30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30" customFormat="1" ht="12.75">
      <c r="A8" s="119"/>
      <c r="B8" s="38" t="s">
        <v>49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122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30" outlineLevel="1">
      <c r="A10" s="123"/>
      <c r="B10" s="123"/>
      <c r="C10" s="126" t="s">
        <v>72</v>
      </c>
      <c r="D10" s="125" t="s">
        <v>7</v>
      </c>
      <c r="E10" s="125" t="s">
        <v>8</v>
      </c>
      <c r="F10" s="125" t="s">
        <v>22</v>
      </c>
      <c r="G10" s="125"/>
      <c r="H10" s="125"/>
      <c r="I10" s="142"/>
      <c r="J10" s="142" t="str">
        <f t="shared" ref="J10:T10" si="0">IF(YEAR(J$4)&gt;=FPFirstYear,IF(YEAR(J$4)&lt;=FPLastYear,J$4,""),"")</f>
        <v/>
      </c>
      <c r="K10" s="142" t="str">
        <f t="shared" si="0"/>
        <v/>
      </c>
      <c r="L10" s="142" t="str">
        <f t="shared" si="0"/>
        <v/>
      </c>
      <c r="M10" s="142" t="str">
        <f t="shared" si="0"/>
        <v/>
      </c>
      <c r="N10" s="142" t="str">
        <f t="shared" si="0"/>
        <v/>
      </c>
      <c r="O10" s="142">
        <f t="shared" si="0"/>
        <v>46174</v>
      </c>
      <c r="P10" s="142">
        <f t="shared" si="0"/>
        <v>46539</v>
      </c>
      <c r="Q10" s="142">
        <f t="shared" si="0"/>
        <v>46905</v>
      </c>
      <c r="R10" s="142">
        <f t="shared" si="0"/>
        <v>47270</v>
      </c>
      <c r="S10" s="142">
        <f t="shared" si="0"/>
        <v>47635</v>
      </c>
      <c r="T10" s="142" t="str">
        <f t="shared" si="0"/>
        <v/>
      </c>
      <c r="U10" s="123"/>
      <c r="V10" s="123"/>
    </row>
    <row r="11" spans="1:30" outlineLevel="1">
      <c r="A11" s="123"/>
      <c r="B11" s="123"/>
      <c r="C11" s="123"/>
      <c r="D11" s="124"/>
      <c r="E11" s="124"/>
      <c r="F11" s="124"/>
      <c r="G11" s="125"/>
      <c r="H11" s="125"/>
      <c r="I11" s="12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30" outlineLevel="1">
      <c r="A12" s="123"/>
      <c r="B12" s="123"/>
      <c r="C12" s="131" t="s">
        <v>232</v>
      </c>
      <c r="D12" s="124" t="s">
        <v>62</v>
      </c>
      <c r="E12" s="214" t="s">
        <v>15</v>
      </c>
      <c r="F12" s="215">
        <v>45078</v>
      </c>
      <c r="G12" s="125"/>
      <c r="H12" s="125"/>
      <c r="I12" s="124"/>
      <c r="J12" s="162"/>
      <c r="K12" s="162"/>
      <c r="L12" s="162"/>
      <c r="M12" s="162"/>
      <c r="N12" s="162"/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/>
      <c r="U12" s="123"/>
      <c r="V12" s="123"/>
      <c r="W12" s="81" t="str">
        <f>IF(ISBLANK(C12),IF(COUNT(J12:T12)=0,"Ok","Check"),IF(COUNT(J12:T12)=COUNT(J$10:T$10),"Ok","Check"))</f>
        <v>Ok</v>
      </c>
    </row>
    <row r="13" spans="1:30" outlineLevel="1">
      <c r="A13" s="123"/>
      <c r="B13" s="123"/>
      <c r="C13" s="131"/>
      <c r="D13" s="124" t="s">
        <v>62</v>
      </c>
      <c r="E13" s="124" t="str">
        <f t="shared" ref="E13:E20" si="1">units</f>
        <v>$millions</v>
      </c>
      <c r="F13" s="143">
        <f t="shared" ref="F13:F20" si="2">DATE(PPLastYear,MONTH(month),1)</f>
        <v>45809</v>
      </c>
      <c r="G13" s="125"/>
      <c r="H13" s="125"/>
      <c r="I13" s="124"/>
      <c r="J13" s="162"/>
      <c r="K13" s="162"/>
      <c r="L13" s="162"/>
      <c r="M13" s="162"/>
      <c r="N13" s="162"/>
      <c r="O13" s="184"/>
      <c r="P13" s="184"/>
      <c r="Q13" s="184"/>
      <c r="R13" s="184"/>
      <c r="S13" s="184"/>
      <c r="T13" s="184"/>
      <c r="U13" s="123"/>
      <c r="V13" s="123"/>
      <c r="W13" s="81" t="str">
        <f t="shared" ref="W13:W20" si="3">IF(ISBLANK(C13),IF(COUNT(J13:T13)=0,"Ok","Check"),IF(COUNT(J13:T13)=COUNT(J$10:T$10),"Ok","Check"))</f>
        <v>Ok</v>
      </c>
    </row>
    <row r="14" spans="1:30" outlineLevel="1">
      <c r="A14" s="123"/>
      <c r="B14" s="123"/>
      <c r="C14" s="131"/>
      <c r="D14" s="124" t="s">
        <v>62</v>
      </c>
      <c r="E14" s="124" t="str">
        <f t="shared" si="1"/>
        <v>$millions</v>
      </c>
      <c r="F14" s="143">
        <f t="shared" si="2"/>
        <v>45809</v>
      </c>
      <c r="G14" s="125"/>
      <c r="H14" s="125"/>
      <c r="I14" s="124"/>
      <c r="J14" s="162"/>
      <c r="K14" s="162"/>
      <c r="L14" s="162"/>
      <c r="M14" s="162"/>
      <c r="N14" s="162"/>
      <c r="O14" s="184"/>
      <c r="P14" s="184"/>
      <c r="Q14" s="184"/>
      <c r="R14" s="184"/>
      <c r="S14" s="184"/>
      <c r="T14" s="184"/>
      <c r="U14" s="123"/>
      <c r="V14" s="123"/>
      <c r="W14" s="81" t="str">
        <f t="shared" si="3"/>
        <v>Ok</v>
      </c>
    </row>
    <row r="15" spans="1:30" outlineLevel="1">
      <c r="A15" s="123"/>
      <c r="B15" s="123"/>
      <c r="C15" s="131"/>
      <c r="D15" s="124" t="s">
        <v>62</v>
      </c>
      <c r="E15" s="124" t="str">
        <f t="shared" si="1"/>
        <v>$millions</v>
      </c>
      <c r="F15" s="143">
        <f t="shared" si="2"/>
        <v>45809</v>
      </c>
      <c r="G15" s="125"/>
      <c r="H15" s="125"/>
      <c r="I15" s="124"/>
      <c r="J15" s="162"/>
      <c r="K15" s="162"/>
      <c r="L15" s="162"/>
      <c r="M15" s="162"/>
      <c r="N15" s="162"/>
      <c r="O15" s="184"/>
      <c r="P15" s="184"/>
      <c r="Q15" s="184"/>
      <c r="R15" s="184"/>
      <c r="S15" s="184"/>
      <c r="T15" s="184"/>
      <c r="U15" s="123"/>
      <c r="V15" s="123"/>
      <c r="W15" s="81" t="str">
        <f t="shared" si="3"/>
        <v>Ok</v>
      </c>
    </row>
    <row r="16" spans="1:30" outlineLevel="1">
      <c r="A16" s="123"/>
      <c r="B16" s="123"/>
      <c r="C16" s="131"/>
      <c r="D16" s="124" t="s">
        <v>62</v>
      </c>
      <c r="E16" s="124" t="str">
        <f t="shared" si="1"/>
        <v>$millions</v>
      </c>
      <c r="F16" s="143">
        <f t="shared" si="2"/>
        <v>45809</v>
      </c>
      <c r="G16" s="125"/>
      <c r="H16" s="125"/>
      <c r="I16" s="124"/>
      <c r="J16" s="162"/>
      <c r="K16" s="162"/>
      <c r="L16" s="162"/>
      <c r="M16" s="162"/>
      <c r="N16" s="162"/>
      <c r="O16" s="185"/>
      <c r="P16" s="185"/>
      <c r="Q16" s="185"/>
      <c r="R16" s="185"/>
      <c r="S16" s="185"/>
      <c r="T16" s="184"/>
      <c r="U16" s="123"/>
      <c r="V16" s="123"/>
      <c r="W16" s="81" t="str">
        <f t="shared" si="3"/>
        <v>Ok</v>
      </c>
    </row>
    <row r="17" spans="1:30" outlineLevel="1">
      <c r="A17" s="123"/>
      <c r="B17" s="123"/>
      <c r="C17" s="131"/>
      <c r="D17" s="124" t="s">
        <v>62</v>
      </c>
      <c r="E17" s="124" t="str">
        <f t="shared" si="1"/>
        <v>$millions</v>
      </c>
      <c r="F17" s="143">
        <f t="shared" si="2"/>
        <v>45809</v>
      </c>
      <c r="G17" s="125"/>
      <c r="H17" s="125"/>
      <c r="I17" s="124"/>
      <c r="J17" s="162"/>
      <c r="K17" s="162"/>
      <c r="L17" s="162"/>
      <c r="M17" s="162"/>
      <c r="N17" s="162"/>
      <c r="O17" s="184"/>
      <c r="P17" s="184"/>
      <c r="Q17" s="184"/>
      <c r="R17" s="184"/>
      <c r="S17" s="184"/>
      <c r="T17" s="184"/>
      <c r="U17" s="123"/>
      <c r="V17" s="123"/>
      <c r="W17" s="81" t="str">
        <f t="shared" si="3"/>
        <v>Ok</v>
      </c>
    </row>
    <row r="18" spans="1:30" outlineLevel="1">
      <c r="A18" s="123"/>
      <c r="B18" s="123"/>
      <c r="C18" s="131"/>
      <c r="D18" s="124" t="s">
        <v>62</v>
      </c>
      <c r="E18" s="124" t="str">
        <f t="shared" si="1"/>
        <v>$millions</v>
      </c>
      <c r="F18" s="143">
        <f t="shared" si="2"/>
        <v>45809</v>
      </c>
      <c r="G18" s="125"/>
      <c r="H18" s="125"/>
      <c r="I18" s="124"/>
      <c r="J18" s="162"/>
      <c r="K18" s="162"/>
      <c r="L18" s="162"/>
      <c r="M18" s="162"/>
      <c r="N18" s="162"/>
      <c r="O18" s="184"/>
      <c r="P18" s="184"/>
      <c r="Q18" s="184"/>
      <c r="R18" s="184"/>
      <c r="S18" s="184"/>
      <c r="T18" s="184"/>
      <c r="U18" s="123"/>
      <c r="V18" s="123"/>
      <c r="W18" s="81" t="str">
        <f t="shared" si="3"/>
        <v>Ok</v>
      </c>
    </row>
    <row r="19" spans="1:30" outlineLevel="1">
      <c r="A19" s="123"/>
      <c r="B19" s="123"/>
      <c r="C19" s="131"/>
      <c r="D19" s="124" t="s">
        <v>62</v>
      </c>
      <c r="E19" s="124" t="str">
        <f t="shared" si="1"/>
        <v>$millions</v>
      </c>
      <c r="F19" s="143">
        <f t="shared" si="2"/>
        <v>45809</v>
      </c>
      <c r="G19" s="125"/>
      <c r="H19" s="125"/>
      <c r="I19" s="124"/>
      <c r="J19" s="162"/>
      <c r="K19" s="162"/>
      <c r="L19" s="162"/>
      <c r="M19" s="162"/>
      <c r="N19" s="162"/>
      <c r="O19" s="184"/>
      <c r="P19" s="184"/>
      <c r="Q19" s="184"/>
      <c r="R19" s="184"/>
      <c r="S19" s="184"/>
      <c r="T19" s="184"/>
      <c r="U19" s="123"/>
      <c r="V19" s="123"/>
      <c r="W19" s="81" t="str">
        <f t="shared" si="3"/>
        <v>Ok</v>
      </c>
    </row>
    <row r="20" spans="1:30" outlineLevel="1">
      <c r="A20" s="123"/>
      <c r="B20" s="123"/>
      <c r="C20" s="131" t="s">
        <v>233</v>
      </c>
      <c r="D20" s="124" t="s">
        <v>62</v>
      </c>
      <c r="E20" s="124" t="str">
        <f t="shared" si="1"/>
        <v>$millions</v>
      </c>
      <c r="F20" s="143">
        <f t="shared" si="2"/>
        <v>45809</v>
      </c>
      <c r="G20" s="125"/>
      <c r="H20" s="125"/>
      <c r="I20" s="124"/>
      <c r="J20" s="162"/>
      <c r="K20" s="162"/>
      <c r="L20" s="162"/>
      <c r="M20" s="162"/>
      <c r="N20" s="162"/>
      <c r="O20" s="184">
        <f ca="1">-'Calc|Opex forecast'!$N$52*4/5*(1+'Calc|Opex forecast'!O71)</f>
        <v>0</v>
      </c>
      <c r="P20" s="184">
        <f ca="1">-'Calc|Opex forecast'!$N$52*3/5*(1+'Calc|Opex forecast'!P71)</f>
        <v>0</v>
      </c>
      <c r="Q20" s="184">
        <f ca="1">-'Calc|Opex forecast'!$N$52*2/5*(1+'Calc|Opex forecast'!Q71)</f>
        <v>0</v>
      </c>
      <c r="R20" s="184">
        <f ca="1">-'Calc|Opex forecast'!$N$52*1/5*(1+'Calc|Opex forecast'!R71)</f>
        <v>0</v>
      </c>
      <c r="S20" s="184">
        <f ca="1">-'Calc|Opex forecast'!$N$52*0/5*(1+'Calc|Opex forecast'!S71)</f>
        <v>0</v>
      </c>
      <c r="T20" s="184"/>
      <c r="U20" s="123"/>
      <c r="V20" s="123"/>
      <c r="W20" s="81" t="str">
        <f t="shared" ca="1" si="3"/>
        <v>Ok</v>
      </c>
    </row>
    <row r="21" spans="1:30" outlineLevel="1">
      <c r="A21" s="123"/>
      <c r="B21" s="123"/>
      <c r="C21" s="123"/>
      <c r="D21" s="124"/>
      <c r="E21" s="124"/>
      <c r="F21" s="124"/>
      <c r="G21" s="125"/>
      <c r="H21" s="125"/>
      <c r="I21" s="124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30" outlineLevel="1">
      <c r="A22" s="123"/>
      <c r="B22" s="123"/>
      <c r="C22" s="123" t="s">
        <v>40</v>
      </c>
      <c r="D22" s="124" t="s">
        <v>91</v>
      </c>
      <c r="E22" s="124" t="s">
        <v>28</v>
      </c>
      <c r="F22" s="124" t="s">
        <v>36</v>
      </c>
      <c r="G22" s="124"/>
      <c r="H22" s="124"/>
      <c r="I22" s="124"/>
      <c r="J22" s="168" t="str">
        <f t="shared" ref="J22:S22" si="4">IF(J10=J4,IF(COUNTA($C12:$C20)=COUNT(J12:J20),"Ok","Check"),"")</f>
        <v/>
      </c>
      <c r="K22" s="168" t="str">
        <f t="shared" si="4"/>
        <v/>
      </c>
      <c r="L22" s="168" t="str">
        <f t="shared" si="4"/>
        <v/>
      </c>
      <c r="M22" s="168" t="str">
        <f t="shared" si="4"/>
        <v/>
      </c>
      <c r="N22" s="168" t="str">
        <f t="shared" si="4"/>
        <v/>
      </c>
      <c r="O22" s="168" t="str">
        <f t="shared" ca="1" si="4"/>
        <v>Ok</v>
      </c>
      <c r="P22" s="168" t="str">
        <f t="shared" ca="1" si="4"/>
        <v>Ok</v>
      </c>
      <c r="Q22" s="168" t="str">
        <f t="shared" ca="1" si="4"/>
        <v>Ok</v>
      </c>
      <c r="R22" s="168" t="str">
        <f t="shared" ca="1" si="4"/>
        <v>Ok</v>
      </c>
      <c r="S22" s="168" t="str">
        <f t="shared" ca="1" si="4"/>
        <v>Ok</v>
      </c>
      <c r="T22" s="168" t="str">
        <f t="shared" ref="T22" si="5">IF(T10=T4,IF(COUNTA($C12:$C20)=COUNT(T12:T20),"Ok","Check"),"")</f>
        <v/>
      </c>
      <c r="U22" s="169"/>
      <c r="V22" s="123"/>
      <c r="W22" s="81" t="str">
        <f ca="1">IF(COUNTIF(J22:T22,"Check")=0,"Ok","Check")</f>
        <v>Ok</v>
      </c>
    </row>
    <row r="23" spans="1:30">
      <c r="A23" s="123"/>
      <c r="B23" s="123"/>
      <c r="C23" s="123"/>
      <c r="D23" s="124"/>
      <c r="E23" s="124"/>
      <c r="F23" s="124"/>
      <c r="G23" s="125"/>
      <c r="H23" s="125"/>
      <c r="I23" s="124"/>
      <c r="J23" s="123"/>
      <c r="K23" s="123"/>
      <c r="L23" s="123"/>
      <c r="M23" s="123"/>
      <c r="N23" s="123"/>
      <c r="O23" s="218"/>
      <c r="P23" s="218"/>
      <c r="Q23" s="218"/>
      <c r="R23" s="218"/>
      <c r="S23" s="218"/>
      <c r="T23" s="123"/>
      <c r="U23" s="123"/>
      <c r="V23" s="123"/>
    </row>
    <row r="24" spans="1:30" customFormat="1" ht="12.75">
      <c r="A24" s="119"/>
      <c r="B24" s="38" t="s">
        <v>104</v>
      </c>
      <c r="C24" s="119"/>
      <c r="D24" s="119"/>
      <c r="E24" s="119"/>
      <c r="F24" s="120"/>
      <c r="G24" s="120"/>
      <c r="H24" s="120"/>
      <c r="I24" s="120"/>
      <c r="J24" s="121"/>
      <c r="K24" s="122"/>
      <c r="L24" s="121"/>
      <c r="M24" s="122"/>
      <c r="N24" s="121"/>
      <c r="O24" s="121"/>
      <c r="P24" s="121"/>
      <c r="Q24" s="121"/>
      <c r="R24" s="121"/>
      <c r="S24" s="121"/>
      <c r="T24" s="121"/>
      <c r="U24" s="121"/>
      <c r="V24" s="122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3"/>
      <c r="B25" s="123"/>
      <c r="C25" s="123"/>
      <c r="D25" s="124"/>
      <c r="E25" s="124"/>
      <c r="F25" s="124"/>
      <c r="G25" s="125"/>
      <c r="H25" s="125"/>
      <c r="I25" s="12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30" outlineLevel="1">
      <c r="A26" s="123"/>
      <c r="B26" s="123"/>
      <c r="C26" s="126" t="s">
        <v>100</v>
      </c>
      <c r="D26" s="125" t="s">
        <v>7</v>
      </c>
      <c r="E26" s="125" t="s">
        <v>8</v>
      </c>
      <c r="F26" s="125" t="s">
        <v>22</v>
      </c>
      <c r="G26" s="125"/>
      <c r="H26" s="125"/>
      <c r="I26" s="124"/>
      <c r="J26" s="142" t="str">
        <f t="shared" ref="J26:T26" si="6">IF(YEAR(J$4)&gt;=FPFirstYear,IF(YEAR(J$4)&lt;=FPLastYear,J$4,""),"")</f>
        <v/>
      </c>
      <c r="K26" s="142" t="str">
        <f t="shared" si="6"/>
        <v/>
      </c>
      <c r="L26" s="142" t="str">
        <f t="shared" si="6"/>
        <v/>
      </c>
      <c r="M26" s="142" t="str">
        <f t="shared" si="6"/>
        <v/>
      </c>
      <c r="N26" s="142" t="str">
        <f t="shared" si="6"/>
        <v/>
      </c>
      <c r="O26" s="142">
        <f t="shared" si="6"/>
        <v>46174</v>
      </c>
      <c r="P26" s="142">
        <f t="shared" si="6"/>
        <v>46539</v>
      </c>
      <c r="Q26" s="142">
        <f t="shared" si="6"/>
        <v>46905</v>
      </c>
      <c r="R26" s="142">
        <f t="shared" si="6"/>
        <v>47270</v>
      </c>
      <c r="S26" s="142">
        <f t="shared" si="6"/>
        <v>47635</v>
      </c>
      <c r="T26" s="142" t="str">
        <f t="shared" si="6"/>
        <v/>
      </c>
      <c r="U26" s="123"/>
      <c r="V26" s="123"/>
    </row>
    <row r="27" spans="1:30" outlineLevel="1">
      <c r="A27" s="123"/>
      <c r="B27" s="123"/>
      <c r="C27" s="123"/>
      <c r="D27" s="124"/>
      <c r="E27" s="124"/>
      <c r="F27" s="124"/>
      <c r="G27" s="125"/>
      <c r="H27" s="125"/>
      <c r="I27" s="12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30" outlineLevel="1">
      <c r="A28" s="123"/>
      <c r="B28" s="123"/>
      <c r="C28" s="186"/>
      <c r="D28" s="124" t="s">
        <v>62</v>
      </c>
      <c r="E28" s="124" t="str">
        <f>units</f>
        <v>$millions</v>
      </c>
      <c r="F28" s="143">
        <f>DATE(PPLastYear,MONTH(month),1)</f>
        <v>45809</v>
      </c>
      <c r="G28" s="125"/>
      <c r="H28" s="125"/>
      <c r="I28" s="124"/>
      <c r="J28" s="162"/>
      <c r="K28" s="162"/>
      <c r="L28" s="162"/>
      <c r="M28" s="162"/>
      <c r="N28" s="184"/>
      <c r="O28" s="184"/>
      <c r="P28" s="184"/>
      <c r="Q28" s="184"/>
      <c r="R28" s="184"/>
      <c r="S28" s="184"/>
      <c r="T28" s="184"/>
      <c r="U28" s="123"/>
      <c r="V28" s="123"/>
      <c r="W28" s="81" t="str">
        <f>IF(ISBLANK(C28),IF(COUNT(J28:T28)=0,"Ok","Check"),IF(COUNT(J28:T28)=COUNT(J$10:T$10),"Ok","Check"))</f>
        <v>Ok</v>
      </c>
    </row>
    <row r="29" spans="1:30" outlineLevel="1">
      <c r="A29" s="123"/>
      <c r="B29" s="123"/>
      <c r="C29" s="186"/>
      <c r="D29" s="124" t="s">
        <v>62</v>
      </c>
      <c r="E29" s="124" t="str">
        <f>units</f>
        <v>$millions</v>
      </c>
      <c r="F29" s="143">
        <f>DATE(PPLastYear,MONTH(month),1)</f>
        <v>45809</v>
      </c>
      <c r="G29" s="125"/>
      <c r="H29" s="125"/>
      <c r="I29" s="124"/>
      <c r="J29" s="162"/>
      <c r="K29" s="162"/>
      <c r="L29" s="162"/>
      <c r="M29" s="162"/>
      <c r="N29" s="184"/>
      <c r="O29" s="184"/>
      <c r="P29" s="184"/>
      <c r="Q29" s="184"/>
      <c r="R29" s="184"/>
      <c r="S29" s="184"/>
      <c r="T29" s="184"/>
      <c r="U29" s="123"/>
      <c r="V29" s="123"/>
      <c r="W29" s="81" t="str">
        <f>IF(ISBLANK(C29),IF(COUNT(J29:T29)=0,"Ok","Check"),IF(COUNT(J29:T29)=COUNT(J$10:T$10),"Ok","Check"))</f>
        <v>Ok</v>
      </c>
    </row>
    <row r="30" spans="1:30" outlineLevel="1">
      <c r="A30" s="123"/>
      <c r="B30" s="123"/>
      <c r="C30" s="186"/>
      <c r="D30" s="124" t="s">
        <v>62</v>
      </c>
      <c r="E30" s="124" t="str">
        <f>units</f>
        <v>$millions</v>
      </c>
      <c r="F30" s="143">
        <f>DATE(PPLastYear,MONTH(month),1)</f>
        <v>45809</v>
      </c>
      <c r="G30" s="125"/>
      <c r="H30" s="125"/>
      <c r="I30" s="124"/>
      <c r="J30" s="162"/>
      <c r="K30" s="162"/>
      <c r="L30" s="162"/>
      <c r="M30" s="162"/>
      <c r="N30" s="184"/>
      <c r="O30" s="184"/>
      <c r="P30" s="184"/>
      <c r="Q30" s="184"/>
      <c r="R30" s="184"/>
      <c r="S30" s="184"/>
      <c r="T30" s="184"/>
      <c r="U30" s="123"/>
      <c r="V30" s="123"/>
      <c r="W30" s="81" t="str">
        <f>IF(ISBLANK(C30),IF(COUNT(J30:T30)=0,"Ok","Check"),IF(COUNT(J30:T30)=COUNT(J$10:T$10),"Ok","Check"))</f>
        <v>Ok</v>
      </c>
    </row>
    <row r="31" spans="1:30" outlineLevel="1">
      <c r="A31" s="123"/>
      <c r="B31" s="123"/>
      <c r="C31" s="187"/>
      <c r="D31" s="124" t="s">
        <v>62</v>
      </c>
      <c r="E31" s="124" t="str">
        <f>units</f>
        <v>$millions</v>
      </c>
      <c r="F31" s="143">
        <f>DATE(PPLastYear,MONTH(month),1)</f>
        <v>45809</v>
      </c>
      <c r="G31" s="125"/>
      <c r="H31" s="125"/>
      <c r="I31" s="124"/>
      <c r="J31" s="162"/>
      <c r="K31" s="162"/>
      <c r="L31" s="162"/>
      <c r="M31" s="162"/>
      <c r="N31" s="184"/>
      <c r="O31" s="184"/>
      <c r="P31" s="184"/>
      <c r="Q31" s="184"/>
      <c r="R31" s="184"/>
      <c r="S31" s="184"/>
      <c r="T31" s="184"/>
      <c r="U31" s="123"/>
      <c r="V31" s="123"/>
      <c r="W31" s="81" t="str">
        <f>IF(ISBLANK(C31),IF(COUNT(J31:T31)=0,"Ok","Check"),IF(COUNT(J31:T31)=COUNT(J$10:T$10),"Ok","Check"))</f>
        <v>Ok</v>
      </c>
    </row>
    <row r="32" spans="1:30" outlineLevel="1">
      <c r="A32" s="123"/>
      <c r="B32" s="123"/>
      <c r="C32" s="131"/>
      <c r="D32" s="124" t="s">
        <v>62</v>
      </c>
      <c r="E32" s="124" t="str">
        <f>units</f>
        <v>$millions</v>
      </c>
      <c r="F32" s="143">
        <f>DATE(PPLastYear,MONTH(month),1)</f>
        <v>45809</v>
      </c>
      <c r="G32" s="125"/>
      <c r="H32" s="125"/>
      <c r="I32" s="124"/>
      <c r="J32" s="162"/>
      <c r="K32" s="162"/>
      <c r="L32" s="162"/>
      <c r="M32" s="162"/>
      <c r="N32" s="184"/>
      <c r="O32" s="184"/>
      <c r="P32" s="184"/>
      <c r="Q32" s="184"/>
      <c r="R32" s="184"/>
      <c r="S32" s="184"/>
      <c r="T32" s="184"/>
      <c r="U32" s="123"/>
      <c r="V32" s="123"/>
      <c r="W32" s="81" t="str">
        <f>IF(ISBLANK(C32),IF(COUNT(J32:T32)=0,"Ok","Check"),IF(COUNT(J32:T32)=COUNT(J$10:T$10),"Ok","Check"))</f>
        <v>Ok</v>
      </c>
    </row>
    <row r="33" spans="1:30" outlineLevel="1">
      <c r="A33" s="123"/>
      <c r="B33" s="123"/>
      <c r="C33" s="123"/>
      <c r="D33" s="124"/>
      <c r="E33" s="124"/>
      <c r="F33" s="124"/>
      <c r="G33" s="125"/>
      <c r="H33" s="125"/>
      <c r="I33" s="124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30" outlineLevel="1">
      <c r="A34" s="123"/>
      <c r="B34" s="123"/>
      <c r="C34" s="123" t="s">
        <v>40</v>
      </c>
      <c r="D34" s="124" t="s">
        <v>91</v>
      </c>
      <c r="E34" s="124" t="s">
        <v>28</v>
      </c>
      <c r="F34" s="124" t="s">
        <v>36</v>
      </c>
      <c r="G34" s="124"/>
      <c r="H34" s="124"/>
      <c r="I34" s="124"/>
      <c r="J34" s="168" t="str">
        <f t="shared" ref="J34:T34" si="7">IF(J26=J4,IF(COUNTA($C28:$C32)=COUNT(J28:J32),"Ok","Check"),"")</f>
        <v/>
      </c>
      <c r="K34" s="168" t="str">
        <f t="shared" si="7"/>
        <v/>
      </c>
      <c r="L34" s="168" t="str">
        <f t="shared" si="7"/>
        <v/>
      </c>
      <c r="M34" s="168" t="str">
        <f t="shared" si="7"/>
        <v/>
      </c>
      <c r="N34" s="168" t="str">
        <f t="shared" si="7"/>
        <v/>
      </c>
      <c r="O34" s="168" t="str">
        <f t="shared" si="7"/>
        <v>Ok</v>
      </c>
      <c r="P34" s="168" t="str">
        <f t="shared" si="7"/>
        <v>Ok</v>
      </c>
      <c r="Q34" s="168" t="str">
        <f t="shared" si="7"/>
        <v>Ok</v>
      </c>
      <c r="R34" s="168" t="str">
        <f t="shared" si="7"/>
        <v>Ok</v>
      </c>
      <c r="S34" s="168" t="str">
        <f t="shared" si="7"/>
        <v>Ok</v>
      </c>
      <c r="T34" s="168" t="str">
        <f t="shared" si="7"/>
        <v/>
      </c>
      <c r="U34" s="169"/>
      <c r="V34" s="123"/>
      <c r="W34" s="81" t="str">
        <f>IF(COUNTIF(J34:T34,"Check")=0,"Ok","Check")</f>
        <v>Ok</v>
      </c>
    </row>
    <row r="35" spans="1:30">
      <c r="A35" s="123"/>
      <c r="B35" s="123"/>
      <c r="C35" s="123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30" customFormat="1" ht="12.75">
      <c r="A36" s="119"/>
      <c r="B36" s="38" t="s">
        <v>44</v>
      </c>
      <c r="C36" s="119"/>
      <c r="D36" s="119"/>
      <c r="E36" s="119"/>
      <c r="F36" s="120"/>
      <c r="G36" s="120"/>
      <c r="H36" s="120"/>
      <c r="I36" s="120"/>
      <c r="J36" s="121"/>
      <c r="K36" s="122"/>
      <c r="L36" s="121"/>
      <c r="M36" s="122"/>
      <c r="N36" s="121"/>
      <c r="O36" s="121"/>
      <c r="P36" s="121"/>
      <c r="Q36" s="121"/>
      <c r="R36" s="121"/>
      <c r="S36" s="121"/>
      <c r="T36" s="121"/>
      <c r="U36" s="121"/>
      <c r="V36" s="122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3"/>
      <c r="B37" s="123"/>
      <c r="C37" s="123"/>
      <c r="D37" s="124"/>
      <c r="E37" s="124"/>
      <c r="F37" s="124"/>
      <c r="G37" s="125"/>
      <c r="H37" s="125"/>
      <c r="I37" s="12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30" outlineLevel="1">
      <c r="A38" s="123"/>
      <c r="B38" s="123"/>
      <c r="C38" s="126" t="s">
        <v>32</v>
      </c>
      <c r="D38" s="125" t="s">
        <v>7</v>
      </c>
      <c r="E38" s="125" t="s">
        <v>8</v>
      </c>
      <c r="F38" s="125" t="s">
        <v>22</v>
      </c>
      <c r="G38" s="125"/>
      <c r="H38" s="125"/>
      <c r="I38" s="124"/>
      <c r="J38" s="142" t="str">
        <f t="shared" ref="J38:T38" si="8">IF(YEAR(J$4)&gt;=FPFirstYear,IF(YEAR(J$4)&lt;=FPLastYear,J$4,""),"")</f>
        <v/>
      </c>
      <c r="K38" s="142" t="str">
        <f t="shared" si="8"/>
        <v/>
      </c>
      <c r="L38" s="142" t="str">
        <f t="shared" si="8"/>
        <v/>
      </c>
      <c r="M38" s="142" t="str">
        <f t="shared" si="8"/>
        <v/>
      </c>
      <c r="N38" s="142" t="str">
        <f t="shared" si="8"/>
        <v/>
      </c>
      <c r="O38" s="142">
        <f t="shared" si="8"/>
        <v>46174</v>
      </c>
      <c r="P38" s="142">
        <f t="shared" si="8"/>
        <v>46539</v>
      </c>
      <c r="Q38" s="142">
        <f t="shared" si="8"/>
        <v>46905</v>
      </c>
      <c r="R38" s="142">
        <f t="shared" si="8"/>
        <v>47270</v>
      </c>
      <c r="S38" s="142">
        <f t="shared" si="8"/>
        <v>47635</v>
      </c>
      <c r="T38" s="142" t="str">
        <f t="shared" si="8"/>
        <v/>
      </c>
      <c r="U38" s="123"/>
      <c r="V38" s="123"/>
    </row>
    <row r="39" spans="1:30" outlineLevel="1">
      <c r="A39" s="123"/>
      <c r="B39" s="123"/>
      <c r="C39" s="123"/>
      <c r="D39" s="124"/>
      <c r="E39" s="124"/>
      <c r="F39" s="124"/>
      <c r="G39" s="125"/>
      <c r="H39" s="125"/>
      <c r="I39" s="12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0" outlineLevel="1">
      <c r="A40" s="123"/>
      <c r="B40" s="123"/>
      <c r="C40" s="129" t="s">
        <v>39</v>
      </c>
      <c r="D40" s="124" t="s">
        <v>65</v>
      </c>
      <c r="E40" s="124" t="s">
        <v>15</v>
      </c>
      <c r="F40" s="143">
        <f>DATE(PPLastYear,MONTH(month),1)</f>
        <v>45809</v>
      </c>
      <c r="G40" s="125"/>
      <c r="H40" s="125"/>
      <c r="I40" s="125"/>
      <c r="J40" s="184"/>
      <c r="K40" s="184"/>
      <c r="L40" s="184"/>
      <c r="M40" s="184"/>
      <c r="N40" s="184"/>
      <c r="O40" s="184">
        <v>7.9155884737934628</v>
      </c>
      <c r="P40" s="184">
        <v>8.0383627778988291</v>
      </c>
      <c r="Q40" s="184">
        <v>8.1510033029374966</v>
      </c>
      <c r="R40" s="184">
        <v>8.2560367216932011</v>
      </c>
      <c r="S40" s="184">
        <v>8.3584234416869041</v>
      </c>
      <c r="T40" s="184"/>
      <c r="U40" s="123"/>
      <c r="V40" s="123"/>
    </row>
    <row r="41" spans="1:30" outlineLevel="1">
      <c r="A41" s="123"/>
      <c r="B41" s="123"/>
      <c r="C41" s="123"/>
      <c r="D41" s="124"/>
      <c r="E41" s="124"/>
      <c r="F41" s="124"/>
      <c r="G41" s="125"/>
      <c r="H41" s="125"/>
      <c r="I41" s="12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30" outlineLevel="1">
      <c r="A42" s="123"/>
      <c r="B42" s="123"/>
      <c r="C42" s="123" t="s">
        <v>40</v>
      </c>
      <c r="D42" s="124" t="s">
        <v>91</v>
      </c>
      <c r="E42" s="124" t="s">
        <v>28</v>
      </c>
      <c r="F42" s="124" t="s">
        <v>36</v>
      </c>
      <c r="G42" s="124"/>
      <c r="H42" s="124"/>
      <c r="I42" s="124"/>
      <c r="J42" s="168" t="str">
        <f t="shared" ref="J42:T42" si="9">IF(J38=J4,IF(ISBLANK(J40),"Check","Ok"),"")</f>
        <v/>
      </c>
      <c r="K42" s="168" t="str">
        <f t="shared" si="9"/>
        <v/>
      </c>
      <c r="L42" s="168" t="str">
        <f t="shared" si="9"/>
        <v/>
      </c>
      <c r="M42" s="168" t="str">
        <f t="shared" si="9"/>
        <v/>
      </c>
      <c r="N42" s="168" t="str">
        <f t="shared" si="9"/>
        <v/>
      </c>
      <c r="O42" s="168" t="str">
        <f t="shared" si="9"/>
        <v>Ok</v>
      </c>
      <c r="P42" s="168" t="str">
        <f t="shared" si="9"/>
        <v>Ok</v>
      </c>
      <c r="Q42" s="168" t="str">
        <f t="shared" si="9"/>
        <v>Ok</v>
      </c>
      <c r="R42" s="168" t="str">
        <f t="shared" si="9"/>
        <v>Ok</v>
      </c>
      <c r="S42" s="168" t="str">
        <f t="shared" si="9"/>
        <v>Ok</v>
      </c>
      <c r="T42" s="168" t="str">
        <f t="shared" si="9"/>
        <v/>
      </c>
      <c r="U42" s="169"/>
      <c r="V42" s="123"/>
      <c r="W42" s="81" t="str">
        <f>IF(COUNTIF(J42:T42,"Check")=0,"Ok","Check")</f>
        <v>Ok</v>
      </c>
    </row>
    <row r="43" spans="1:30">
      <c r="A43" s="123"/>
      <c r="B43" s="123"/>
      <c r="C43" s="123"/>
      <c r="D43" s="124"/>
      <c r="E43" s="124"/>
      <c r="F43" s="124"/>
      <c r="G43" s="125"/>
      <c r="H43" s="125"/>
      <c r="I43" s="124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30" customFormat="1" ht="12.75">
      <c r="A44" s="119"/>
      <c r="B44" s="38" t="s">
        <v>21</v>
      </c>
      <c r="C44" s="119"/>
      <c r="D44" s="119"/>
      <c r="E44" s="119"/>
      <c r="F44" s="120"/>
      <c r="G44" s="120"/>
      <c r="H44" s="120"/>
      <c r="I44" s="120"/>
      <c r="J44" s="121"/>
      <c r="K44" s="122"/>
      <c r="L44" s="121"/>
      <c r="M44" s="122"/>
      <c r="N44" s="121"/>
      <c r="O44" s="121"/>
      <c r="P44" s="121"/>
      <c r="Q44" s="121"/>
      <c r="R44" s="121"/>
      <c r="S44" s="121"/>
      <c r="T44" s="121"/>
      <c r="U44" s="121"/>
      <c r="V44" s="122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conditionalFormatting sqref="J28:M32 O31:O32">
    <cfRule type="expression" dxfId="77" priority="26">
      <formula>J$26=J$4</formula>
    </cfRule>
  </conditionalFormatting>
  <conditionalFormatting sqref="J10:T10">
    <cfRule type="expression" dxfId="76" priority="38">
      <formula>J$10=J$4</formula>
    </cfRule>
  </conditionalFormatting>
  <conditionalFormatting sqref="J12:T20">
    <cfRule type="expression" dxfId="75" priority="14">
      <formula>J$10=J$4</formula>
    </cfRule>
  </conditionalFormatting>
  <conditionalFormatting sqref="J22:T22">
    <cfRule type="cellIs" dxfId="74" priority="32" operator="equal">
      <formula>"Ok"</formula>
    </cfRule>
    <cfRule type="cellIs" dxfId="73" priority="31" operator="equal">
      <formula>"Check"</formula>
    </cfRule>
  </conditionalFormatting>
  <conditionalFormatting sqref="J26:T26">
    <cfRule type="expression" dxfId="72" priority="16">
      <formula>J$10=J$4</formula>
    </cfRule>
  </conditionalFormatting>
  <conditionalFormatting sqref="J34:T34">
    <cfRule type="cellIs" dxfId="71" priority="28" operator="equal">
      <formula>"Ok"</formula>
    </cfRule>
    <cfRule type="cellIs" dxfId="70" priority="27" operator="equal">
      <formula>"Check"</formula>
    </cfRule>
  </conditionalFormatting>
  <conditionalFormatting sqref="J38:T38">
    <cfRule type="expression" dxfId="69" priority="15">
      <formula>J$10=J$4</formula>
    </cfRule>
  </conditionalFormatting>
  <conditionalFormatting sqref="J40:T40">
    <cfRule type="expression" dxfId="68" priority="1">
      <formula>J$38=J$4</formula>
    </cfRule>
  </conditionalFormatting>
  <conditionalFormatting sqref="J42:T42">
    <cfRule type="cellIs" dxfId="67" priority="23" operator="equal">
      <formula>"Ok"</formula>
    </cfRule>
    <cfRule type="cellIs" dxfId="66" priority="22" operator="equal">
      <formula>"Check"</formula>
    </cfRule>
  </conditionalFormatting>
  <conditionalFormatting sqref="N28:N32">
    <cfRule type="expression" dxfId="65" priority="20">
      <formula>N$10=N$4</formula>
    </cfRule>
  </conditionalFormatting>
  <conditionalFormatting sqref="O28:T30 P31:T32">
    <cfRule type="expression" dxfId="64" priority="21">
      <formula>O$10=O$4</formula>
    </cfRule>
  </conditionalFormatting>
  <conditionalFormatting sqref="S1">
    <cfRule type="cellIs" dxfId="63" priority="40" operator="equal">
      <formula>"Check"</formula>
    </cfRule>
    <cfRule type="cellIs" dxfId="62" priority="41" operator="equal">
      <formula>"Ok"</formula>
    </cfRule>
  </conditionalFormatting>
  <conditionalFormatting sqref="V1">
    <cfRule type="cellIs" dxfId="61" priority="42" operator="equal">
      <formula>"Check"</formula>
    </cfRule>
    <cfRule type="cellIs" dxfId="60" priority="43" operator="equal">
      <formula>"Ok"</formula>
    </cfRule>
  </conditionalFormatting>
  <conditionalFormatting sqref="W12:W20">
    <cfRule type="cellIs" dxfId="59" priority="13" operator="equal">
      <formula>"Ok"</formula>
    </cfRule>
    <cfRule type="cellIs" dxfId="58" priority="12" operator="equal">
      <formula>"Check"</formula>
    </cfRule>
  </conditionalFormatting>
  <conditionalFormatting sqref="W22">
    <cfRule type="cellIs" dxfId="57" priority="33" operator="equal">
      <formula>"Check"</formula>
    </cfRule>
    <cfRule type="cellIs" dxfId="56" priority="34" operator="equal">
      <formula>"Ok"</formula>
    </cfRule>
  </conditionalFormatting>
  <conditionalFormatting sqref="W28:W32">
    <cfRule type="cellIs" dxfId="55" priority="2" operator="equal">
      <formula>"Check"</formula>
    </cfRule>
    <cfRule type="cellIs" dxfId="54" priority="3" operator="equal">
      <formula>"Ok"</formula>
    </cfRule>
  </conditionalFormatting>
  <conditionalFormatting sqref="W34">
    <cfRule type="cellIs" dxfId="53" priority="29" operator="equal">
      <formula>"Check"</formula>
    </cfRule>
    <cfRule type="cellIs" dxfId="52" priority="30" operator="equal">
      <formula>"Ok"</formula>
    </cfRule>
  </conditionalFormatting>
  <conditionalFormatting sqref="W42">
    <cfRule type="cellIs" dxfId="51" priority="24" operator="equal">
      <formula>"Check"</formula>
    </cfRule>
    <cfRule type="cellIs" dxfId="50" priority="25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75</v>
      </c>
      <c r="S1" s="29" t="s">
        <v>36</v>
      </c>
      <c r="T1" s="29"/>
      <c r="V1" s="205" t="s">
        <v>24</v>
      </c>
      <c r="W1" s="29" t="str">
        <f ca="1"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107</v>
      </c>
      <c r="K3" s="100"/>
      <c r="L3" s="100"/>
      <c r="M3" s="105"/>
      <c r="N3" s="221"/>
      <c r="O3" s="221"/>
      <c r="P3" s="221"/>
      <c r="Q3" s="221"/>
      <c r="R3" s="221"/>
      <c r="S3" s="221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79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145</v>
      </c>
      <c r="D12" s="65" t="s">
        <v>85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439.21333444999999</v>
      </c>
      <c r="M12" s="66">
        <f>IF(YEAR(M$4)=BaseYear,'Input|Reported opex'!M47,0)</f>
        <v>0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145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480.77479637151635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223</v>
      </c>
      <c r="D14" s="65" t="s">
        <v>85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367.00423393846972</v>
      </c>
      <c r="M14" s="66">
        <f>IF(YEAR(M$4)=BaseYear,'Input|Reported opex'!M15,0)</f>
        <v>0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223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455.96811341569435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224</v>
      </c>
      <c r="D16" s="65" t="s">
        <v>85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357.16838526561975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224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443.74799999881867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146</v>
      </c>
      <c r="D19" s="65" t="s">
        <v>85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6.9824539999999997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146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7.6431830199946695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225</v>
      </c>
      <c r="D21" s="65" t="s">
        <v>85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5.7054343063697095</v>
      </c>
      <c r="M21" s="66">
        <f>IF(YEAR(M$4)=BaseYear,'Input|Reported opex'!M29,0)</f>
        <v>0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225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7.0884635007473298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226</v>
      </c>
      <c r="D23" s="65" t="s">
        <v>85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5.7825189821237597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226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7.1842339331471026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124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480.77479637151635</v>
      </c>
      <c r="M26" s="70">
        <f ca="1">M13</f>
        <v>0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144</v>
      </c>
      <c r="D28" s="65" t="s">
        <v>85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142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>IF(YEAR(N$4)=PPLastYear,-SUM($J15:$S15)+SUM($J17:$S17),0)</f>
        <v>-12.220113416875677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97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ca="1">IF(YEAR(N$4)=PPLastYear,SUM($J26:$S26,$J29:$S29,$J31:$S31),0)</f>
        <v>468.55468295464067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147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>IF(YEAR(N$4)=PPLastYear,-(SUM($J20:$S20)-SUM($J22:$S22)+SUM($J24:$S24)),0)</f>
        <v>-7.7389534523944423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 t="str">
        <f>'Input|Reported opex'!$C$63</f>
        <v>ESO Levy Removal</v>
      </c>
      <c r="D37" s="65" t="s">
        <v>85</v>
      </c>
      <c r="E37" s="16" t="str">
        <f>'Input|Reported opex'!E63</f>
        <v>$millions</v>
      </c>
      <c r="F37" s="98">
        <f>'Input|Reported opex'!F63</f>
        <v>45809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-6.6417590852900226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 t="str">
        <f>C37</f>
        <v>ESO Levy Removal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-6.6417590852900226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 t="str">
        <f>'Input|Reported opex'!$C$64</f>
        <v>Property Leases Removal (SCS Opex portion only)</v>
      </c>
      <c r="D40" s="65" t="s">
        <v>85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-2.824196897461742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 t="str">
        <f>C40</f>
        <v>Property Leases Removal (SCS Opex portion only)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-2.824196897461742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85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85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85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82</v>
      </c>
      <c r="D52" s="16" t="s">
        <v>91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148</v>
      </c>
      <c r="D54" s="67" t="s">
        <v>91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ca="1">SUM(N33,N35,N38,N41,N44,N47,N50,N52)</f>
        <v>451.34977351949448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80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163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change'!$J$84:$M$84),1)),0)</f>
        <v>0</v>
      </c>
      <c r="K61" s="72">
        <f ca="1">IF(K58=K4,AVERAGE(OFFSET('Input|Rate of change'!L106,0,0,COUNTA('Input|Rate of change'!$J$84:$M$84),1)),0)</f>
        <v>0</v>
      </c>
      <c r="L61" s="72">
        <f ca="1">IF(L58=L4,AVERAGE(OFFSET('Input|Rate of change'!M106,0,0,COUNTA('Input|Rate of change'!$J$84:$M$84),1)),0)</f>
        <v>0</v>
      </c>
      <c r="M61" s="72">
        <f ca="1">IF(M58=M4,AVERAGE(OFFSET('Input|Rate of change'!N106,0,0,COUNTA('Input|Rate of change'!$J$84:$M$84),1)),0)</f>
        <v>0</v>
      </c>
      <c r="N61" s="72">
        <f ca="1">IF(N58=N4,AVERAGE(OFFSET('Input|Rate of change'!O106,0,0,COUNTA('Input|Rate of change'!$J$84:$M$84),1)),0)</f>
        <v>0</v>
      </c>
      <c r="O61" s="72">
        <f ca="1">IF(O58=O4,AVERAGE(OFFSET('Input|Rate of change'!P106,0,0,COUNTA('Input|Rate of change'!$J$84:$M$84),1)),0)</f>
        <v>3.7621989718053931E-3</v>
      </c>
      <c r="P61" s="72">
        <f ca="1">IF(P58=P4,AVERAGE(OFFSET('Input|Rate of change'!Q106,0,0,COUNTA('Input|Rate of change'!$J$84:$M$84),1)),0)</f>
        <v>3.9418820883076328E-3</v>
      </c>
      <c r="Q61" s="72">
        <f ca="1">IF(Q58=Q4,AVERAGE(OFFSET('Input|Rate of change'!R106,0,0,COUNTA('Input|Rate of change'!$J$84:$M$84),1)),0)</f>
        <v>3.8621741021039845E-3</v>
      </c>
      <c r="R61" s="72">
        <f ca="1">IF(R58=R4,AVERAGE(OFFSET('Input|Rate of change'!S106,0,0,COUNTA('Input|Rate of change'!$J$84:$M$84),1)),0)</f>
        <v>3.7550898123377306E-3</v>
      </c>
      <c r="S61" s="72">
        <f ca="1">IF(S58=S4,AVERAGE(OFFSET('Input|Rate of change'!T106,0,0,COUNTA('Input|Rate of change'!$J$84:$M$84),1)),0)</f>
        <v>3.6655968172248001E-3</v>
      </c>
      <c r="T61" s="72">
        <f ca="1">IF(T58=T4,AVERAGE(OFFSET('Input|Rate of change'!U106,0,0,COUNTA('Input|Rate of change'!$J$84:$M$84),1)),0)</f>
        <v>0</v>
      </c>
    </row>
    <row r="62" spans="1:31" outlineLevel="1">
      <c r="C62" s="15" t="s">
        <v>166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3.7621989718052973E-3</v>
      </c>
      <c r="P62" s="72">
        <f t="array" aca="1" ref="P62" ca="1">IF(P$58=P$4,PRODUCT(1+$J61:P61)-1,0)</f>
        <v>7.7189112048525743E-3</v>
      </c>
      <c r="Q62" s="72">
        <f t="array" aca="1" ref="Q62" ca="1">IF(Q$58=Q$4,PRODUCT(1+$J61:Q61)-1,0)</f>
        <v>1.1610897085908345E-2</v>
      </c>
      <c r="R62" s="72">
        <f t="array" aca="1" ref="R62" ca="1">IF(R$58=R$4,PRODUCT(1+$J61:R61)-1,0)</f>
        <v>1.5409586859605584E-2</v>
      </c>
      <c r="S62" s="72">
        <f t="array" aca="1" ref="S62" ca="1">IF(S$58=S$4,PRODUCT(1+$J61:S61)-1,0)</f>
        <v>1.9131669009377683E-2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164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6.5625723786258035E-3</v>
      </c>
      <c r="P64" s="72">
        <f>SUMPRODUCT('Input|Rate of change'!Q38:Q45,'Input|Rate of change'!Q51:Q58)</f>
        <v>6.4350936757374896E-3</v>
      </c>
      <c r="Q64" s="72">
        <f>SUMPRODUCT('Input|Rate of change'!R38:R45,'Input|Rate of change'!R51:R58)</f>
        <v>5.1780036802336069E-3</v>
      </c>
      <c r="R64" s="72">
        <f>SUMPRODUCT('Input|Rate of change'!S38:S45,'Input|Rate of change'!S51:S58)</f>
        <v>5.6426916021103191E-3</v>
      </c>
      <c r="S64" s="72">
        <f>SUMPRODUCT('Input|Rate of change'!T38:T45,'Input|Rate of change'!T51:T58)</f>
        <v>6.8174277342029832E-3</v>
      </c>
      <c r="T64" s="72">
        <f>SUMPRODUCT('Input|Rate of change'!U38:U45,'Input|Rate of change'!U51:U58)</f>
        <v>0</v>
      </c>
    </row>
    <row r="65" spans="1:31" outlineLevel="1">
      <c r="C65" s="15" t="s">
        <v>167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6.5625723786257861E-3</v>
      </c>
      <c r="P65" s="72">
        <f t="array" ref="P65">IF(P$58=P$4,PRODUCT(1+$J64:P64)-1,0)</f>
        <v>1.303989682237372E-2</v>
      </c>
      <c r="Q65" s="72">
        <f t="array" ref="Q65">IF(Q$58=Q$4,PRODUCT(1+$J64:Q64)-1,0)</f>
        <v>1.828542113634346E-2</v>
      </c>
      <c r="R65" s="72">
        <f t="array" ref="R65">IF(R$58=R$4,PRODUCT(1+$J64:R64)-1,0)</f>
        <v>2.4031291730741033E-2</v>
      </c>
      <c r="S65" s="72">
        <f t="array" ref="S65">IF(S$58=S$4,PRODUCT(1+$J64:S64)-1,0)</f>
        <v>3.1012551059677929E-2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165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168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125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5.2977137482190795E-3</v>
      </c>
      <c r="P70" s="88">
        <f t="shared" ca="1" si="6"/>
        <v>5.3503304338196056E-3</v>
      </c>
      <c r="Q70" s="88">
        <f t="shared" ca="1" si="6"/>
        <v>4.0148752533815113E-3</v>
      </c>
      <c r="R70" s="88">
        <f t="shared" ca="1" si="6"/>
        <v>4.3718753770565222E-3</v>
      </c>
      <c r="S70" s="88">
        <f t="shared" ca="1" si="6"/>
        <v>5.4554744203678673E-3</v>
      </c>
      <c r="T70" s="88">
        <f t="shared" ref="T70" ca="1" si="7">(1+T61)*(1+T64)*(1-T67)-1</f>
        <v>0</v>
      </c>
    </row>
    <row r="71" spans="1:31" outlineLevel="1">
      <c r="C71" s="9" t="s">
        <v>126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5.2977137482190795E-3</v>
      </c>
      <c r="P71" s="72">
        <f t="array" aca="1" ref="P71" ca="1">IF(P$58=P$4,PRODUCT(1+$J70:P70)-1,"")</f>
        <v>1.0676388701135409E-2</v>
      </c>
      <c r="Q71" s="72">
        <f t="array" aca="1" ref="Q71" ca="1">IF(Q$58=Q$4,PRODUCT(1+$J70:Q70)-1,"")</f>
        <v>1.4734128323308671E-2</v>
      </c>
      <c r="R71" s="72">
        <f t="array" aca="1" ref="R71" ca="1">IF(R$58=R$4,PRODUCT(1+$J70:R70)-1,"")</f>
        <v>1.9170419473184319E-2</v>
      </c>
      <c r="S71" s="72">
        <f t="array" aca="1" ref="S71" ca="1">IF(S$58=S$4,PRODUCT(1+$J70:S70)-1,"")</f>
        <v>2.4730477626615954E-2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83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95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Smart Meter Data Storage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 t="str">
        <f>'Input|Step changes'!C20</f>
        <v>Transition costs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 ca="1"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 ca="1"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 ca="1"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 ca="1"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 ca="1"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N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ca="1">SUM(O76:O86)</f>
        <v>0</v>
      </c>
      <c r="P87" s="80">
        <f ca="1">SUM(P76:P86)</f>
        <v>0</v>
      </c>
      <c r="Q87" s="80">
        <f ca="1">SUM(Q76:Q86)</f>
        <v>0</v>
      </c>
      <c r="R87" s="80">
        <f ca="1">SUM(R76:R86)</f>
        <v>0</v>
      </c>
      <c r="S87" s="80">
        <f ca="1">SUM(S76:S86)</f>
        <v>0</v>
      </c>
      <c r="T87" s="80">
        <f t="shared" ref="T87" si="11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105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100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>
        <f>'Input|Step changes'!C28</f>
        <v>0</v>
      </c>
      <c r="D93" s="16" t="s">
        <v>30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30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30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106</v>
      </c>
      <c r="D99" s="76" t="s">
        <v>30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0</v>
      </c>
      <c r="P99" s="80">
        <f t="shared" si="14"/>
        <v>0</v>
      </c>
      <c r="Q99" s="80">
        <f t="shared" si="14"/>
        <v>0</v>
      </c>
      <c r="R99" s="80">
        <f t="shared" si="14"/>
        <v>0</v>
      </c>
      <c r="S99" s="80">
        <f t="shared" si="14"/>
        <v>0</v>
      </c>
      <c r="T99" s="80">
        <f t="shared" si="14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84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122</v>
      </c>
      <c r="D105" s="20" t="s">
        <v>30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ca="1">IF(YEAR(O$4)&gt;=FPFirstYear,IF(YEAR(O$4)&lt;=FPLastYear,IF(ISBLANK(O103),"",(1+O71)*SUM($J54:$S54)+O87),""),"")</f>
        <v>453.74089541992424</v>
      </c>
      <c r="P105" s="90">
        <f ca="1">IF(YEAR(P$4)&gt;=FPFirstYear,IF(YEAR(P$4)&lt;=FPLastYear,IF(ISBLANK(P103),"",(1+P71)*SUM($J54:$S54)+P87),""),"")</f>
        <v>456.16855914175801</v>
      </c>
      <c r="Q105" s="90">
        <f t="shared" ref="Q105:S105" ca="1" si="17">IF(YEAR(Q$4)&gt;=FPFirstYear,IF(YEAR(Q$4)&lt;=FPLastYear,IF(ISBLANK(Q103),"",(1+Q71)*SUM($J54:$S54)+Q87),""),"")</f>
        <v>458.00001900122703</v>
      </c>
      <c r="R105" s="90">
        <f t="shared" ca="1" si="17"/>
        <v>460.00233800698993</v>
      </c>
      <c r="S105" s="90">
        <f t="shared" ca="1" si="17"/>
        <v>462.51186899529654</v>
      </c>
      <c r="T105" s="90" t="str">
        <f t="shared" si="16"/>
        <v/>
      </c>
    </row>
    <row r="106" spans="1:39" outlineLevel="1">
      <c r="C106" s="77" t="s">
        <v>98</v>
      </c>
      <c r="D106" s="20" t="s">
        <v>30</v>
      </c>
      <c r="E106" s="20" t="str">
        <f>$E$8</f>
        <v>$millions</v>
      </c>
      <c r="F106" s="101">
        <f t="shared" si="15"/>
        <v>45809</v>
      </c>
      <c r="J106" s="90" t="str">
        <f t="shared" ref="J106:T106" si="18">IF(YEAR(J$4)&gt;=FPFirstYear,IF(YEAR(J$4)&lt;=FPLastYear,IF(ISBLANK(J103),"",(1+J71)*SUM($J54:$S54)+J87+J99),""),"")</f>
        <v/>
      </c>
      <c r="K106" s="90" t="str">
        <f t="shared" si="18"/>
        <v/>
      </c>
      <c r="L106" s="90" t="str">
        <f t="shared" si="18"/>
        <v/>
      </c>
      <c r="M106" s="90" t="str">
        <f t="shared" si="18"/>
        <v/>
      </c>
      <c r="N106" s="90" t="str">
        <f t="shared" si="18"/>
        <v/>
      </c>
      <c r="O106" s="90">
        <f ca="1">IF(YEAR(O$4)&gt;=FPFirstYear,IF(YEAR(O$4)&lt;=FPLastYear,IF(ISBLANK(O103),"",(1+O71)*SUM($J54:$S54)+O87+O99),""),"")</f>
        <v>453.74089541992424</v>
      </c>
      <c r="P106" s="90">
        <f t="shared" ref="P106:S106" ca="1" si="19">IF(YEAR(P$4)&gt;=FPFirstYear,IF(YEAR(P$4)&lt;=FPLastYear,IF(ISBLANK(P103),"",(1+P71)*SUM($J54:$S54)+P87+P99),""),"")</f>
        <v>456.16855914175801</v>
      </c>
      <c r="Q106" s="90">
        <f t="shared" ca="1" si="19"/>
        <v>458.00001900122703</v>
      </c>
      <c r="R106" s="90">
        <f t="shared" ca="1" si="19"/>
        <v>460.00233800698993</v>
      </c>
      <c r="S106" s="90">
        <f t="shared" ca="1" si="19"/>
        <v>462.51186899529654</v>
      </c>
      <c r="T106" s="90" t="str">
        <f t="shared" si="18"/>
        <v/>
      </c>
    </row>
    <row r="107" spans="1:39" outlineLevel="1">
      <c r="C107" s="77" t="s">
        <v>99</v>
      </c>
      <c r="D107" s="20" t="s">
        <v>30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219">
        <f ca="1">IF(YEAR(O$4)&gt;=FPFirstYear,IF(YEAR(O$4)&lt;=FPLastYear,O106+'Input|Step changes'!O40,""),"")</f>
        <v>461.65648389371768</v>
      </c>
      <c r="P107" s="219">
        <f ca="1">IF(YEAR(P$4)&gt;=FPFirstYear,IF(YEAR(P$4)&lt;=FPLastYear,P106+'Input|Step changes'!P40,""),"")</f>
        <v>464.20692191965685</v>
      </c>
      <c r="Q107" s="219">
        <f ca="1">IF(YEAR(Q$4)&gt;=FPFirstYear,IF(YEAR(Q$4)&lt;=FPLastYear,Q106+'Input|Step changes'!Q40,""),"")</f>
        <v>466.15102230416454</v>
      </c>
      <c r="R107" s="219">
        <f ca="1">IF(YEAR(R$4)&gt;=FPFirstYear,IF(YEAR(R$4)&lt;=FPLastYear,R106+'Input|Step changes'!R40,""),"")</f>
        <v>468.25837472868312</v>
      </c>
      <c r="S107" s="219">
        <f ca="1">IF(YEAR(S$4)&gt;=FPFirstYear,IF(YEAR(S$4)&lt;=FPLastYear,S106+'Input|Step changes'!S40,""),"")</f>
        <v>470.87029243698345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2.75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9" priority="28">
      <formula>J$10=J$4</formula>
    </cfRule>
  </conditionalFormatting>
  <conditionalFormatting sqref="J12:T24">
    <cfRule type="cellIs" dxfId="48" priority="9" operator="equal">
      <formula>0</formula>
    </cfRule>
  </conditionalFormatting>
  <conditionalFormatting sqref="J25:T25">
    <cfRule type="expression" dxfId="47" priority="27">
      <formula>J$10=J$4</formula>
    </cfRule>
  </conditionalFormatting>
  <conditionalFormatting sqref="J26:T54">
    <cfRule type="cellIs" dxfId="46" priority="1" operator="equal">
      <formula>0</formula>
    </cfRule>
  </conditionalFormatting>
  <conditionalFormatting sqref="J54:T54">
    <cfRule type="expression" dxfId="45" priority="26">
      <formula>J$10=J$4</formula>
    </cfRule>
  </conditionalFormatting>
  <conditionalFormatting sqref="J58:T58 J75:T75 J91:T91">
    <cfRule type="expression" dxfId="44" priority="118">
      <formula>J$58=J$4</formula>
    </cfRule>
  </conditionalFormatting>
  <conditionalFormatting sqref="J61:T68">
    <cfRule type="cellIs" dxfId="43" priority="100" operator="equal">
      <formula>0</formula>
    </cfRule>
  </conditionalFormatting>
  <conditionalFormatting sqref="J70:T70">
    <cfRule type="expression" dxfId="42" priority="112">
      <formula>J$58=J$4</formula>
    </cfRule>
  </conditionalFormatting>
  <conditionalFormatting sqref="J70:T71">
    <cfRule type="cellIs" dxfId="41" priority="19" operator="equal">
      <formula>0</formula>
    </cfRule>
  </conditionalFormatting>
  <conditionalFormatting sqref="J77:T85 J93:T99">
    <cfRule type="cellIs" dxfId="40" priority="98" operator="equal">
      <formula>0</formula>
    </cfRule>
  </conditionalFormatting>
  <conditionalFormatting sqref="J87:T87">
    <cfRule type="cellIs" dxfId="39" priority="117" operator="equal">
      <formula>0</formula>
    </cfRule>
    <cfRule type="expression" dxfId="38" priority="116">
      <formula>J$75=J$4</formula>
    </cfRule>
  </conditionalFormatting>
  <conditionalFormatting sqref="J99:T99">
    <cfRule type="expression" dxfId="37" priority="114">
      <formula>J$91=J$4</formula>
    </cfRule>
  </conditionalFormatting>
  <conditionalFormatting sqref="J103:T103">
    <cfRule type="expression" dxfId="36" priority="121">
      <formula>J$103=J$4</formula>
    </cfRule>
  </conditionalFormatting>
  <conditionalFormatting sqref="J105:T107">
    <cfRule type="cellIs" dxfId="35" priority="29" operator="equal">
      <formula>0</formula>
    </cfRule>
  </conditionalFormatting>
  <conditionalFormatting sqref="S1:T1">
    <cfRule type="cellIs" dxfId="34" priority="108" operator="equal">
      <formula>"Ok"</formula>
    </cfRule>
    <cfRule type="cellIs" dxfId="33" priority="107" operator="equal">
      <formula>"Check"</formula>
    </cfRule>
  </conditionalFormatting>
  <conditionalFormatting sqref="W1">
    <cfRule type="cellIs" dxfId="32" priority="109" operator="equal">
      <formula>"Check"</formula>
    </cfRule>
    <cfRule type="cellIs" dxfId="31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75</v>
      </c>
      <c r="S1" s="29" t="s">
        <v>36</v>
      </c>
      <c r="T1" s="29"/>
      <c r="V1" s="205" t="s">
        <v>24</v>
      </c>
      <c r="W1" s="29" t="str">
        <f ca="1"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107</v>
      </c>
      <c r="K3" s="100"/>
      <c r="L3" s="100"/>
      <c r="M3" s="105"/>
      <c r="N3" s="221"/>
      <c r="O3" s="221"/>
      <c r="P3" s="221"/>
      <c r="Q3" s="221"/>
      <c r="R3" s="221"/>
      <c r="S3" s="221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51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52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50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96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453.74089541992424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456.16855914175801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458.00001900122703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460.00233800698993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462.51186899529654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>
        <f>'Input|Step changes'!C28</f>
        <v>0</v>
      </c>
      <c r="D14" s="24" t="s">
        <v>96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96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96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96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96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J11:T11">
    <cfRule type="expression" dxfId="30" priority="7">
      <formula>J$11=J$4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S1:T1">
    <cfRule type="cellIs" dxfId="26" priority="1" operator="equal">
      <formula>"Check"</formula>
    </cfRule>
    <cfRule type="cellIs" dxfId="25" priority="2" operator="equal">
      <formula>"Ok"</formula>
    </cfRule>
  </conditionalFormatting>
  <conditionalFormatting sqref="W1">
    <cfRule type="cellIs" dxfId="24" priority="13" operator="equal">
      <formula>"Check"</formula>
    </cfRule>
    <cfRule type="cellIs" dxfId="23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AM32"/>
  <sheetViews>
    <sheetView zoomScale="115" zoomScaleNormal="115" workbookViewId="0">
      <selection activeCell="B27" sqref="B27"/>
    </sheetView>
  </sheetViews>
  <sheetFormatPr defaultColWidth="9.33203125" defaultRowHeight="11.25" customHeight="1" zeroHeight="1"/>
  <cols>
    <col min="1" max="1" width="1.5" customWidth="1"/>
    <col min="2" max="2" width="45" bestFit="1" customWidth="1"/>
    <col min="3" max="3" width="22.5" bestFit="1" customWidth="1"/>
    <col min="4" max="4" width="9.6640625" customWidth="1"/>
    <col min="5" max="5" width="9" bestFit="1" customWidth="1"/>
    <col min="6" max="8" width="3.5" customWidth="1"/>
    <col min="9" max="30" width="11" customWidth="1"/>
    <col min="31" max="31" width="11.33203125" customWidth="1"/>
    <col min="32" max="32" width="11" customWidth="1"/>
    <col min="33" max="59" width="9.33203125" customWidth="1"/>
  </cols>
  <sheetData>
    <row r="1" spans="1:39" ht="16.5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4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75</v>
      </c>
      <c r="V1" s="29" t="s">
        <v>36</v>
      </c>
      <c r="W1" s="27"/>
      <c r="X1" s="205" t="s">
        <v>24</v>
      </c>
      <c r="Y1" s="29" t="str">
        <f ca="1"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2.75">
      <c r="A2" s="27"/>
      <c r="B2" s="41" t="s">
        <v>206</v>
      </c>
      <c r="C2" s="41"/>
      <c r="D2" s="41"/>
      <c r="E2" s="41"/>
      <c r="F2" s="118"/>
      <c r="G2" s="118"/>
      <c r="H2" s="118"/>
      <c r="I2" s="100" t="s">
        <v>107</v>
      </c>
      <c r="J2" s="100"/>
      <c r="K2" s="100"/>
      <c r="L2" s="118"/>
      <c r="M2" s="221"/>
      <c r="N2" s="221"/>
      <c r="O2" s="221"/>
      <c r="P2" s="221"/>
      <c r="Q2" s="221"/>
      <c r="R2" s="221"/>
      <c r="S2" s="118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2.75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44348</v>
      </c>
      <c r="J3" s="94">
        <f>DATE(PPFirstYear+1,MONTH('Input|General'!$G$9),1)</f>
        <v>44713</v>
      </c>
      <c r="K3" s="94">
        <f>DATE(PPFirstYear+2,MONTH('Input|General'!$G$9),1)</f>
        <v>45078</v>
      </c>
      <c r="L3" s="94">
        <f>DATE(PPFirstYear+3,MONTH('Input|General'!$G$9),1)</f>
        <v>45444</v>
      </c>
      <c r="M3" s="94">
        <f>DATE(PPFirstYear+4,MONTH('Input|General'!$G$9),1)</f>
        <v>45809</v>
      </c>
      <c r="N3" s="94">
        <f>DATE(PPFirstYear+5,MONTH('Input|General'!$G$9),1)</f>
        <v>46174</v>
      </c>
      <c r="O3" s="94">
        <f>DATE(PPFirstYear+6,MONTH('Input|General'!$G$9),1)</f>
        <v>46539</v>
      </c>
      <c r="P3" s="94">
        <f>DATE(PPFirstYear+7,MONTH('Input|General'!$G$9),1)</f>
        <v>46905</v>
      </c>
      <c r="Q3" s="94">
        <f>DATE(PPFirstYear+8,MONTH('Input|General'!$G$9),1)</f>
        <v>47270</v>
      </c>
      <c r="R3" s="94">
        <f>DATE(PPFirstYear+9,MONTH('Input|General'!$G$9),1)</f>
        <v>47635</v>
      </c>
      <c r="S3" s="94">
        <f>DATE(PPFirstYear+10,MONTH('Input|General'!$G$9),1)</f>
        <v>48000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>
      <c r="A7" s="32"/>
      <c r="B7" s="38" t="s">
        <v>192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5">
      <c r="A8" s="188"/>
      <c r="B8" s="188"/>
      <c r="C8" s="188"/>
      <c r="D8" s="188"/>
      <c r="E8" s="188"/>
      <c r="F8" s="16"/>
      <c r="G8" s="16"/>
      <c r="H8" s="16"/>
      <c r="I8" s="189"/>
      <c r="J8" s="188"/>
      <c r="K8" s="188"/>
      <c r="L8" s="188"/>
      <c r="M8" s="188"/>
      <c r="N8" s="189"/>
      <c r="O8" s="188"/>
      <c r="P8" s="188"/>
      <c r="Q8" s="188"/>
      <c r="R8" s="188"/>
      <c r="S8" s="188"/>
      <c r="T8" s="188"/>
      <c r="U8" s="188"/>
      <c r="V8" s="188"/>
      <c r="W8" s="188"/>
      <c r="X8" s="189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39" ht="15">
      <c r="A9" s="188"/>
      <c r="B9" s="188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forecast'!J103</f>
        <v/>
      </c>
      <c r="J9" s="99" t="str">
        <f>'Calc|Opex forecast'!K103</f>
        <v/>
      </c>
      <c r="K9" s="99" t="str">
        <f>'Calc|Opex forecast'!L103</f>
        <v/>
      </c>
      <c r="L9" s="99" t="str">
        <f>'Calc|Opex forecast'!M103</f>
        <v/>
      </c>
      <c r="M9" s="99" t="str">
        <f>'Calc|Opex forecast'!N103</f>
        <v/>
      </c>
      <c r="N9" s="99">
        <f>'Calc|Opex forecast'!O103</f>
        <v>46174</v>
      </c>
      <c r="O9" s="99">
        <f>'Calc|Opex forecast'!P103</f>
        <v>46539</v>
      </c>
      <c r="P9" s="99">
        <f>'Calc|Opex forecast'!Q103</f>
        <v>46905</v>
      </c>
      <c r="Q9" s="99">
        <f>'Calc|Opex forecast'!R103</f>
        <v>47270</v>
      </c>
      <c r="R9" s="99">
        <f>'Calc|Opex forecast'!S103</f>
        <v>47635</v>
      </c>
      <c r="S9" s="99" t="str">
        <f>'Calc|Opex forecast'!T103</f>
        <v/>
      </c>
      <c r="T9" s="190"/>
      <c r="U9" s="99" t="s">
        <v>193</v>
      </c>
      <c r="V9" s="188"/>
      <c r="W9" s="188"/>
      <c r="X9" s="191" t="s">
        <v>194</v>
      </c>
      <c r="Y9" s="191" t="s">
        <v>195</v>
      </c>
      <c r="Z9" s="191" t="s">
        <v>196</v>
      </c>
      <c r="AA9" s="191" t="s">
        <v>197</v>
      </c>
      <c r="AB9" s="190"/>
      <c r="AC9" s="190"/>
      <c r="AD9" s="190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39" ht="15">
      <c r="A10" s="188"/>
      <c r="B10" s="188"/>
      <c r="C10" s="16"/>
      <c r="D10" s="16"/>
      <c r="E10" s="16"/>
      <c r="F10" s="16"/>
      <c r="G10" s="16"/>
      <c r="H10" s="16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39" ht="15">
      <c r="A11" s="188"/>
      <c r="B11" s="15" t="str">
        <f>"Based on reported opex in "&amp;IF(MONTH('Input|General'!$G$9)=12,BaseYear,BaseYear-1&amp;"–"&amp;RIGHT(BaseYear,2))</f>
        <v>Based on reported opex in 2022–23</v>
      </c>
      <c r="C11" s="65" t="s">
        <v>198</v>
      </c>
      <c r="D11" s="16" t="str">
        <f>'Calc|Opex forecast'!$E$8</f>
        <v>$millions</v>
      </c>
      <c r="E11" s="98">
        <f>'Calc|Opex forecast'!$F$8</f>
        <v>45809</v>
      </c>
      <c r="F11" s="16"/>
      <c r="G11" s="16"/>
      <c r="H11" s="16"/>
      <c r="I11" s="66" t="str">
        <f>IF('Calc|Opex forecast'!J103='Calc|Opex forecast'!J4,SUM('Calc|Opex forecast'!$J$26:$S$26),"")</f>
        <v/>
      </c>
      <c r="J11" s="66" t="str">
        <f>IF('Calc|Opex forecast'!K103='Calc|Opex forecast'!K4,SUM('Calc|Opex forecast'!$J$26:$S$26),"")</f>
        <v/>
      </c>
      <c r="K11" s="66" t="str">
        <f>IF('Calc|Opex forecast'!L103='Calc|Opex forecast'!L4,SUM('Calc|Opex forecast'!$J$26:$S$26),"")</f>
        <v/>
      </c>
      <c r="L11" s="66" t="str">
        <f>IF('Calc|Opex forecast'!M103='Calc|Opex forecast'!M4,SUM('Calc|Opex forecast'!$J$26:$S$26),"")</f>
        <v/>
      </c>
      <c r="M11" s="66" t="str">
        <f>IF('Calc|Opex forecast'!N103='Calc|Opex forecast'!N4,SUM('Calc|Opex forecast'!$J$26:$S$26),"")</f>
        <v/>
      </c>
      <c r="N11" s="66">
        <f ca="1">IF('Calc|Opex forecast'!O103='Calc|Opex forecast'!O4,SUM('Calc|Opex forecast'!$J$26:$S$26),"")</f>
        <v>480.77479637151635</v>
      </c>
      <c r="O11" s="66">
        <f ca="1">IF('Calc|Opex forecast'!P103='Calc|Opex forecast'!P4,SUM('Calc|Opex forecast'!$J$26:$S$26),"")</f>
        <v>480.77479637151635</v>
      </c>
      <c r="P11" s="66">
        <f ca="1">IF('Calc|Opex forecast'!Q103='Calc|Opex forecast'!Q4,SUM('Calc|Opex forecast'!$J$26:$S$26),"")</f>
        <v>480.77479637151635</v>
      </c>
      <c r="Q11" s="66">
        <f ca="1">IF('Calc|Opex forecast'!R103='Calc|Opex forecast'!R4,SUM('Calc|Opex forecast'!$J$26:$S$26),"")</f>
        <v>480.77479637151635</v>
      </c>
      <c r="R11" s="66">
        <f ca="1">IF('Calc|Opex forecast'!S103='Calc|Opex forecast'!S4,SUM('Calc|Opex forecast'!$J$26:$S$26),"")</f>
        <v>480.77479637151635</v>
      </c>
      <c r="S11" s="66" t="str">
        <f>IF('Calc|Opex forecast'!T103='Calc|Opex forecast'!T4,SUM('Calc|Opex forecast'!$J$26:$S$26),"")</f>
        <v/>
      </c>
      <c r="T11" s="66"/>
      <c r="U11" s="70">
        <f ca="1">SUM(I11:S11)</f>
        <v>2403.8739818575818</v>
      </c>
      <c r="V11" s="192"/>
      <c r="W11" s="188"/>
      <c r="X11" s="223"/>
      <c r="Y11" s="224">
        <f ca="1">U11</f>
        <v>2403.8739818575818</v>
      </c>
      <c r="Z11" s="224"/>
      <c r="AA11" s="224"/>
      <c r="AB11" s="190"/>
      <c r="AC11" s="190"/>
      <c r="AD11" s="190"/>
      <c r="AE11" s="190"/>
      <c r="AF11" s="190"/>
      <c r="AG11" s="188"/>
      <c r="AH11" s="188"/>
      <c r="AI11" s="188"/>
      <c r="AJ11" s="188"/>
      <c r="AK11" s="188"/>
      <c r="AL11" s="188"/>
      <c r="AM11" s="188"/>
    </row>
    <row r="12" spans="1:39" ht="15" hidden="1">
      <c r="A12" s="188"/>
      <c r="B12" s="15" t="s">
        <v>82</v>
      </c>
      <c r="C12" s="65" t="s">
        <v>198</v>
      </c>
      <c r="D12" s="16" t="str">
        <f>'Calc|Opex forecast'!$E$8</f>
        <v>$millions</v>
      </c>
      <c r="E12" s="98">
        <f>'Calc|Opex forecast'!$F$8</f>
        <v>45809</v>
      </c>
      <c r="F12" s="16"/>
      <c r="G12" s="16"/>
      <c r="H12" s="16"/>
      <c r="I12" s="66" t="str">
        <f>IF('Calc|Opex forecast'!J103='Calc|Opex forecast'!J4,SUM('Calc|Opex forecast'!$J$52:$S$52),"")</f>
        <v/>
      </c>
      <c r="J12" s="66" t="str">
        <f>IF('Calc|Opex forecast'!K103='Calc|Opex forecast'!K4,SUM('Calc|Opex forecast'!$J$52:$S$52),"")</f>
        <v/>
      </c>
      <c r="K12" s="66" t="str">
        <f>IF('Calc|Opex forecast'!L103='Calc|Opex forecast'!L4,SUM('Calc|Opex forecast'!$J$52:$S$52),"")</f>
        <v/>
      </c>
      <c r="L12" s="66" t="str">
        <f>IF('Calc|Opex forecast'!M103='Calc|Opex forecast'!M4,SUM('Calc|Opex forecast'!$J$52:$S$52),"")</f>
        <v/>
      </c>
      <c r="M12" s="66" t="str">
        <f>IF('Calc|Opex forecast'!N103='Calc|Opex forecast'!N4,SUM('Calc|Opex forecast'!$J$52:$S$52),"")</f>
        <v/>
      </c>
      <c r="N12" s="66">
        <f ca="1">IF('Calc|Opex forecast'!O103='Calc|Opex forecast'!O4,SUM('Calc|Opex forecast'!$J$52:$S$52),"")</f>
        <v>0</v>
      </c>
      <c r="O12" s="66">
        <f ca="1">IF('Calc|Opex forecast'!P103='Calc|Opex forecast'!P4,SUM('Calc|Opex forecast'!$J$52:$S$52),"")</f>
        <v>0</v>
      </c>
      <c r="P12" s="66">
        <f ca="1">IF('Calc|Opex forecast'!Q103='Calc|Opex forecast'!Q4,SUM('Calc|Opex forecast'!$J$52:$S$52),"")</f>
        <v>0</v>
      </c>
      <c r="Q12" s="66">
        <f ca="1">IF('Calc|Opex forecast'!R103='Calc|Opex forecast'!R4,SUM('Calc|Opex forecast'!$J$52:$S$52),"")</f>
        <v>0</v>
      </c>
      <c r="R12" s="66">
        <f ca="1">IF('Calc|Opex forecast'!S103='Calc|Opex forecast'!S4,SUM('Calc|Opex forecast'!$J$52:$S$52),"")</f>
        <v>0</v>
      </c>
      <c r="S12" s="66" t="str">
        <f>IF('Calc|Opex forecast'!T103='Calc|Opex forecast'!T4,SUM('Calc|Opex forecast'!$J$52:$S$52),"")</f>
        <v/>
      </c>
      <c r="T12" s="66"/>
      <c r="U12" s="70">
        <f t="shared" ref="U12:U16" ca="1" si="0">SUM(I12:S12)</f>
        <v>0</v>
      </c>
      <c r="V12" s="192">
        <f t="shared" ref="V12:V14" ca="1" si="1">U12/($U$24-U12)</f>
        <v>0</v>
      </c>
      <c r="W12" s="188"/>
      <c r="X12" s="223">
        <f ca="1">SUM($U$11:$U11)-AA12</f>
        <v>2403.8739818575818</v>
      </c>
      <c r="Y12" s="224"/>
      <c r="Z12" s="224">
        <f ca="1">IF(U12&gt;0,U12,0)</f>
        <v>0</v>
      </c>
      <c r="AA12" s="224">
        <f ca="1">IF(U12&lt;0,-U12,0)</f>
        <v>0</v>
      </c>
      <c r="AB12" s="190"/>
      <c r="AC12" s="190"/>
      <c r="AD12" s="190"/>
      <c r="AE12" s="190"/>
      <c r="AF12" s="190"/>
      <c r="AG12" s="188"/>
      <c r="AH12" s="188"/>
      <c r="AI12" s="188"/>
      <c r="AJ12" s="188"/>
      <c r="AK12" s="188"/>
      <c r="AL12" s="188"/>
      <c r="AM12" s="188"/>
    </row>
    <row r="13" spans="1:39" ht="15" hidden="1">
      <c r="A13" s="188"/>
      <c r="B13" s="15" t="s">
        <v>233</v>
      </c>
      <c r="C13" s="65"/>
      <c r="D13" s="16" t="str">
        <f>'Calc|Opex forecast'!$E$8</f>
        <v>$millions</v>
      </c>
      <c r="E13" s="98">
        <f>'Calc|Opex forecast'!$F$8</f>
        <v>45809</v>
      </c>
      <c r="F13" s="16"/>
      <c r="G13" s="16"/>
      <c r="H13" s="16"/>
      <c r="I13" s="66"/>
      <c r="J13" s="66"/>
      <c r="K13" s="66"/>
      <c r="L13" s="66"/>
      <c r="M13" s="66"/>
      <c r="N13" s="66">
        <f ca="1">'Calc|Opex forecast'!O85</f>
        <v>0</v>
      </c>
      <c r="O13" s="66">
        <f ca="1">'Calc|Opex forecast'!P85</f>
        <v>0</v>
      </c>
      <c r="P13" s="66">
        <f ca="1">'Calc|Opex forecast'!Q85</f>
        <v>0</v>
      </c>
      <c r="Q13" s="66">
        <f ca="1">'Calc|Opex forecast'!R85</f>
        <v>0</v>
      </c>
      <c r="R13" s="66">
        <f ca="1">'Calc|Opex forecast'!S85</f>
        <v>0</v>
      </c>
      <c r="S13" s="66"/>
      <c r="T13" s="66"/>
      <c r="U13" s="70">
        <f t="shared" ca="1" si="0"/>
        <v>0</v>
      </c>
      <c r="V13" s="192"/>
      <c r="W13" s="188"/>
      <c r="X13" s="223">
        <f ca="1">SUM($U$11:$U12)-AA13</f>
        <v>2403.8739818575818</v>
      </c>
      <c r="Y13" s="224"/>
      <c r="Z13" s="224">
        <f ca="1">IF(U13&gt;0,U13,0)</f>
        <v>0</v>
      </c>
      <c r="AA13" s="224">
        <f t="shared" ref="AA13:AA23" ca="1" si="2">IF(U13&lt;0,-U13,0)</f>
        <v>0</v>
      </c>
      <c r="AB13" s="190"/>
      <c r="AC13" s="190"/>
      <c r="AD13" s="190"/>
      <c r="AE13" s="190"/>
      <c r="AF13" s="190"/>
      <c r="AG13" s="188"/>
      <c r="AH13" s="188"/>
      <c r="AI13" s="188"/>
      <c r="AJ13" s="188"/>
      <c r="AK13" s="188"/>
      <c r="AL13" s="188"/>
      <c r="AM13" s="188"/>
    </row>
    <row r="14" spans="1:39" ht="15" hidden="1">
      <c r="A14" s="188"/>
      <c r="B14" s="15" t="s">
        <v>199</v>
      </c>
      <c r="C14" s="65" t="s">
        <v>198</v>
      </c>
      <c r="D14" s="16" t="str">
        <f>'Calc|Opex forecast'!$E$8</f>
        <v>$millions</v>
      </c>
      <c r="E14" s="98">
        <f>'Calc|Opex forecast'!$F$8</f>
        <v>45809</v>
      </c>
      <c r="F14" s="16"/>
      <c r="G14" s="16"/>
      <c r="H14" s="16"/>
      <c r="I14" s="66" t="str">
        <f>IF('Calc|Opex forecast'!J103='Calc|Opex forecast'!J4,SUM('Calc|Opex forecast'!$J$29:$S$29),"")</f>
        <v/>
      </c>
      <c r="J14" s="66" t="str">
        <f>IF('Calc|Opex forecast'!K103='Calc|Opex forecast'!K4,SUM('Calc|Opex forecast'!$J$29:$S$29),"")</f>
        <v/>
      </c>
      <c r="K14" s="66" t="str">
        <f>IF('Calc|Opex forecast'!L103='Calc|Opex forecast'!L4,SUM('Calc|Opex forecast'!$J$29:$S$29),"")</f>
        <v/>
      </c>
      <c r="L14" s="66" t="str">
        <f>IF('Calc|Opex forecast'!M103='Calc|Opex forecast'!M4,SUM('Calc|Opex forecast'!$J$29:$S$29),"")</f>
        <v/>
      </c>
      <c r="M14" s="66" t="str">
        <f>IF('Calc|Opex forecast'!N103='Calc|Opex forecast'!N4,SUM('Calc|Opex forecast'!$J$29:$S$29),"")</f>
        <v/>
      </c>
      <c r="N14" s="66">
        <f>IF('Calc|Opex forecast'!O103='Calc|Opex forecast'!O4,SUM('Calc|Opex forecast'!$J$29:$S$29),"")</f>
        <v>0</v>
      </c>
      <c r="O14" s="66">
        <f>IF('Calc|Opex forecast'!P103='Calc|Opex forecast'!P4,SUM('Calc|Opex forecast'!$J$29:$S$29),"")</f>
        <v>0</v>
      </c>
      <c r="P14" s="66">
        <f>IF('Calc|Opex forecast'!Q103='Calc|Opex forecast'!Q4,SUM('Calc|Opex forecast'!$J$29:$S$29),"")</f>
        <v>0</v>
      </c>
      <c r="Q14" s="66">
        <f>IF('Calc|Opex forecast'!R103='Calc|Opex forecast'!R4,SUM('Calc|Opex forecast'!$J$29:$S$29),"")</f>
        <v>0</v>
      </c>
      <c r="R14" s="66">
        <f>IF('Calc|Opex forecast'!S103='Calc|Opex forecast'!S4,SUM('Calc|Opex forecast'!$J$29:$S$29),"")</f>
        <v>0</v>
      </c>
      <c r="S14" s="66" t="str">
        <f>IF('Calc|Opex forecast'!T103='Calc|Opex forecast'!T4,SUM('Calc|Opex forecast'!$J$29:$S$29),"")</f>
        <v/>
      </c>
      <c r="T14" s="66"/>
      <c r="U14" s="70">
        <f t="shared" si="0"/>
        <v>0</v>
      </c>
      <c r="V14" s="192">
        <f t="shared" ca="1" si="1"/>
        <v>0</v>
      </c>
      <c r="W14" s="188"/>
      <c r="X14" s="223">
        <f ca="1">SUM($U$11:$U13)-AA14</f>
        <v>2403.8739818575818</v>
      </c>
      <c r="Y14" s="224"/>
      <c r="Z14" s="224">
        <f t="shared" ref="Z14:Z23" si="3">IF(U14&gt;0,U14,0)</f>
        <v>0</v>
      </c>
      <c r="AA14" s="224">
        <f t="shared" si="2"/>
        <v>0</v>
      </c>
      <c r="AB14" s="190"/>
      <c r="AC14" s="190"/>
      <c r="AD14" s="190"/>
      <c r="AE14" s="190"/>
      <c r="AF14" s="190"/>
      <c r="AG14" s="188"/>
      <c r="AH14" s="188"/>
      <c r="AI14" s="188"/>
      <c r="AJ14" s="188"/>
      <c r="AK14" s="188"/>
      <c r="AL14" s="188"/>
      <c r="AM14" s="188"/>
    </row>
    <row r="15" spans="1:39" ht="15">
      <c r="A15" s="188"/>
      <c r="B15" s="15" t="s">
        <v>200</v>
      </c>
      <c r="C15" s="65" t="s">
        <v>198</v>
      </c>
      <c r="D15" s="16" t="str">
        <f>'Calc|Opex forecast'!$E$8</f>
        <v>$millions</v>
      </c>
      <c r="E15" s="98">
        <f>'Calc|Opex forecast'!$F$8</f>
        <v>45809</v>
      </c>
      <c r="F15" s="16"/>
      <c r="G15" s="16"/>
      <c r="H15" s="16"/>
      <c r="I15" s="66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5" s="66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5" s="66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5" s="66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5" s="66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5" s="66">
        <f>IF('Calc|Opex forecast'!O103='Calc|Opex forecast'!O4,SUM('Calc|Opex forecast'!$J$38:$S$38,'Calc|Opex forecast'!$J$41:$S$41,'Calc|Opex forecast'!$J$44:$S$44,'Calc|Opex forecast'!$J$47:$S$47,'Calc|Opex forecast'!$J$50:$S$50),"")</f>
        <v>-9.4659559827517654</v>
      </c>
      <c r="O15" s="66">
        <f>IF('Calc|Opex forecast'!P103='Calc|Opex forecast'!P4,SUM('Calc|Opex forecast'!$J$38:$S$38,'Calc|Opex forecast'!$J$41:$S$41,'Calc|Opex forecast'!$J$44:$S$44,'Calc|Opex forecast'!$J$47:$S$47,'Calc|Opex forecast'!$J$50:$S$50),"")</f>
        <v>-9.4659559827517654</v>
      </c>
      <c r="P15" s="66">
        <f>IF('Calc|Opex forecast'!Q103='Calc|Opex forecast'!Q4,SUM('Calc|Opex forecast'!$J$38:$S$38,'Calc|Opex forecast'!$J$41:$S$41,'Calc|Opex forecast'!$J$44:$S$44,'Calc|Opex forecast'!$J$47:$S$47,'Calc|Opex forecast'!$J$50:$S$50),"")</f>
        <v>-9.4659559827517654</v>
      </c>
      <c r="Q15" s="66">
        <f>IF('Calc|Opex forecast'!R103='Calc|Opex forecast'!R4,SUM('Calc|Opex forecast'!$J$38:$S$38,'Calc|Opex forecast'!$J$41:$S$41,'Calc|Opex forecast'!$J$44:$S$44,'Calc|Opex forecast'!$J$47:$S$47,'Calc|Opex forecast'!$J$50:$S$50),"")</f>
        <v>-9.4659559827517654</v>
      </c>
      <c r="R15" s="66">
        <f>IF('Calc|Opex forecast'!S103='Calc|Opex forecast'!S4,SUM('Calc|Opex forecast'!$J$38:$S$38,'Calc|Opex forecast'!$J$41:$S$41,'Calc|Opex forecast'!$J$44:$S$44,'Calc|Opex forecast'!$J$47:$S$47,'Calc|Opex forecast'!$J$50:$S$50),"")</f>
        <v>-9.4659559827517654</v>
      </c>
      <c r="S15" s="66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5" s="66"/>
      <c r="U15" s="70">
        <f t="shared" si="0"/>
        <v>-47.329779913758827</v>
      </c>
      <c r="V15" s="192">
        <f t="shared" ref="V15:V23" ca="1" si="4">U15/($U$24-U15)</f>
        <v>-1.9899230471501335E-2</v>
      </c>
      <c r="W15" s="188"/>
      <c r="X15" s="223">
        <f ca="1">SUM($U$11:$U14)-AA15</f>
        <v>2356.5442019438228</v>
      </c>
      <c r="Y15" s="224"/>
      <c r="Z15" s="224">
        <f t="shared" si="3"/>
        <v>0</v>
      </c>
      <c r="AA15" s="224">
        <f t="shared" si="2"/>
        <v>47.329779913758827</v>
      </c>
      <c r="AB15" s="190"/>
      <c r="AC15" s="190"/>
      <c r="AD15" s="190"/>
      <c r="AE15" s="190"/>
      <c r="AF15" s="190"/>
      <c r="AG15" s="188"/>
      <c r="AH15" s="188"/>
      <c r="AI15" s="188"/>
      <c r="AJ15" s="188"/>
      <c r="AK15" s="188"/>
      <c r="AL15" s="188"/>
      <c r="AM15" s="188"/>
    </row>
    <row r="16" spans="1:39" ht="15">
      <c r="A16" s="188"/>
      <c r="B16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2022–23 to 2024–25 increment</v>
      </c>
      <c r="C16" s="65" t="s">
        <v>198</v>
      </c>
      <c r="D16" s="16" t="str">
        <f>'Calc|Opex forecast'!$E$8</f>
        <v>$millions</v>
      </c>
      <c r="E16" s="98">
        <f>'Calc|Opex forecast'!$F$8</f>
        <v>45809</v>
      </c>
      <c r="F16" s="16"/>
      <c r="G16" s="16"/>
      <c r="H16" s="16"/>
      <c r="I16" s="66" t="str">
        <f>IF('Calc|Opex forecast'!J103='Calc|Opex forecast'!J4,SUM('Calc|Opex forecast'!$J$31:$S$31),"")</f>
        <v/>
      </c>
      <c r="J16" s="66" t="str">
        <f>IF('Calc|Opex forecast'!K103='Calc|Opex forecast'!K4,SUM('Calc|Opex forecast'!$J$31:$S$31),"")</f>
        <v/>
      </c>
      <c r="K16" s="66" t="str">
        <f>IF('Calc|Opex forecast'!L103='Calc|Opex forecast'!L4,SUM('Calc|Opex forecast'!$J$31:$S$31),"")</f>
        <v/>
      </c>
      <c r="L16" s="66" t="str">
        <f>IF('Calc|Opex forecast'!M103='Calc|Opex forecast'!M4,SUM('Calc|Opex forecast'!$J$31:$S$31),"")</f>
        <v/>
      </c>
      <c r="M16" s="66" t="str">
        <f>IF('Calc|Opex forecast'!N103='Calc|Opex forecast'!N4,SUM('Calc|Opex forecast'!$J$31:$S$31),"")</f>
        <v/>
      </c>
      <c r="N16" s="66">
        <f>IF('Calc|Opex forecast'!O103='Calc|Opex forecast'!O4,SUM('Calc|Opex forecast'!$J$31:$S$31),"")</f>
        <v>-12.220113416875677</v>
      </c>
      <c r="O16" s="66">
        <f>IF('Calc|Opex forecast'!P103='Calc|Opex forecast'!P4,SUM('Calc|Opex forecast'!$J$31:$S$31),"")</f>
        <v>-12.220113416875677</v>
      </c>
      <c r="P16" s="66">
        <f>IF('Calc|Opex forecast'!Q103='Calc|Opex forecast'!Q4,SUM('Calc|Opex forecast'!$J$31:$S$31),"")</f>
        <v>-12.220113416875677</v>
      </c>
      <c r="Q16" s="66">
        <f>IF('Calc|Opex forecast'!R103='Calc|Opex forecast'!R4,SUM('Calc|Opex forecast'!$J$31:$S$31),"")</f>
        <v>-12.220113416875677</v>
      </c>
      <c r="R16" s="66">
        <f>IF('Calc|Opex forecast'!S103='Calc|Opex forecast'!S4,SUM('Calc|Opex forecast'!$J$31:$S$31),"")</f>
        <v>-12.220113416875677</v>
      </c>
      <c r="S16" s="66" t="str">
        <f>IF('Calc|Opex forecast'!T103='Calc|Opex forecast'!T4,SUM('Calc|Opex forecast'!$J$31:$S$31),"")</f>
        <v/>
      </c>
      <c r="T16" s="66"/>
      <c r="U16" s="70">
        <f t="shared" si="0"/>
        <v>-61.100567084378383</v>
      </c>
      <c r="V16" s="192">
        <f t="shared" ca="1" si="4"/>
        <v>-2.5541113576995601E-2</v>
      </c>
      <c r="W16" s="188"/>
      <c r="X16" s="223">
        <f ca="1">SUM($U$11:$U15)-AA16</f>
        <v>2295.4436348594445</v>
      </c>
      <c r="Y16" s="224"/>
      <c r="Z16" s="224">
        <f t="shared" si="3"/>
        <v>0</v>
      </c>
      <c r="AA16" s="224">
        <f t="shared" si="2"/>
        <v>61.100567084378383</v>
      </c>
      <c r="AB16" s="190"/>
      <c r="AC16" s="190"/>
      <c r="AD16" s="190"/>
      <c r="AE16" s="190"/>
      <c r="AF16" s="190"/>
      <c r="AG16" s="188"/>
      <c r="AH16" s="188"/>
      <c r="AI16" s="188"/>
      <c r="AJ16" s="188"/>
      <c r="AK16" s="188"/>
      <c r="AL16" s="188"/>
      <c r="AM16" s="188"/>
    </row>
    <row r="17" spans="1:39" ht="15">
      <c r="A17" s="188"/>
      <c r="B17" s="15" t="s">
        <v>201</v>
      </c>
      <c r="C17" s="65" t="s">
        <v>198</v>
      </c>
      <c r="D17" s="16" t="str">
        <f>'Calc|Opex forecast'!$E$8</f>
        <v>$millions</v>
      </c>
      <c r="E17" s="98">
        <f>'Calc|Opex forecast'!$F$8</f>
        <v>45809</v>
      </c>
      <c r="F17" s="16"/>
      <c r="G17" s="16"/>
      <c r="H17" s="16"/>
      <c r="I17" s="66" t="str">
        <f>IF('Calc|Opex forecast'!J103='Calc|Opex forecast'!J4,SUM('Calc|Opex forecast'!$J$35:$T$35),"")</f>
        <v/>
      </c>
      <c r="J17" s="66" t="str">
        <f>IF('Calc|Opex forecast'!K103='Calc|Opex forecast'!K4,SUM('Calc|Opex forecast'!$J$35:$T$35),"")</f>
        <v/>
      </c>
      <c r="K17" s="66" t="str">
        <f>IF('Calc|Opex forecast'!L103='Calc|Opex forecast'!L4,SUM('Calc|Opex forecast'!$J$35:$T$35),"")</f>
        <v/>
      </c>
      <c r="L17" s="66" t="str">
        <f>IF('Calc|Opex forecast'!M103='Calc|Opex forecast'!M4,SUM('Calc|Opex forecast'!$J$35:$T$35),"")</f>
        <v/>
      </c>
      <c r="M17" s="66" t="str">
        <f>IF('Calc|Opex forecast'!N103='Calc|Opex forecast'!N4,SUM('Calc|Opex forecast'!$J$35:$T$35),"")</f>
        <v/>
      </c>
      <c r="N17" s="66">
        <f>IF('Calc|Opex forecast'!O103='Calc|Opex forecast'!O4,SUM('Calc|Opex forecast'!$J$35:$T$35),"")</f>
        <v>-7.7389534523944423</v>
      </c>
      <c r="O17" s="66">
        <f>IF('Calc|Opex forecast'!P103='Calc|Opex forecast'!P4,SUM('Calc|Opex forecast'!$J$35:$T$35),"")</f>
        <v>-7.7389534523944423</v>
      </c>
      <c r="P17" s="66">
        <f>IF('Calc|Opex forecast'!Q103='Calc|Opex forecast'!Q4,SUM('Calc|Opex forecast'!$J$35:$T$35),"")</f>
        <v>-7.7389534523944423</v>
      </c>
      <c r="Q17" s="66">
        <f>IF('Calc|Opex forecast'!R103='Calc|Opex forecast'!R4,SUM('Calc|Opex forecast'!$J$35:$T$35),"")</f>
        <v>-7.7389534523944423</v>
      </c>
      <c r="R17" s="66">
        <f>IF('Calc|Opex forecast'!S103='Calc|Opex forecast'!S4,SUM('Calc|Opex forecast'!$J$35:$T$35),"")</f>
        <v>-7.7389534523944423</v>
      </c>
      <c r="S17" s="66" t="str">
        <f>IF('Calc|Opex forecast'!T103='Calc|Opex forecast'!T4,SUM('Calc|Opex forecast'!$J$35:$T$35),"")</f>
        <v/>
      </c>
      <c r="T17" s="66"/>
      <c r="U17" s="70">
        <f t="shared" ref="U17:U23" si="5">SUM(I17:S17)</f>
        <v>-38.69476726197221</v>
      </c>
      <c r="V17" s="192">
        <f t="shared" ca="1" si="4"/>
        <v>-1.6328023057414775E-2</v>
      </c>
      <c r="W17" s="188"/>
      <c r="X17" s="223">
        <f ca="1">SUM($U$11:$U16)-AA17</f>
        <v>2256.7488675974723</v>
      </c>
      <c r="Y17" s="224"/>
      <c r="Z17" s="224">
        <f t="shared" si="3"/>
        <v>0</v>
      </c>
      <c r="AA17" s="224">
        <f t="shared" si="2"/>
        <v>38.69476726197221</v>
      </c>
      <c r="AB17" s="190"/>
      <c r="AC17" s="190"/>
      <c r="AD17" s="190"/>
      <c r="AE17" s="190"/>
      <c r="AF17" s="190"/>
      <c r="AG17" s="188"/>
      <c r="AH17" s="188"/>
      <c r="AI17" s="188"/>
      <c r="AJ17" s="188"/>
      <c r="AK17" s="188"/>
      <c r="AL17" s="188"/>
      <c r="AM17" s="188"/>
    </row>
    <row r="18" spans="1:39" ht="15">
      <c r="A18" s="188"/>
      <c r="B18" s="15" t="s">
        <v>202</v>
      </c>
      <c r="C18" s="16" t="s">
        <v>30</v>
      </c>
      <c r="D18" s="16" t="str">
        <f>'Calc|Opex forecast'!$E$8</f>
        <v>$millions</v>
      </c>
      <c r="E18" s="98">
        <f>'Calc|Opex forecast'!$F$8</f>
        <v>45809</v>
      </c>
      <c r="F18" s="16"/>
      <c r="G18" s="16"/>
      <c r="H18" s="16"/>
      <c r="I18" s="66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8" s="66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8" s="66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8" s="66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8" s="66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8" s="66">
        <f ca="1">IF('Calc|Opex forecast'!O103='Calc|Opex forecast'!O4,'Calc|Opex forecast'!O62/('Calc|Opex forecast'!O$62+'Calc|Opex forecast'!O$65-'Calc|Opex forecast'!O$68)*'Calc|Opex forecast'!O$71*SUM('Calc|Opex forecast'!$J$54:$T$54),"")</f>
        <v>1.6894389943203156</v>
      </c>
      <c r="O18" s="66">
        <f ca="1">IF('Calc|Opex forecast'!P103='Calc|Opex forecast'!P4,'Calc|Opex forecast'!P62/('Calc|Opex forecast'!P$62+'Calc|Opex forecast'!P$65-'Calc|Opex forecast'!P$68)*'Calc|Opex forecast'!P$71*SUM('Calc|Opex forecast'!$J$54:$T$54),"")</f>
        <v>3.4652919298653986</v>
      </c>
      <c r="P18" s="66">
        <f ca="1">IF('Calc|Opex forecast'!Q103='Calc|Opex forecast'!Q4,'Calc|Opex forecast'!Q62/('Calc|Opex forecast'!Q$62+'Calc|Opex forecast'!Q$65-'Calc|Opex forecast'!Q$68)*'Calc|Opex forecast'!Q$71*SUM('Calc|Opex forecast'!$J$54:$T$54),"")</f>
        <v>5.2097907858386403</v>
      </c>
      <c r="Q18" s="66">
        <f ca="1">IF('Calc|Opex forecast'!R103='Calc|Opex forecast'!R4,'Calc|Opex forecast'!R62/('Calc|Opex forecast'!R$62+'Calc|Opex forecast'!R$65-'Calc|Opex forecast'!R$68)*'Calc|Opex forecast'!R$71*SUM('Calc|Opex forecast'!$J$54:$T$54),"")</f>
        <v>6.9118627052262127</v>
      </c>
      <c r="R18" s="66">
        <f ca="1">IF('Calc|Opex forecast'!S103='Calc|Opex forecast'!S4,'Calc|Opex forecast'!S62/('Calc|Opex forecast'!S$62+'Calc|Opex forecast'!S$65-'Calc|Opex forecast'!S$68)*'Calc|Opex forecast'!S$71*SUM('Calc|Opex forecast'!$J$54:$T$54),"")</f>
        <v>8.5787088618584662</v>
      </c>
      <c r="S18" s="66" t="str">
        <f t="array" ref="S18">IF('Calc|Opex forecast'!T103='Calc|Opex forecast'!T4,(PRODUCT(1+'Calc|Opex forecast'!$J61:T61)-1)*PRODUCT(1+'Calc|Opex forecast'!$J64:T64)*PRODUCT(1-'Calc|Opex forecast'!$J67:T67)*SUM('Calc|Opex forecast'!$J$54:$S$54),"")</f>
        <v/>
      </c>
      <c r="T18" s="66"/>
      <c r="U18" s="193">
        <f t="shared" ca="1" si="5"/>
        <v>25.855093277109034</v>
      </c>
      <c r="V18" s="192">
        <f t="shared" ca="1" si="4"/>
        <v>1.1215558860589021E-2</v>
      </c>
      <c r="W18" s="188"/>
      <c r="X18" s="223">
        <f ca="1">SUM($U$11:$U17)-AA18</f>
        <v>2256.7488675974723</v>
      </c>
      <c r="Y18" s="224"/>
      <c r="Z18" s="224">
        <f t="shared" ca="1" si="3"/>
        <v>25.855093277109034</v>
      </c>
      <c r="AA18" s="224">
        <f t="shared" ca="1" si="2"/>
        <v>0</v>
      </c>
      <c r="AB18" s="190"/>
      <c r="AC18" s="190"/>
      <c r="AD18" s="190"/>
      <c r="AE18" s="190"/>
      <c r="AF18" s="194"/>
      <c r="AG18" s="188"/>
      <c r="AH18" s="188"/>
      <c r="AI18" s="188"/>
      <c r="AJ18" s="188"/>
      <c r="AK18" s="188"/>
      <c r="AL18" s="188"/>
      <c r="AM18" s="188"/>
    </row>
    <row r="19" spans="1:39" ht="15">
      <c r="A19" s="188"/>
      <c r="B19" s="15" t="s">
        <v>203</v>
      </c>
      <c r="C19" s="16" t="s">
        <v>30</v>
      </c>
      <c r="D19" s="16" t="str">
        <f>'Calc|Opex forecast'!$E$8</f>
        <v>$millions</v>
      </c>
      <c r="E19" s="98">
        <f>'Calc|Opex forecast'!$F$8</f>
        <v>45809</v>
      </c>
      <c r="F19" s="16"/>
      <c r="G19" s="16"/>
      <c r="H19" s="16"/>
      <c r="I19" s="66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9" s="66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9" s="66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9" s="66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9" s="66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9" s="66">
        <f ca="1">IF('Calc|Opex forecast'!O103='Calc|Opex forecast'!O4,'Calc|Opex forecast'!O65/('Calc|Opex forecast'!O$62+'Calc|Opex forecast'!O$65-'Calc|Opex forecast'!O$68)*'Calc|Opex forecast'!O$71*SUM('Calc|Opex forecast'!$J$54:$T$54),"")</f>
        <v>2.9469641990199373</v>
      </c>
      <c r="O19" s="66">
        <f ca="1">IF('Calc|Opex forecast'!P103='Calc|Opex forecast'!P4,'Calc|Opex forecast'!P65/('Calc|Opex forecast'!P$62+'Calc|Opex forecast'!P$65-'Calc|Opex forecast'!P$68)*'Calc|Opex forecast'!P$71*SUM('Calc|Opex forecast'!$J$54:$T$54),"")</f>
        <v>5.8540703508082581</v>
      </c>
      <c r="P19" s="66">
        <f ca="1">IF('Calc|Opex forecast'!Q103='Calc|Opex forecast'!Q4,'Calc|Opex forecast'!Q65/('Calc|Opex forecast'!Q$62+'Calc|Opex forecast'!Q$65-'Calc|Opex forecast'!Q$68)*'Calc|Opex forecast'!Q$71*SUM('Calc|Opex forecast'!$J$54:$T$54),"")</f>
        <v>8.2046389565297417</v>
      </c>
      <c r="Q19" s="66">
        <f ca="1">IF('Calc|Opex forecast'!R103='Calc|Opex forecast'!R4,'Calc|Opex forecast'!R65/('Calc|Opex forecast'!R$62+'Calc|Opex forecast'!R$65-'Calc|Opex forecast'!R$68)*'Calc|Opex forecast'!R$71*SUM('Calc|Opex forecast'!$J$54:$T$54),"")</f>
        <v>10.779068289464281</v>
      </c>
      <c r="R19" s="66">
        <f ca="1">IF('Calc|Opex forecast'!S103='Calc|Opex forecast'!S4,'Calc|Opex forecast'!S65/('Calc|Opex forecast'!S$62+'Calc|Opex forecast'!S$65-'Calc|Opex forecast'!S$68)*'Calc|Opex forecast'!S$71*SUM('Calc|Opex forecast'!$J$54:$T$54),"")</f>
        <v>13.90613889849808</v>
      </c>
      <c r="S19" s="66" t="str">
        <f t="array" ref="S19">IF('Calc|Opex forecast'!T103='Calc|Opex forecast'!T4,(PRODUCT(1+'Calc|Opex forecast'!$J64:T64)-1)*PRODUCT(1-'Calc|Opex forecast'!$J67:T67)*SUM('Calc|Opex forecast'!$J$54:$S$54),"")</f>
        <v/>
      </c>
      <c r="T19" s="66"/>
      <c r="U19" s="193">
        <f t="shared" ca="1" si="5"/>
        <v>41.690880694320299</v>
      </c>
      <c r="V19" s="192">
        <f t="shared" ca="1" si="4"/>
        <v>1.8209980723186522E-2</v>
      </c>
      <c r="W19" s="188"/>
      <c r="X19" s="223">
        <f ca="1">SUM($U$11:$U18)-AA19</f>
        <v>2282.6039608745814</v>
      </c>
      <c r="Y19" s="224"/>
      <c r="Z19" s="224">
        <f t="shared" ca="1" si="3"/>
        <v>41.690880694320299</v>
      </c>
      <c r="AA19" s="224">
        <f t="shared" ca="1" si="2"/>
        <v>0</v>
      </c>
      <c r="AB19" s="190"/>
      <c r="AC19" s="190"/>
      <c r="AD19" s="190"/>
      <c r="AE19" s="190"/>
      <c r="AF19" s="190"/>
      <c r="AG19" s="188"/>
      <c r="AH19" s="188"/>
      <c r="AI19" s="188"/>
      <c r="AJ19" s="188"/>
      <c r="AK19" s="188"/>
      <c r="AL19" s="188"/>
      <c r="AM19" s="188"/>
    </row>
    <row r="20" spans="1:39" ht="15">
      <c r="A20" s="188"/>
      <c r="B20" s="15" t="s">
        <v>204</v>
      </c>
      <c r="C20" s="16" t="s">
        <v>30</v>
      </c>
      <c r="D20" s="16" t="str">
        <f>'Calc|Opex forecast'!$E$8</f>
        <v>$millions</v>
      </c>
      <c r="E20" s="98">
        <f>'Calc|Opex forecast'!$F$8</f>
        <v>45809</v>
      </c>
      <c r="F20" s="16"/>
      <c r="G20" s="16"/>
      <c r="H20" s="16"/>
      <c r="I20" s="66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20" s="66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20" s="66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20" s="66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20" s="66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20" s="66">
        <f ca="1">IF('Calc|Opex forecast'!O103='Calc|Opex forecast'!O4,-'Calc|Opex forecast'!O68/('Calc|Opex forecast'!O$62+'Calc|Opex forecast'!O$65-'Calc|Opex forecast'!O$68)*'Calc|Opex forecast'!O$71*SUM('Calc|Opex forecast'!$J$54:$T$54),"")</f>
        <v>-2.2452812929104589</v>
      </c>
      <c r="O20" s="66">
        <f ca="1">IF('Calc|Opex forecast'!P103='Calc|Opex forecast'!P4,-'Calc|Opex forecast'!P68/('Calc|Opex forecast'!P$62+'Calc|Opex forecast'!P$65-'Calc|Opex forecast'!P$68)*'Calc|Opex forecast'!P$71*SUM('Calc|Opex forecast'!$J$54:$T$54),"")</f>
        <v>-4.5005766584101004</v>
      </c>
      <c r="P20" s="66">
        <f ca="1">IF('Calc|Opex forecast'!Q103='Calc|Opex forecast'!Q4,-'Calc|Opex forecast'!Q68/('Calc|Opex forecast'!Q$62+'Calc|Opex forecast'!Q$65-'Calc|Opex forecast'!Q$68)*'Calc|Opex forecast'!Q$71*SUM('Calc|Opex forecast'!$J$54:$T$54),"")</f>
        <v>-6.7641842606358447</v>
      </c>
      <c r="Q20" s="66">
        <f ca="1">IF('Calc|Opex forecast'!R103='Calc|Opex forecast'!R4,-'Calc|Opex forecast'!R68/('Calc|Opex forecast'!R$62+'Calc|Opex forecast'!R$65-'Calc|Opex forecast'!R$68)*'Calc|Opex forecast'!R$71*SUM('Calc|Opex forecast'!$J$54:$T$54),"")</f>
        <v>-9.0383665071950468</v>
      </c>
      <c r="R20" s="66">
        <f ca="1">IF('Calc|Opex forecast'!S103='Calc|Opex forecast'!S4,-'Calc|Opex forecast'!S68/('Calc|Opex forecast'!S$62+'Calc|Opex forecast'!S$65-'Calc|Opex forecast'!S$68)*'Calc|Opex forecast'!S$71*SUM('Calc|Opex forecast'!$J$54:$T$54),"")</f>
        <v>-11.322752284554513</v>
      </c>
      <c r="S20" s="66" t="str">
        <f t="array" ref="S20">IF('Calc|Opex forecast'!T103='Calc|Opex forecast'!T4,(PRODUCT(1-'Calc|Opex forecast'!$J67:T67)-1)*SUM('Calc|Opex forecast'!$J$54:$S$54),"")</f>
        <v/>
      </c>
      <c r="T20" s="66"/>
      <c r="U20" s="193">
        <f t="shared" ca="1" si="5"/>
        <v>-33.871161003705964</v>
      </c>
      <c r="V20" s="192">
        <f t="shared" ca="1" si="4"/>
        <v>-1.432175764423675E-2</v>
      </c>
      <c r="W20" s="195"/>
      <c r="X20" s="223">
        <f ca="1">SUM($U$11:$U19)-AA20</f>
        <v>2290.4236805651958</v>
      </c>
      <c r="Y20" s="224"/>
      <c r="Z20" s="224">
        <f t="shared" ca="1" si="3"/>
        <v>0</v>
      </c>
      <c r="AA20" s="224">
        <f t="shared" ca="1" si="2"/>
        <v>33.871161003705964</v>
      </c>
      <c r="AB20" s="190"/>
      <c r="AC20" s="190"/>
      <c r="AD20" s="190"/>
      <c r="AE20" s="190"/>
      <c r="AF20" s="190"/>
      <c r="AG20" s="188"/>
      <c r="AH20" s="188"/>
      <c r="AI20" s="188"/>
      <c r="AJ20" s="188"/>
      <c r="AK20" s="188"/>
      <c r="AL20" s="188"/>
      <c r="AM20" s="188"/>
    </row>
    <row r="21" spans="1:39" ht="15" hidden="1">
      <c r="A21" s="188"/>
      <c r="B21" s="15" t="s">
        <v>95</v>
      </c>
      <c r="C21" s="65" t="s">
        <v>198</v>
      </c>
      <c r="D21" s="16" t="str">
        <f>'Calc|Opex forecast'!$E$8</f>
        <v>$millions</v>
      </c>
      <c r="E21" s="98">
        <f>'Calc|Opex forecast'!$F$8</f>
        <v>45809</v>
      </c>
      <c r="F21" s="16"/>
      <c r="G21" s="16"/>
      <c r="H21" s="16"/>
      <c r="I21" s="66" t="str">
        <f>IF('Calc|Opex forecast'!J103='Calc|Opex forecast'!J4,'Calc|Opex forecast'!J87,"")</f>
        <v/>
      </c>
      <c r="J21" s="66" t="str">
        <f>IF('Calc|Opex forecast'!K103='Calc|Opex forecast'!K4,'Calc|Opex forecast'!K87,"")</f>
        <v/>
      </c>
      <c r="K21" s="66" t="str">
        <f>IF('Calc|Opex forecast'!L103='Calc|Opex forecast'!L4,'Calc|Opex forecast'!L87,"")</f>
        <v/>
      </c>
      <c r="L21" s="66" t="str">
        <f>IF('Calc|Opex forecast'!M103='Calc|Opex forecast'!M4,'Calc|Opex forecast'!M87,"")</f>
        <v/>
      </c>
      <c r="M21" s="66" t="str">
        <f>IF('Calc|Opex forecast'!N103='Calc|Opex forecast'!N4,'Calc|Opex forecast'!N87,"")</f>
        <v/>
      </c>
      <c r="N21" s="66">
        <f ca="1">IF('Calc|Opex forecast'!O103='Calc|Opex forecast'!O4,'Calc|Opex forecast'!O87,"")-N13</f>
        <v>0</v>
      </c>
      <c r="O21" s="66">
        <f ca="1">IF('Calc|Opex forecast'!P103='Calc|Opex forecast'!P4,'Calc|Opex forecast'!P87,"")-O13</f>
        <v>0</v>
      </c>
      <c r="P21" s="66">
        <f ca="1">IF('Calc|Opex forecast'!Q103='Calc|Opex forecast'!Q4,'Calc|Opex forecast'!Q87,"")-P13</f>
        <v>0</v>
      </c>
      <c r="Q21" s="66">
        <f ca="1">IF('Calc|Opex forecast'!R103='Calc|Opex forecast'!R4,'Calc|Opex forecast'!R87,"")-Q13</f>
        <v>0</v>
      </c>
      <c r="R21" s="66">
        <f ca="1">IF('Calc|Opex forecast'!S103='Calc|Opex forecast'!S4,'Calc|Opex forecast'!S87,"")-R13</f>
        <v>0</v>
      </c>
      <c r="S21" s="66" t="str">
        <f>IF('Calc|Opex forecast'!T103='Calc|Opex forecast'!T4,'Calc|Opex forecast'!T87,"")</f>
        <v/>
      </c>
      <c r="T21" s="66"/>
      <c r="U21" s="70">
        <f ca="1">SUM(I21:S21)</f>
        <v>0</v>
      </c>
      <c r="V21" s="192">
        <f t="shared" ca="1" si="4"/>
        <v>0</v>
      </c>
      <c r="W21" s="196"/>
      <c r="X21" s="223">
        <f ca="1">SUM($U$11:$U20)-AA21</f>
        <v>2290.4236805651958</v>
      </c>
      <c r="Y21" s="224"/>
      <c r="Z21" s="224">
        <f t="shared" ca="1" si="3"/>
        <v>0</v>
      </c>
      <c r="AA21" s="224">
        <f t="shared" ca="1" si="2"/>
        <v>0</v>
      </c>
      <c r="AB21" s="190"/>
      <c r="AC21" s="190"/>
      <c r="AD21" s="190"/>
      <c r="AE21" s="190"/>
      <c r="AF21" s="190"/>
      <c r="AG21" s="188"/>
      <c r="AH21" s="188"/>
      <c r="AI21" s="188"/>
      <c r="AJ21" s="188"/>
      <c r="AK21" s="188"/>
      <c r="AL21" s="188"/>
      <c r="AM21" s="188"/>
    </row>
    <row r="22" spans="1:39" ht="15" hidden="1">
      <c r="A22" s="188"/>
      <c r="B22" s="15" t="s">
        <v>100</v>
      </c>
      <c r="C22" s="65" t="s">
        <v>198</v>
      </c>
      <c r="D22" s="16" t="str">
        <f>'Calc|Opex forecast'!$E$8</f>
        <v>$millions</v>
      </c>
      <c r="E22" s="98">
        <f>'Calc|Opex forecast'!$F$8</f>
        <v>45809</v>
      </c>
      <c r="F22" s="16"/>
      <c r="G22" s="16"/>
      <c r="H22" s="16"/>
      <c r="I22" s="66" t="str">
        <f>IF('Calc|Opex forecast'!J103='Calc|Opex forecast'!J4,'Calc|Opex forecast'!J99,"")</f>
        <v/>
      </c>
      <c r="J22" s="66" t="str">
        <f>IF('Calc|Opex forecast'!K103='Calc|Opex forecast'!K4,'Calc|Opex forecast'!K99,"")</f>
        <v/>
      </c>
      <c r="K22" s="66" t="str">
        <f>IF('Calc|Opex forecast'!L103='Calc|Opex forecast'!L4,'Calc|Opex forecast'!L99,"")</f>
        <v/>
      </c>
      <c r="L22" s="66" t="str">
        <f>IF('Calc|Opex forecast'!M103='Calc|Opex forecast'!M4,'Calc|Opex forecast'!M99,"")</f>
        <v/>
      </c>
      <c r="M22" s="66" t="str">
        <f>IF('Calc|Opex forecast'!N103='Calc|Opex forecast'!N4,'Calc|Opex forecast'!N99,"")</f>
        <v/>
      </c>
      <c r="N22" s="66">
        <f>IF('Calc|Opex forecast'!O103='Calc|Opex forecast'!O4,'Calc|Opex forecast'!O99,"")</f>
        <v>0</v>
      </c>
      <c r="O22" s="66">
        <f>IF('Calc|Opex forecast'!P103='Calc|Opex forecast'!P4,'Calc|Opex forecast'!P99,"")</f>
        <v>0</v>
      </c>
      <c r="P22" s="66">
        <f>IF('Calc|Opex forecast'!Q103='Calc|Opex forecast'!Q4,'Calc|Opex forecast'!Q99,"")</f>
        <v>0</v>
      </c>
      <c r="Q22" s="66">
        <f>IF('Calc|Opex forecast'!R103='Calc|Opex forecast'!R4,'Calc|Opex forecast'!R99,"")</f>
        <v>0</v>
      </c>
      <c r="R22" s="66">
        <f>IF('Calc|Opex forecast'!S103='Calc|Opex forecast'!S4,'Calc|Opex forecast'!S99,"")</f>
        <v>0</v>
      </c>
      <c r="S22" s="66" t="str">
        <f>IF('Calc|Opex forecast'!T103='Calc|Opex forecast'!T4,'Calc|Opex forecast'!T99,"")</f>
        <v/>
      </c>
      <c r="T22" s="66"/>
      <c r="U22" s="70">
        <f t="shared" si="5"/>
        <v>0</v>
      </c>
      <c r="V22" s="192">
        <f t="shared" ca="1" si="4"/>
        <v>0</v>
      </c>
      <c r="W22" s="196"/>
      <c r="X22" s="223">
        <f ca="1">SUM($U$11:$U21)-AA22</f>
        <v>2290.4236805651958</v>
      </c>
      <c r="Y22" s="224"/>
      <c r="Z22" s="224">
        <f t="shared" si="3"/>
        <v>0</v>
      </c>
      <c r="AA22" s="224">
        <f t="shared" si="2"/>
        <v>0</v>
      </c>
      <c r="AB22" s="190"/>
      <c r="AC22" s="190"/>
      <c r="AD22" s="190"/>
      <c r="AE22" s="190"/>
      <c r="AF22" s="190"/>
      <c r="AG22" s="188"/>
      <c r="AH22" s="188"/>
      <c r="AI22" s="188"/>
      <c r="AJ22" s="188"/>
      <c r="AK22" s="188"/>
      <c r="AL22" s="188"/>
      <c r="AM22" s="188"/>
    </row>
    <row r="23" spans="1:39" ht="15">
      <c r="A23" s="188"/>
      <c r="B23" s="15" t="s">
        <v>39</v>
      </c>
      <c r="C23" s="65" t="s">
        <v>198</v>
      </c>
      <c r="D23" s="16" t="str">
        <f>'Calc|Opex forecast'!$E$8</f>
        <v>$millions</v>
      </c>
      <c r="E23" s="98">
        <f>'Calc|Opex forecast'!$F$8</f>
        <v>45809</v>
      </c>
      <c r="F23" s="16"/>
      <c r="G23" s="16"/>
      <c r="H23" s="16"/>
      <c r="I23" s="66" t="str">
        <f>IF('Calc|Opex forecast'!J103='Calc|Opex forecast'!J4,'Input|Step changes'!J40,"")</f>
        <v/>
      </c>
      <c r="J23" s="66" t="str">
        <f>IF('Calc|Opex forecast'!K103='Calc|Opex forecast'!K4,'Input|Step changes'!K40,"")</f>
        <v/>
      </c>
      <c r="K23" s="66" t="str">
        <f>IF('Calc|Opex forecast'!L103='Calc|Opex forecast'!L4,'Input|Step changes'!L40,"")</f>
        <v/>
      </c>
      <c r="L23" s="66" t="str">
        <f>IF('Calc|Opex forecast'!M103='Calc|Opex forecast'!M4,'Input|Step changes'!M40,"")</f>
        <v/>
      </c>
      <c r="M23" s="66" t="str">
        <f>IF('Calc|Opex forecast'!N103='Calc|Opex forecast'!N4,'Input|Step changes'!N40,"")</f>
        <v/>
      </c>
      <c r="N23" s="66">
        <f>IF('Calc|Opex forecast'!O103='Calc|Opex forecast'!O4,'Input|Step changes'!O40,"")</f>
        <v>7.9155884737934628</v>
      </c>
      <c r="O23" s="66">
        <f>IF('Calc|Opex forecast'!P103='Calc|Opex forecast'!P4,'Input|Step changes'!P40,"")</f>
        <v>8.0383627778988291</v>
      </c>
      <c r="P23" s="66">
        <f>IF('Calc|Opex forecast'!Q103='Calc|Opex forecast'!Q4,'Input|Step changes'!Q40,"")</f>
        <v>8.1510033029374966</v>
      </c>
      <c r="Q23" s="66">
        <f>IF('Calc|Opex forecast'!R103='Calc|Opex forecast'!R4,'Input|Step changes'!R40,"")</f>
        <v>8.2560367216932011</v>
      </c>
      <c r="R23" s="66">
        <f>IF('Calc|Opex forecast'!S103='Calc|Opex forecast'!S4,'Input|Step changes'!S40,"")</f>
        <v>8.3584234416869041</v>
      </c>
      <c r="S23" s="66" t="str">
        <f>IF('Calc|Opex forecast'!T103='Calc|Opex forecast'!T4,'Input|Step changes'!T40,"")</f>
        <v/>
      </c>
      <c r="T23" s="66"/>
      <c r="U23" s="70">
        <f t="shared" si="5"/>
        <v>40.719414718009894</v>
      </c>
      <c r="V23" s="192">
        <f t="shared" ca="1" si="4"/>
        <v>1.777811461849791E-2</v>
      </c>
      <c r="W23" s="188"/>
      <c r="X23" s="223">
        <f ca="1">SUM($U$11:$U22)-AA23</f>
        <v>2290.4236805651958</v>
      </c>
      <c r="Y23" s="224"/>
      <c r="Z23" s="224">
        <f t="shared" si="3"/>
        <v>40.719414718009894</v>
      </c>
      <c r="AA23" s="224">
        <f t="shared" si="2"/>
        <v>0</v>
      </c>
      <c r="AB23" s="190"/>
      <c r="AC23" s="190"/>
      <c r="AD23" s="190"/>
      <c r="AE23" s="190"/>
      <c r="AF23" s="190"/>
      <c r="AG23" s="188"/>
      <c r="AH23" s="188"/>
      <c r="AI23" s="188"/>
      <c r="AJ23" s="188"/>
      <c r="AK23" s="188"/>
      <c r="AL23" s="188"/>
      <c r="AM23" s="188"/>
    </row>
    <row r="24" spans="1:39" ht="15">
      <c r="A24" s="188"/>
      <c r="B24" s="15" t="s">
        <v>205</v>
      </c>
      <c r="C24" s="65" t="s">
        <v>198</v>
      </c>
      <c r="D24" s="16" t="str">
        <f>'Calc|Opex forecast'!$E$8</f>
        <v>$millions</v>
      </c>
      <c r="E24" s="98">
        <f>'Calc|Opex forecast'!$F$8</f>
        <v>45809</v>
      </c>
      <c r="F24" s="16"/>
      <c r="G24" s="16"/>
      <c r="H24" s="16"/>
      <c r="I24" s="66"/>
      <c r="J24" s="66"/>
      <c r="K24" s="66"/>
      <c r="L24" s="66"/>
      <c r="M24" s="66"/>
      <c r="N24" s="66">
        <f ca="1">'Calc|Opex forecast'!O107</f>
        <v>461.65648389371768</v>
      </c>
      <c r="O24" s="66">
        <f ca="1">'Calc|Opex forecast'!P107</f>
        <v>464.20692191965685</v>
      </c>
      <c r="P24" s="66">
        <f ca="1">'Calc|Opex forecast'!Q107</f>
        <v>466.15102230416454</v>
      </c>
      <c r="Q24" s="66">
        <f ca="1">'Calc|Opex forecast'!R107</f>
        <v>468.25837472868312</v>
      </c>
      <c r="R24" s="66">
        <f ca="1">'Calc|Opex forecast'!S107</f>
        <v>470.87029243698345</v>
      </c>
      <c r="S24" s="66" t="str">
        <f>'Calc|Opex forecast'!T107</f>
        <v/>
      </c>
      <c r="T24" s="66"/>
      <c r="U24" s="70">
        <f ca="1">SUM(I24:S24)</f>
        <v>2331.1430952832056</v>
      </c>
      <c r="V24" s="81" t="str">
        <f ca="1">IF(ROUND(U24,6)=ROUND(SUM(U11:U23),6),"OK","Check")</f>
        <v>OK</v>
      </c>
      <c r="W24" s="188"/>
      <c r="X24" s="223"/>
      <c r="Y24" s="224">
        <f ca="1">U24</f>
        <v>2331.1430952832056</v>
      </c>
      <c r="Z24" s="224"/>
      <c r="AA24" s="224"/>
      <c r="AB24" s="190"/>
      <c r="AC24" s="188"/>
      <c r="AD24" s="197"/>
      <c r="AE24" s="188"/>
      <c r="AF24" s="190"/>
      <c r="AG24" s="188"/>
      <c r="AH24" s="188"/>
      <c r="AI24" s="188"/>
      <c r="AJ24" s="188"/>
      <c r="AK24" s="188"/>
      <c r="AL24" s="188"/>
      <c r="AM24" s="188"/>
    </row>
    <row r="25" spans="1:39" ht="15">
      <c r="A25" s="188"/>
      <c r="B25" s="15"/>
      <c r="C25" s="15"/>
      <c r="D25" s="15"/>
      <c r="E25" s="15"/>
      <c r="F25" s="16"/>
      <c r="G25" s="16"/>
      <c r="H25" s="1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70"/>
      <c r="V25" s="192"/>
      <c r="W25" s="188"/>
      <c r="X25" s="190"/>
      <c r="Y25" s="190"/>
      <c r="Z25" s="190"/>
      <c r="AA25" s="190"/>
      <c r="AB25" s="190"/>
      <c r="AC25" s="190"/>
      <c r="AD25" s="190"/>
      <c r="AE25" s="190"/>
      <c r="AF25" s="190"/>
      <c r="AG25" s="188"/>
      <c r="AH25" s="188"/>
      <c r="AI25" s="188"/>
      <c r="AJ25" s="188"/>
      <c r="AK25" s="188"/>
      <c r="AL25" s="188"/>
      <c r="AM25" s="188"/>
    </row>
    <row r="26" spans="1:39" ht="15">
      <c r="A26" s="188"/>
      <c r="B26" s="198"/>
      <c r="C26" s="198"/>
      <c r="D26" s="198"/>
      <c r="E26" s="198"/>
      <c r="F26" s="16"/>
      <c r="G26" s="16"/>
      <c r="H26" s="16"/>
      <c r="I26" s="198"/>
      <c r="J26" s="198"/>
      <c r="K26" s="198"/>
      <c r="L26" s="198"/>
      <c r="M26" s="198"/>
      <c r="N26" s="188"/>
      <c r="O26" s="188"/>
      <c r="P26" s="188"/>
      <c r="Q26" s="188"/>
      <c r="R26" s="188"/>
      <c r="S26" s="188"/>
      <c r="T26" s="199"/>
      <c r="U26" s="200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</row>
    <row r="27" spans="1:39" ht="15">
      <c r="A27" s="188"/>
      <c r="B27" s="188"/>
      <c r="C27" s="188"/>
      <c r="D27" s="188"/>
      <c r="E27" s="188"/>
      <c r="F27" s="16"/>
      <c r="G27" s="16"/>
      <c r="H27" s="16"/>
      <c r="I27" s="188"/>
      <c r="J27" s="188"/>
      <c r="K27" s="188"/>
      <c r="L27" s="188"/>
      <c r="M27" s="188"/>
      <c r="O27" s="188"/>
      <c r="P27" s="188"/>
      <c r="Q27" s="188"/>
      <c r="R27" s="188"/>
      <c r="T27" s="188"/>
      <c r="U27" s="188"/>
      <c r="V27" s="188"/>
      <c r="W27" s="188"/>
      <c r="X27" s="188"/>
      <c r="Y27" s="188"/>
      <c r="Z27" s="188"/>
      <c r="AA27" s="222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</row>
    <row r="28" spans="1:39" ht="15">
      <c r="A28" s="188"/>
      <c r="B28" s="188"/>
      <c r="C28" s="188"/>
      <c r="D28" s="188"/>
      <c r="E28" s="188"/>
      <c r="F28" s="16"/>
      <c r="G28" s="16"/>
      <c r="H28" s="16"/>
      <c r="I28" s="188"/>
      <c r="J28" s="188"/>
      <c r="K28" s="188"/>
      <c r="L28" s="188"/>
      <c r="M28" s="188"/>
      <c r="N28" s="216"/>
      <c r="O28" s="216"/>
      <c r="P28" s="216"/>
      <c r="Q28" s="216"/>
      <c r="R28" s="216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</row>
    <row r="29" spans="1:39" ht="15">
      <c r="A29" s="188"/>
      <c r="B29" s="188"/>
      <c r="C29" s="188"/>
      <c r="D29" s="188"/>
      <c r="E29" s="188"/>
      <c r="F29" s="16"/>
      <c r="G29" s="16"/>
      <c r="H29" s="16"/>
      <c r="I29" s="188"/>
      <c r="J29" s="188"/>
      <c r="K29" s="188"/>
      <c r="L29" s="188"/>
      <c r="M29" s="188"/>
      <c r="N29" s="200"/>
      <c r="O29" s="200"/>
      <c r="P29" s="200"/>
      <c r="Q29" s="200"/>
      <c r="R29" s="200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</row>
    <row r="30" spans="1:39" ht="15">
      <c r="A30" s="188"/>
      <c r="B30" s="188"/>
      <c r="C30" s="188"/>
      <c r="D30" s="188"/>
      <c r="E30" s="188"/>
      <c r="F30" s="16"/>
      <c r="G30" s="16"/>
      <c r="H30" s="16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</row>
    <row r="31" spans="1:39" ht="15">
      <c r="A31" s="188"/>
      <c r="B31" s="188"/>
      <c r="C31" s="188"/>
      <c r="D31" s="188"/>
      <c r="E31" s="188"/>
      <c r="F31" s="16"/>
      <c r="G31" s="16"/>
      <c r="H31" s="16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201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</row>
    <row r="32" spans="1:39" ht="12.75">
      <c r="A32" s="32"/>
      <c r="B32" s="38" t="s">
        <v>21</v>
      </c>
      <c r="C32" s="32"/>
      <c r="D32" s="32"/>
      <c r="E32" s="32"/>
      <c r="F32" s="33"/>
      <c r="G32" s="33"/>
      <c r="H32" s="33"/>
      <c r="I32" s="33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</sheetData>
  <sheetProtection selectLockedCells="1"/>
  <mergeCells count="1">
    <mergeCell ref="M2:R2"/>
  </mergeCells>
  <conditionalFormatting sqref="I9:S9 U9">
    <cfRule type="expression" dxfId="22" priority="12">
      <formula>I$89=I$4</formula>
    </cfRule>
  </conditionalFormatting>
  <conditionalFormatting sqref="I11:V23 I24:U24 I25:V25">
    <cfRule type="cellIs" dxfId="21" priority="9" operator="equal">
      <formula>0</formula>
    </cfRule>
  </conditionalFormatting>
  <conditionalFormatting sqref="V1">
    <cfRule type="cellIs" dxfId="20" priority="1" operator="equal">
      <formula>"Check"</formula>
    </cfRule>
    <cfRule type="cellIs" dxfId="19" priority="2" operator="equal">
      <formula>"Ok"</formula>
    </cfRule>
  </conditionalFormatting>
  <conditionalFormatting sqref="V24">
    <cfRule type="cellIs" dxfId="18" priority="7" operator="equal">
      <formula>"Check"</formula>
    </cfRule>
    <cfRule type="cellIs" dxfId="17" priority="8" operator="equal">
      <formula>"Ok"</formula>
    </cfRule>
  </conditionalFormatting>
  <conditionalFormatting sqref="X11:AA24">
    <cfRule type="cellIs" dxfId="16" priority="3" operator="equal">
      <formula>0</formula>
    </cfRule>
  </conditionalFormatting>
  <conditionalFormatting sqref="Y1">
    <cfRule type="cellIs" dxfId="15" priority="10" operator="equal">
      <formula>"Check"</formula>
    </cfRule>
    <cfRule type="cellIs" dxfId="14" priority="11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X1" location="'Check|List'!A1" display="Overall Check:" xr:uid="{6A16DF96-021B-498F-83A0-B71BDF3635DB}"/>
    <hyperlink ref="I1" location="Index!A1" display="Back to Index" xr:uid="{9646D340-E997-40FF-B586-3FB256DAB6B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5" t="s">
        <v>24</v>
      </c>
      <c r="S1" s="29" t="str">
        <f ca="1">IF(COUNTIF(G10:G16,"Check")=0,"Ok","Check")</f>
        <v>Ok</v>
      </c>
      <c r="U1" s="28"/>
      <c r="V1" s="29"/>
    </row>
    <row r="2" spans="1:30" s="27" customFormat="1" ht="12.75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06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206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06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06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06" t="str">
        <f t="shared" si="0"/>
        <v>Input | Step changes</v>
      </c>
      <c r="E14" s="16" t="s">
        <v>28</v>
      </c>
      <c r="F14" s="16"/>
      <c r="G14" s="18" t="str">
        <f ca="1">'Input|Step changes'!S1</f>
        <v>OK</v>
      </c>
      <c r="H14" s="16"/>
      <c r="T14" s="17"/>
    </row>
    <row r="15" spans="1:30">
      <c r="C15" s="15" t="str">
        <f>Index!C12</f>
        <v>Calc | Opex Forecast</v>
      </c>
      <c r="D15" s="206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06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13" priority="13" operator="equal">
      <formula>"Check"</formula>
    </cfRule>
    <cfRule type="cellIs" dxfId="12" priority="14" operator="equal">
      <formula>"Ok"</formula>
    </cfRule>
  </conditionalFormatting>
  <conditionalFormatting sqref="S1">
    <cfRule type="cellIs" dxfId="11" priority="1" operator="equal">
      <formula>"Check"</formula>
    </cfRule>
    <cfRule type="cellIs" dxfId="10" priority="2" operator="equal">
      <formula>"Ok"</formula>
    </cfRule>
  </conditionalFormatting>
  <conditionalFormatting sqref="V1">
    <cfRule type="cellIs" dxfId="9" priority="3" operator="equal">
      <formula>"Check"</formula>
    </cfRule>
    <cfRule type="cellIs" dxfId="8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5" t="s">
        <v>24</v>
      </c>
      <c r="V1" s="29" t="str">
        <f ca="1">'Check|List'!$S$1</f>
        <v>Ok</v>
      </c>
    </row>
    <row r="2" spans="1:30" s="27" customFormat="1" ht="12.75">
      <c r="B2" s="41" t="e">
        <f>Index!#REF!</f>
        <v>#REF!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177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178</v>
      </c>
      <c r="D8" s="16" t="s">
        <v>181</v>
      </c>
      <c r="E8" s="16"/>
      <c r="F8" s="16"/>
      <c r="G8" s="39" t="s">
        <v>178</v>
      </c>
    </row>
    <row r="9" spans="1:30">
      <c r="C9" s="15" t="s">
        <v>179</v>
      </c>
      <c r="D9" s="16" t="s">
        <v>181</v>
      </c>
      <c r="E9" s="16"/>
      <c r="F9" s="16"/>
      <c r="G9" s="39" t="s">
        <v>179</v>
      </c>
    </row>
    <row r="10" spans="1:30">
      <c r="C10" s="15" t="s">
        <v>180</v>
      </c>
      <c r="D10" s="16" t="s">
        <v>62</v>
      </c>
      <c r="E10" s="16"/>
      <c r="F10" s="16"/>
      <c r="G10" s="39" t="s">
        <v>180</v>
      </c>
      <c r="T10" s="17"/>
    </row>
    <row r="11" spans="1:30">
      <c r="C11" s="15" t="s">
        <v>182</v>
      </c>
      <c r="D11" s="16" t="s">
        <v>181</v>
      </c>
      <c r="E11" s="16"/>
      <c r="F11" s="16"/>
      <c r="G11" s="39" t="s">
        <v>182</v>
      </c>
    </row>
    <row r="12" spans="1:30">
      <c r="C12" s="15" t="s">
        <v>183</v>
      </c>
      <c r="D12" s="16" t="s">
        <v>62</v>
      </c>
      <c r="E12" s="16"/>
      <c r="F12" s="16"/>
      <c r="G12" s="39" t="s">
        <v>183</v>
      </c>
      <c r="T12" s="17"/>
    </row>
    <row r="13" spans="1:30">
      <c r="F13" s="8"/>
      <c r="G13" s="8"/>
    </row>
    <row r="14" spans="1:30" customFormat="1" ht="12.75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62</v>
      </c>
      <c r="E17" s="16"/>
      <c r="F17" s="16"/>
      <c r="G17" s="39" t="s">
        <v>12</v>
      </c>
    </row>
    <row r="18" spans="1:30">
      <c r="C18" s="15" t="s">
        <v>13</v>
      </c>
      <c r="D18" s="16" t="s">
        <v>62</v>
      </c>
      <c r="E18" s="16"/>
      <c r="F18" s="16"/>
      <c r="G18" s="39" t="s">
        <v>20</v>
      </c>
    </row>
    <row r="19" spans="1:30">
      <c r="C19" s="15" t="s">
        <v>14</v>
      </c>
      <c r="D19" s="16" t="s">
        <v>62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62</v>
      </c>
      <c r="E21" s="16"/>
      <c r="F21" s="16"/>
      <c r="G21" s="39" t="s">
        <v>31</v>
      </c>
    </row>
    <row r="22" spans="1:30">
      <c r="C22" s="15" t="s">
        <v>8</v>
      </c>
      <c r="D22" s="16" t="s">
        <v>62</v>
      </c>
      <c r="E22" s="16"/>
      <c r="F22" s="16"/>
      <c r="G22" s="39" t="s">
        <v>11</v>
      </c>
    </row>
    <row r="23" spans="1:30">
      <c r="C23" s="15" t="s">
        <v>17</v>
      </c>
      <c r="D23" s="16" t="s">
        <v>62</v>
      </c>
      <c r="E23" s="16"/>
      <c r="F23" s="16"/>
      <c r="G23" s="39" t="s">
        <v>18</v>
      </c>
    </row>
    <row r="24" spans="1:30">
      <c r="C24" s="15" t="s">
        <v>37</v>
      </c>
      <c r="D24" s="16" t="s">
        <v>62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62</v>
      </c>
      <c r="E26" s="16"/>
      <c r="F26" s="16"/>
      <c r="G26" s="39" t="s">
        <v>23</v>
      </c>
    </row>
    <row r="27" spans="1:30">
      <c r="C27" s="15" t="s">
        <v>67</v>
      </c>
      <c r="D27" s="16" t="s">
        <v>62</v>
      </c>
      <c r="E27" s="16"/>
      <c r="F27" s="16"/>
      <c r="G27" s="39" t="s">
        <v>67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108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>
      <c r="C32" s="15" t="s">
        <v>109</v>
      </c>
      <c r="D32" s="16" t="s">
        <v>62</v>
      </c>
      <c r="E32" s="16"/>
      <c r="F32" s="16"/>
      <c r="G32" s="92">
        <v>36526</v>
      </c>
      <c r="H32" s="14"/>
    </row>
    <row r="33" spans="1:30">
      <c r="C33" s="15" t="s">
        <v>110</v>
      </c>
      <c r="D33" s="16" t="s">
        <v>62</v>
      </c>
      <c r="E33" s="16"/>
      <c r="F33" s="16"/>
      <c r="G33" s="92">
        <v>36557</v>
      </c>
      <c r="H33" s="14"/>
    </row>
    <row r="34" spans="1:30">
      <c r="C34" s="15" t="s">
        <v>111</v>
      </c>
      <c r="D34" s="16" t="s">
        <v>62</v>
      </c>
      <c r="E34" s="16"/>
      <c r="F34" s="16"/>
      <c r="G34" s="92">
        <v>36586</v>
      </c>
      <c r="H34" s="14"/>
    </row>
    <row r="35" spans="1:30">
      <c r="C35" s="15" t="s">
        <v>112</v>
      </c>
      <c r="D35" s="16" t="s">
        <v>62</v>
      </c>
      <c r="E35" s="16"/>
      <c r="F35" s="16"/>
      <c r="G35" s="92">
        <v>36617</v>
      </c>
    </row>
    <row r="36" spans="1:30">
      <c r="C36" s="15" t="s">
        <v>113</v>
      </c>
      <c r="D36" s="16" t="s">
        <v>62</v>
      </c>
      <c r="E36" s="16"/>
      <c r="F36" s="16"/>
      <c r="G36" s="92">
        <v>36647</v>
      </c>
    </row>
    <row r="37" spans="1:30">
      <c r="C37" s="15" t="s">
        <v>114</v>
      </c>
      <c r="D37" s="16" t="s">
        <v>62</v>
      </c>
      <c r="E37" s="16"/>
      <c r="F37" s="16"/>
      <c r="G37" s="92">
        <v>36678</v>
      </c>
      <c r="T37" s="17"/>
    </row>
    <row r="38" spans="1:30">
      <c r="C38" s="15" t="s">
        <v>115</v>
      </c>
      <c r="D38" s="16" t="s">
        <v>62</v>
      </c>
      <c r="E38" s="16"/>
      <c r="F38" s="16"/>
      <c r="G38" s="92">
        <v>36708</v>
      </c>
      <c r="T38" s="17"/>
    </row>
    <row r="39" spans="1:30">
      <c r="C39" s="15" t="s">
        <v>116</v>
      </c>
      <c r="D39" s="16" t="s">
        <v>62</v>
      </c>
      <c r="E39" s="16"/>
      <c r="F39" s="16"/>
      <c r="G39" s="92">
        <v>36739</v>
      </c>
      <c r="T39" s="17"/>
    </row>
    <row r="40" spans="1:30">
      <c r="C40" s="15" t="s">
        <v>117</v>
      </c>
      <c r="D40" s="16" t="s">
        <v>62</v>
      </c>
      <c r="E40" s="16"/>
      <c r="F40" s="16"/>
      <c r="G40" s="92">
        <v>36770</v>
      </c>
      <c r="T40" s="17"/>
    </row>
    <row r="41" spans="1:30">
      <c r="C41" s="15" t="s">
        <v>118</v>
      </c>
      <c r="D41" s="16" t="s">
        <v>62</v>
      </c>
      <c r="E41" s="16"/>
      <c r="F41" s="16"/>
      <c r="G41" s="92">
        <v>36800</v>
      </c>
      <c r="T41" s="17"/>
    </row>
    <row r="42" spans="1:30">
      <c r="C42" s="15" t="s">
        <v>119</v>
      </c>
      <c r="D42" s="16" t="s">
        <v>62</v>
      </c>
      <c r="E42" s="16"/>
      <c r="F42" s="16"/>
      <c r="G42" s="92">
        <v>36831</v>
      </c>
      <c r="T42" s="17"/>
    </row>
    <row r="43" spans="1:30">
      <c r="C43" s="15" t="s">
        <v>120</v>
      </c>
      <c r="D43" s="16" t="s">
        <v>62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63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7</v>
      </c>
      <c r="E47" s="20"/>
      <c r="F47" s="14"/>
      <c r="G47" s="14" t="s">
        <v>141</v>
      </c>
      <c r="H47" s="14" t="s">
        <v>139</v>
      </c>
      <c r="I47" s="14" t="s">
        <v>140</v>
      </c>
    </row>
    <row r="48" spans="1:30">
      <c r="C48" s="97">
        <v>40695</v>
      </c>
      <c r="D48" s="16" t="s">
        <v>62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62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62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62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62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62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62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62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62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62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62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62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62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62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62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62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62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62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62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62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2.75">
      <c r="A69" s="32"/>
      <c r="B69" s="38" t="s">
        <v>137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7</v>
      </c>
      <c r="E71" s="20"/>
      <c r="F71" s="14"/>
      <c r="G71" s="14" t="s">
        <v>138</v>
      </c>
      <c r="H71" s="14" t="s">
        <v>107</v>
      </c>
    </row>
    <row r="72" spans="1:30">
      <c r="C72" s="15" t="s">
        <v>158</v>
      </c>
      <c r="D72" s="16" t="s">
        <v>91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127</v>
      </c>
      <c r="D73" s="16" t="s">
        <v>91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128</v>
      </c>
      <c r="D74" s="16" t="s">
        <v>91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129</v>
      </c>
      <c r="D75" s="16" t="s">
        <v>91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130</v>
      </c>
      <c r="D76" s="16" t="s">
        <v>91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131</v>
      </c>
      <c r="D77" s="16" t="s">
        <v>91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160</v>
      </c>
      <c r="D78" s="16" t="s">
        <v>91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132</v>
      </c>
      <c r="D79" s="16" t="s">
        <v>91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133</v>
      </c>
      <c r="D80" s="16" t="s">
        <v>91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134</v>
      </c>
      <c r="D81" s="16" t="s">
        <v>91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135</v>
      </c>
      <c r="D82" s="16" t="s">
        <v>91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136</v>
      </c>
      <c r="D83" s="16" t="s">
        <v>91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P28">
    <cfRule type="expression" dxfId="7" priority="55" stopIfTrue="1">
      <formula>#REF!="Actual"</formula>
    </cfRule>
  </conditionalFormatting>
  <conditionalFormatting sqref="P68">
    <cfRule type="expression" dxfId="6" priority="2" stopIfTrue="1">
      <formula>#REF!="Actual"</formula>
    </cfRule>
  </conditionalFormatting>
  <conditionalFormatting sqref="P21:Q28">
    <cfRule type="expression" dxfId="5" priority="56" stopIfTrue="1">
      <formula>#REF!="Actual"</formula>
    </cfRule>
  </conditionalFormatting>
  <conditionalFormatting sqref="Q68">
    <cfRule type="expression" dxfId="4" priority="1" stopIfTrue="1">
      <formula>#REF!="Actual"</formula>
    </cfRule>
  </conditionalFormatting>
  <conditionalFormatting sqref="S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V1">
    <cfRule type="cellIs" dxfId="1" priority="5" operator="equal">
      <formula>"Check"</formula>
    </cfRule>
    <cfRule type="cellIs" dxfId="0" priority="6" operator="equal">
      <formula>"Ok"</formula>
    </cfRule>
  </conditionalFormatting>
  <dataValidations disablePrompts="1"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Check|List</vt:lpstr>
      <vt:lpstr>Lookup|Tables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2025-04-17T03:21:59Z</dcterms:created>
  <dcterms:modified xsi:type="dcterms:W3CDTF">2025-04-17T03:22:06Z</dcterms:modified>
</cp:coreProperties>
</file>