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721D0CED-29A1-4770-9C9A-B612F1E07774}" xr6:coauthVersionLast="47" xr6:coauthVersionMax="47" xr10:uidLastSave="{00000000-0000-0000-0000-000000000000}"/>
  <bookViews>
    <workbookView xWindow="-120" yWindow="-120" windowWidth="29040" windowHeight="15840" xr2:uid="{43B935F9-5B05-417F-98B8-01BE6CA74A8F}"/>
  </bookViews>
  <sheets>
    <sheet name="Final decision" sheetId="1" r:id="rId1"/>
  </sheets>
  <definedNames>
    <definedName name="dms_PRCP_BaseYear">'Final decision'!$B$12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G39" i="1" l="1"/>
  <c r="A35" i="1" l="1"/>
  <c r="A33" i="1"/>
  <c r="J30" i="1"/>
  <c r="B30" i="1"/>
  <c r="D25" i="1"/>
  <c r="J17" i="1"/>
  <c r="B17" i="1"/>
  <c r="K5" i="1"/>
  <c r="J5" i="1"/>
  <c r="I5" i="1"/>
  <c r="H5" i="1"/>
  <c r="G5" i="1"/>
  <c r="F5" i="1"/>
  <c r="E5" i="1"/>
  <c r="D5" i="1"/>
  <c r="F39" i="1" l="1"/>
  <c r="H25" i="1"/>
  <c r="B39" i="1"/>
  <c r="E39" i="1"/>
  <c r="C39" i="1"/>
  <c r="D39" i="1"/>
  <c r="B25" i="1"/>
  <c r="E25" i="1"/>
  <c r="F25" i="1"/>
  <c r="C25" i="1"/>
  <c r="M5" i="1" l="1"/>
  <c r="L6" i="1" l="1"/>
  <c r="O33" i="1" s="1"/>
  <c r="O31" i="1" l="1"/>
  <c r="O37" i="1"/>
  <c r="O36" i="1"/>
  <c r="O34" i="1"/>
  <c r="K6" i="1"/>
  <c r="N38" i="1" s="1"/>
  <c r="O35" i="1"/>
  <c r="J6" i="1"/>
  <c r="M38" i="1" s="1"/>
  <c r="N31" i="1"/>
  <c r="O38" i="1"/>
  <c r="N34" i="1"/>
  <c r="N37" i="1" l="1"/>
  <c r="O39" i="1"/>
  <c r="N36" i="1"/>
  <c r="N35" i="1"/>
  <c r="N33" i="1"/>
  <c r="M33" i="1"/>
  <c r="M35" i="1"/>
  <c r="M37" i="1"/>
  <c r="M31" i="1"/>
  <c r="I6" i="1"/>
  <c r="L35" i="1" s="1"/>
  <c r="M34" i="1"/>
  <c r="M36" i="1"/>
  <c r="L31" i="1" l="1"/>
  <c r="N39" i="1"/>
  <c r="M39" i="1"/>
  <c r="L36" i="1"/>
  <c r="L33" i="1"/>
  <c r="L34" i="1"/>
  <c r="L38" i="1"/>
  <c r="H6" i="1"/>
  <c r="O22" i="1" s="1"/>
  <c r="L37" i="1"/>
  <c r="O23" i="1" l="1"/>
  <c r="M22" i="1"/>
  <c r="L39" i="1"/>
  <c r="P18" i="1"/>
  <c r="P21" i="1"/>
  <c r="N23" i="1"/>
  <c r="L21" i="1"/>
  <c r="N21" i="1"/>
  <c r="K34" i="1"/>
  <c r="O18" i="1"/>
  <c r="L18" i="1"/>
  <c r="N20" i="1"/>
  <c r="K35" i="1"/>
  <c r="N22" i="1"/>
  <c r="K37" i="1"/>
  <c r="M18" i="1"/>
  <c r="G6" i="1"/>
  <c r="F6" i="1" s="1"/>
  <c r="E6" i="1" s="1"/>
  <c r="D6" i="1" s="1"/>
  <c r="C6" i="1" s="1"/>
  <c r="K38" i="1"/>
  <c r="K36" i="1"/>
  <c r="M24" i="1"/>
  <c r="M20" i="1"/>
  <c r="N24" i="1"/>
  <c r="K33" i="1"/>
  <c r="M21" i="1"/>
  <c r="O20" i="1"/>
  <c r="K31" i="1"/>
  <c r="P24" i="1"/>
  <c r="P23" i="1"/>
  <c r="L23" i="1"/>
  <c r="P20" i="1"/>
  <c r="M23" i="1"/>
  <c r="N18" i="1"/>
  <c r="O24" i="1"/>
  <c r="L22" i="1"/>
  <c r="L24" i="1"/>
  <c r="L20" i="1"/>
  <c r="P22" i="1"/>
  <c r="G25" i="1"/>
  <c r="O21" i="1"/>
  <c r="K39" i="1" l="1"/>
  <c r="M25" i="1"/>
  <c r="L25" i="1"/>
  <c r="J23" i="1"/>
  <c r="K23" i="1"/>
  <c r="J21" i="1"/>
  <c r="J22" i="1"/>
  <c r="K21" i="1"/>
  <c r="J24" i="1"/>
  <c r="K18" i="1"/>
  <c r="K20" i="1"/>
  <c r="K22" i="1"/>
  <c r="K24" i="1"/>
  <c r="J18" i="1"/>
  <c r="J20" i="1"/>
  <c r="N25" i="1"/>
  <c r="N42" i="1" s="1"/>
  <c r="S50" i="1" s="1"/>
  <c r="O25" i="1"/>
  <c r="P25" i="1"/>
  <c r="M42" i="1" l="1"/>
  <c r="R49" i="1" s="1"/>
  <c r="O42" i="1"/>
  <c r="T51" i="1" s="1"/>
  <c r="O50" i="1"/>
  <c r="J25" i="1"/>
  <c r="Q50" i="1"/>
  <c r="R50" i="1"/>
  <c r="P50" i="1"/>
  <c r="S51" i="1"/>
  <c r="K25" i="1"/>
  <c r="R51" i="1" l="1"/>
  <c r="Q51" i="1"/>
  <c r="P49" i="1"/>
  <c r="O49" i="1"/>
  <c r="Q49" i="1"/>
  <c r="N49" i="1"/>
  <c r="P51" i="1"/>
  <c r="J33" i="1" l="1"/>
  <c r="J37" i="1"/>
  <c r="J38" i="1"/>
  <c r="J31" i="1"/>
  <c r="J35" i="1"/>
  <c r="J36" i="1"/>
  <c r="J34" i="1"/>
  <c r="P39" i="1"/>
  <c r="P42" i="1" s="1"/>
  <c r="Q52" i="1" l="1"/>
  <c r="R52" i="1"/>
  <c r="R53" i="1" s="1"/>
  <c r="S52" i="1"/>
  <c r="S53" i="1" s="1"/>
  <c r="S55" i="1" s="1"/>
  <c r="T52" i="1"/>
  <c r="T53" i="1" s="1"/>
  <c r="U52" i="1"/>
  <c r="J39" i="1"/>
  <c r="L42" i="1" s="1"/>
  <c r="U53" i="1" l="1"/>
  <c r="U55" i="1" s="1"/>
  <c r="T55" i="1"/>
  <c r="R55" i="1"/>
  <c r="O48" i="1"/>
  <c r="N48" i="1"/>
  <c r="Q48" i="1"/>
  <c r="Q53" i="1" s="1"/>
  <c r="P48" i="1"/>
  <c r="M48" i="1"/>
  <c r="Q55" i="1" l="1"/>
  <c r="V55" i="1" s="1"/>
  <c r="V53" i="1"/>
</calcChain>
</file>

<file path=xl/sharedStrings.xml><?xml version="1.0" encoding="utf-8"?>
<sst xmlns="http://schemas.openxmlformats.org/spreadsheetml/2006/main" count="100" uniqueCount="54">
  <si>
    <t>Actual and estimated inflation</t>
  </si>
  <si>
    <t>Actual</t>
  </si>
  <si>
    <t>Estimated</t>
  </si>
  <si>
    <t>ABS CPI index - June</t>
  </si>
  <si>
    <t xml:space="preserve">Inflation rate (per cent) </t>
  </si>
  <si>
    <t>7.5.1 -  The carryover amounts that arise from applying the EBSS during the current regulatory control period</t>
  </si>
  <si>
    <t>Base year used to forecast opex for the current period (drop down menu)</t>
  </si>
  <si>
    <t>2018-19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</si>
  <si>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</si>
  <si>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</si>
  <si>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</si>
  <si>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</si>
  <si>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</si>
  <si>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</si>
  <si>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</si>
  <si>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</si>
  <si>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</si>
  <si>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</si>
  <si>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</si>
  <si>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</si>
  <si>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Capitalised opex that has been excluded from the regulatory asset base</t>
  </si>
  <si>
    <t>Movements in provisions related to opex</t>
  </si>
  <si>
    <t>Actual opex for EBSS purposes</t>
  </si>
  <si>
    <t>2022-23</t>
  </si>
  <si>
    <t>Carryover</t>
  </si>
  <si>
    <t>Forthcoming regulatory control period</t>
  </si>
  <si>
    <t>Total</t>
  </si>
  <si>
    <t xml:space="preserve">DMIA </t>
  </si>
  <si>
    <t>2023-24</t>
  </si>
  <si>
    <t>Cyclone storm (Jasper &amp; Kirrily) cost pass through</t>
  </si>
  <si>
    <t>Ergon Energy to nominate base year used to forecast opex 
(drop down menu)</t>
  </si>
  <si>
    <t>2021-22</t>
  </si>
  <si>
    <t>2024-25</t>
  </si>
  <si>
    <t>Reconstructed cumulative index (2024-25=1)</t>
  </si>
  <si>
    <t>2026-27</t>
  </si>
  <si>
    <t>2016-17</t>
  </si>
  <si>
    <t>2019-20</t>
  </si>
  <si>
    <t>Non-recurrent efficiency adjustment made to 2018-19 opex, $m, real June 2020</t>
  </si>
  <si>
    <t>$m, real June 2020</t>
  </si>
  <si>
    <t>2028-29</t>
  </si>
  <si>
    <t>2029-30</t>
  </si>
  <si>
    <t>2027-28</t>
  </si>
  <si>
    <t>2015-16</t>
  </si>
  <si>
    <t>$m, real June 2015</t>
  </si>
  <si>
    <t>2017-18</t>
  </si>
  <si>
    <t>2020-21</t>
  </si>
  <si>
    <t>$m, real June 2025</t>
  </si>
  <si>
    <t>Base year non-recurrent efficiency gain $m, real June 2025</t>
  </si>
  <si>
    <t>Incremental gain $m, real June 2025</t>
  </si>
  <si>
    <t>Total Carryover Amount ($m, June 2025)</t>
  </si>
  <si>
    <t>PTRM inputs ($m, June 2025)</t>
  </si>
  <si>
    <t>2013-14</t>
  </si>
  <si>
    <t>2014-15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</si>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</sst>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(* #,##0.00_);_(* \(#,##0.00\);_(* &quot;-&quot;??_);_(@_)"/>
    <numFmt numFmtId="166" formatCode="0.0;\–0.0;&quot;–&quot;"/>
    <numFmt numFmtId="167" formatCode="#,##0;\(#,##0\)"/>
    <numFmt numFmtId="168" formatCode="#,##0.0_ ;\-#,##0.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000000"/>
        <bgColor rgb="FFFFFFFF"/>
      </patternFill>
    </fill>
  </fills>
  <borders count="161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rgb="FFA5A5A5"/>
      </left>
      <right style="medium">
        <color theme="1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theme="1"/>
      </left>
      <right/>
      <top style="medium">
        <color theme="1"/>
      </top>
      <bottom style="thin">
        <color rgb="FF000000"/>
      </bottom>
      <diagonal/>
    </border>
    <border>
      <left/>
      <right/>
      <top style="medium">
        <color theme="1"/>
      </top>
      <bottom style="thin">
        <color rgb="FF000000"/>
      </bottom>
      <diagonal/>
    </border>
    <border>
      <left/>
      <right style="medium">
        <color theme="1"/>
      </right>
      <top style="medium">
        <color theme="1"/>
      </top>
      <bottom style="thin">
        <color rgb="FF000000"/>
      </bottom>
      <diagonal/>
    </border>
    <border>
      <left style="medium">
        <color theme="1"/>
      </left>
      <right style="thin">
        <color rgb="FFA5A5A5"/>
      </right>
      <top style="thin">
        <color rgb="FF000000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medium">
        <color rgb="FF000000"/>
      </bottom>
      <diagonal/>
    </border>
    <border>
      <left style="thin">
        <color rgb="FFA5A5A5"/>
      </left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 style="medium">
        <color theme="1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medium">
        <color theme="1"/>
      </left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theme="1"/>
      </right>
      <top/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 style="medium">
        <color rgb="FF000000"/>
      </bottom>
      <diagonal/>
    </border>
    <border>
      <left style="medium">
        <color theme="1"/>
      </left>
      <right style="thin">
        <color rgb="FFA5A5A5"/>
      </right>
      <top/>
      <bottom style="medium">
        <color theme="1"/>
      </bottom>
      <diagonal/>
    </border>
    <border>
      <left/>
      <right style="thin">
        <color rgb="FFA5A5A5"/>
      </right>
      <top style="thin">
        <color rgb="FFA5A5A5"/>
      </top>
      <bottom style="medium">
        <color theme="1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theme="1"/>
      </bottom>
      <diagonal/>
    </border>
    <border>
      <left style="thin">
        <color rgb="FFA5A5A5"/>
      </left>
      <right style="medium">
        <color theme="1"/>
      </right>
      <top style="thin">
        <color rgb="FFA5A5A5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theme="1"/>
      </left>
      <right style="thin">
        <color theme="1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 style="thin">
        <color theme="0" tint="-0.24994659260841701"/>
      </bottom>
      <diagonal/>
    </border>
    <border>
      <left style="medium">
        <color theme="1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 style="thin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medium">
        <color indexed="64"/>
      </bottom>
      <diagonal/>
    </border>
    <border>
      <left style="medium">
        <color theme="1"/>
      </left>
      <right/>
      <top style="medium">
        <color auto="1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1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medium">
        <color theme="1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theme="0" tint="-0.34998626667073579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theme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medium">
        <color indexed="64"/>
      </top>
      <bottom style="medium">
        <color theme="1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4" borderId="0">
      <alignment horizontal="left" vertical="center"/>
      <protection locked="0"/>
    </xf>
    <xf numFmtId="0" fontId="8" fillId="3" borderId="0">
      <alignment vertical="center"/>
      <protection locked="0"/>
    </xf>
    <xf numFmtId="49" fontId="3" fillId="6" borderId="27" applyAlignment="0">
      <alignment horizontal="left" vertical="center" wrapText="1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0" fillId="2" borderId="0" xfId="0" applyFill="1"/>
    <xf numFmtId="0" fontId="4" fillId="2" borderId="0" xfId="0" applyFont="1" applyFill="1"/>
    <xf numFmtId="0" fontId="9" fillId="0" borderId="15" xfId="0" applyFont="1" applyBorder="1"/>
    <xf numFmtId="0" fontId="2" fillId="6" borderId="15" xfId="0" applyFont="1" applyFill="1" applyBorder="1" applyAlignment="1" applyProtection="1">
      <alignment horizontal="right"/>
      <protection locked="0"/>
    </xf>
    <xf numFmtId="0" fontId="10" fillId="5" borderId="1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1" fillId="2" borderId="0" xfId="0" applyFont="1" applyFill="1"/>
    <xf numFmtId="0" fontId="6" fillId="5" borderId="18" xfId="0" applyFont="1" applyFill="1" applyBorder="1" applyAlignment="1">
      <alignment horizontal="right" vertical="center"/>
    </xf>
    <xf numFmtId="0" fontId="6" fillId="5" borderId="19" xfId="0" applyFont="1" applyFill="1" applyBorder="1" applyAlignment="1">
      <alignment horizontal="right" vertical="center"/>
    </xf>
    <xf numFmtId="0" fontId="6" fillId="8" borderId="20" xfId="0" applyFont="1" applyFill="1" applyBorder="1" applyAlignment="1">
      <alignment horizontal="right" vertical="center"/>
    </xf>
    <xf numFmtId="0" fontId="6" fillId="8" borderId="21" xfId="0" applyFont="1" applyFill="1" applyBorder="1" applyAlignment="1">
      <alignment horizontal="right" vertical="center"/>
    </xf>
    <xf numFmtId="0" fontId="6" fillId="8" borderId="22" xfId="0" applyFont="1" applyFill="1" applyBorder="1" applyAlignment="1">
      <alignment horizontal="right" vertical="center"/>
    </xf>
    <xf numFmtId="166" fontId="6" fillId="11" borderId="39" xfId="1" applyNumberFormat="1" applyFont="1" applyFill="1" applyBorder="1" applyAlignment="1" applyProtection="1">
      <alignment horizontal="right" wrapText="1"/>
    </xf>
    <xf numFmtId="166" fontId="6" fillId="11" borderId="37" xfId="1" applyNumberFormat="1" applyFont="1" applyFill="1" applyBorder="1" applyAlignment="1" applyProtection="1">
      <alignment horizontal="right" wrapText="1"/>
    </xf>
    <xf numFmtId="166" fontId="6" fillId="11" borderId="38" xfId="1" applyNumberFormat="1" applyFont="1" applyFill="1" applyBorder="1" applyAlignment="1" applyProtection="1">
      <alignment horizontal="right" wrapText="1"/>
    </xf>
    <xf numFmtId="0" fontId="13" fillId="2" borderId="40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left" vertical="center" wrapText="1" indent="1"/>
    </xf>
    <xf numFmtId="0" fontId="7" fillId="0" borderId="0" xfId="0" applyFont="1"/>
    <xf numFmtId="0" fontId="16" fillId="5" borderId="4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4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5" borderId="46" xfId="0" applyFill="1" applyBorder="1"/>
    <xf numFmtId="0" fontId="0" fillId="5" borderId="41" xfId="0" applyFill="1" applyBorder="1"/>
    <xf numFmtId="166" fontId="3" fillId="9" borderId="39" xfId="0" applyNumberFormat="1" applyFont="1" applyFill="1" applyBorder="1" applyAlignment="1">
      <alignment horizontal="right" vertical="center"/>
    </xf>
    <xf numFmtId="166" fontId="3" fillId="9" borderId="37" xfId="0" applyNumberFormat="1" applyFont="1" applyFill="1" applyBorder="1" applyAlignment="1">
      <alignment horizontal="right" vertical="center"/>
    </xf>
    <xf numFmtId="166" fontId="3" fillId="9" borderId="38" xfId="0" applyNumberFormat="1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16" fillId="5" borderId="43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7" fillId="9" borderId="49" xfId="0" applyFont="1" applyFill="1" applyBorder="1"/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8" borderId="50" xfId="0" applyFont="1" applyFill="1" applyBorder="1" applyAlignment="1">
      <alignment horizontal="right" vertical="center"/>
    </xf>
    <xf numFmtId="0" fontId="6" fillId="8" borderId="51" xfId="0" applyFont="1" applyFill="1" applyBorder="1" applyAlignment="1">
      <alignment horizontal="right" vertical="center"/>
    </xf>
    <xf numFmtId="0" fontId="6" fillId="14" borderId="51" xfId="0" applyFont="1" applyFill="1" applyBorder="1" applyAlignment="1">
      <alignment horizontal="right" vertical="center"/>
    </xf>
    <xf numFmtId="0" fontId="2" fillId="9" borderId="52" xfId="0" applyFont="1" applyFill="1" applyBorder="1"/>
    <xf numFmtId="168" fontId="3" fillId="16" borderId="0" xfId="0" applyNumberFormat="1" applyFont="1" applyFill="1" applyAlignment="1">
      <alignment horizontal="left" vertical="center"/>
    </xf>
    <xf numFmtId="168" fontId="3" fillId="16" borderId="0" xfId="0" applyNumberFormat="1" applyFont="1" applyFill="1" applyAlignment="1">
      <alignment horizontal="right" vertical="center"/>
    </xf>
    <xf numFmtId="164" fontId="18" fillId="18" borderId="62" xfId="0" applyNumberFormat="1" applyFont="1" applyFill="1" applyBorder="1" applyAlignment="1" applyProtection="1">
      <alignment horizontal="right" vertical="center" wrapText="1"/>
      <protection locked="0"/>
    </xf>
    <xf numFmtId="0" fontId="19" fillId="19" borderId="63" xfId="0" applyFont="1" applyFill="1" applyBorder="1" applyAlignment="1">
      <alignment horizontal="left" vertical="center"/>
    </xf>
    <xf numFmtId="0" fontId="19" fillId="19" borderId="64" xfId="0" applyFont="1" applyFill="1" applyBorder="1" applyAlignment="1">
      <alignment horizontal="left" vertical="center"/>
    </xf>
    <xf numFmtId="0" fontId="19" fillId="19" borderId="65" xfId="0" applyFont="1" applyFill="1" applyBorder="1" applyAlignment="1">
      <alignment horizontal="left" vertical="center"/>
    </xf>
    <xf numFmtId="0" fontId="19" fillId="19" borderId="66" xfId="0" applyFont="1" applyFill="1" applyBorder="1" applyAlignment="1">
      <alignment horizontal="left" vertical="center"/>
    </xf>
    <xf numFmtId="0" fontId="20" fillId="20" borderId="0" xfId="0" applyFont="1" applyFill="1"/>
    <xf numFmtId="0" fontId="19" fillId="19" borderId="67" xfId="0" applyFont="1" applyFill="1" applyBorder="1" applyAlignment="1">
      <alignment horizontal="left" vertical="center"/>
    </xf>
    <xf numFmtId="0" fontId="20" fillId="20" borderId="0" xfId="0" applyFont="1" applyFill="1" applyAlignment="1">
      <alignment vertical="center"/>
    </xf>
    <xf numFmtId="0" fontId="22" fillId="21" borderId="71" xfId="0" applyFont="1" applyFill="1" applyBorder="1" applyAlignment="1">
      <alignment horizontal="right" vertical="center"/>
    </xf>
    <xf numFmtId="0" fontId="22" fillId="21" borderId="72" xfId="0" applyFont="1" applyFill="1" applyBorder="1" applyAlignment="1">
      <alignment horizontal="right" vertical="center"/>
    </xf>
    <xf numFmtId="0" fontId="22" fillId="21" borderId="73" xfId="0" applyFont="1" applyFill="1" applyBorder="1" applyAlignment="1">
      <alignment horizontal="right" vertical="center"/>
    </xf>
    <xf numFmtId="0" fontId="18" fillId="0" borderId="74" xfId="0" applyFont="1" applyBorder="1" applyAlignment="1">
      <alignment horizontal="left" vertical="center" wrapText="1" indent="1"/>
    </xf>
    <xf numFmtId="165" fontId="21" fillId="19" borderId="75" xfId="0" applyNumberFormat="1" applyFont="1" applyFill="1" applyBorder="1" applyAlignment="1">
      <alignment horizontal="left"/>
    </xf>
    <xf numFmtId="164" fontId="18" fillId="18" borderId="76" xfId="0" applyNumberFormat="1" applyFont="1" applyFill="1" applyBorder="1" applyAlignment="1" applyProtection="1">
      <alignment horizontal="right" vertical="center" wrapText="1"/>
      <protection locked="0"/>
    </xf>
    <xf numFmtId="0" fontId="18" fillId="20" borderId="74" xfId="0" applyFont="1" applyFill="1" applyBorder="1" applyAlignment="1">
      <alignment horizontal="left" vertical="center" wrapText="1" indent="1"/>
    </xf>
    <xf numFmtId="164" fontId="21" fillId="19" borderId="77" xfId="0" applyNumberFormat="1" applyFont="1" applyFill="1" applyBorder="1" applyAlignment="1">
      <alignment vertical="center"/>
    </xf>
    <xf numFmtId="0" fontId="18" fillId="19" borderId="78" xfId="0" applyFont="1" applyFill="1" applyBorder="1" applyAlignment="1">
      <alignment horizontal="left" vertical="center" wrapText="1" indent="1"/>
    </xf>
    <xf numFmtId="10" fontId="18" fillId="20" borderId="79" xfId="0" applyNumberFormat="1" applyFont="1" applyFill="1" applyBorder="1" applyAlignment="1">
      <alignment horizontal="right" vertical="center" wrapText="1"/>
    </xf>
    <xf numFmtId="10" fontId="18" fillId="20" borderId="80" xfId="0" applyNumberFormat="1" applyFont="1" applyFill="1" applyBorder="1" applyAlignment="1">
      <alignment horizontal="right" vertical="center" wrapText="1"/>
    </xf>
    <xf numFmtId="0" fontId="18" fillId="20" borderId="81" xfId="0" applyFont="1" applyFill="1" applyBorder="1" applyAlignment="1">
      <alignment horizontal="left" vertical="center" wrapText="1" indent="1"/>
    </xf>
    <xf numFmtId="164" fontId="21" fillId="19" borderId="82" xfId="0" applyNumberFormat="1" applyFont="1" applyFill="1" applyBorder="1" applyAlignment="1">
      <alignment vertical="center"/>
    </xf>
    <xf numFmtId="2" fontId="18" fillId="20" borderId="83" xfId="0" applyNumberFormat="1" applyFont="1" applyFill="1" applyBorder="1" applyAlignment="1">
      <alignment horizontal="right" vertical="center" wrapText="1"/>
    </xf>
    <xf numFmtId="2" fontId="18" fillId="20" borderId="84" xfId="0" applyNumberFormat="1" applyFont="1" applyFill="1" applyBorder="1" applyAlignment="1">
      <alignment horizontal="right" vertical="center" wrapText="1"/>
    </xf>
    <xf numFmtId="2" fontId="18" fillId="20" borderId="85" xfId="0" applyNumberFormat="1" applyFont="1" applyFill="1" applyBorder="1" applyAlignment="1">
      <alignment horizontal="right" vertical="center" wrapText="1"/>
    </xf>
    <xf numFmtId="0" fontId="18" fillId="20" borderId="0" xfId="0" applyFont="1" applyFill="1" applyAlignment="1">
      <alignment horizontal="left" vertical="center" wrapText="1" indent="1"/>
    </xf>
    <xf numFmtId="164" fontId="18" fillId="20" borderId="0" xfId="0" applyNumberFormat="1" applyFont="1" applyFill="1" applyAlignment="1">
      <alignment horizontal="right" vertical="center" wrapText="1"/>
    </xf>
    <xf numFmtId="2" fontId="21" fillId="0" borderId="0" xfId="0" applyNumberFormat="1" applyFont="1" applyAlignment="1">
      <alignment horizontal="center"/>
    </xf>
    <xf numFmtId="0" fontId="15" fillId="20" borderId="0" xfId="0" applyFont="1" applyFill="1"/>
    <xf numFmtId="0" fontId="23" fillId="22" borderId="0" xfId="0" applyFont="1" applyFill="1" applyAlignment="1">
      <alignment vertical="center"/>
    </xf>
    <xf numFmtId="0" fontId="24" fillId="22" borderId="0" xfId="0" applyFont="1" applyFill="1" applyAlignment="1">
      <alignment vertical="center"/>
    </xf>
    <xf numFmtId="49" fontId="18" fillId="18" borderId="97" xfId="0" applyNumberFormat="1" applyFont="1" applyFill="1" applyBorder="1" applyAlignment="1" applyProtection="1">
      <alignment horizontal="right" vertical="top"/>
      <protection locked="0"/>
    </xf>
    <xf numFmtId="49" fontId="18" fillId="18" borderId="97" xfId="0" applyNumberFormat="1" applyFont="1" applyFill="1" applyBorder="1" applyAlignment="1" applyProtection="1">
      <alignment horizontal="left" vertical="top" indent="2"/>
      <protection locked="0"/>
    </xf>
    <xf numFmtId="0" fontId="6" fillId="5" borderId="98" xfId="0" applyFont="1" applyFill="1" applyBorder="1" applyAlignment="1">
      <alignment horizontal="right" vertical="center"/>
    </xf>
    <xf numFmtId="0" fontId="6" fillId="5" borderId="99" xfId="0" applyFont="1" applyFill="1" applyBorder="1" applyAlignment="1">
      <alignment horizontal="right" vertical="center"/>
    </xf>
    <xf numFmtId="0" fontId="6" fillId="8" borderId="100" xfId="0" applyFont="1" applyFill="1" applyBorder="1" applyAlignment="1">
      <alignment horizontal="right" vertical="center"/>
    </xf>
    <xf numFmtId="0" fontId="6" fillId="8" borderId="101" xfId="0" applyFont="1" applyFill="1" applyBorder="1" applyAlignment="1">
      <alignment horizontal="right" vertical="center"/>
    </xf>
    <xf numFmtId="0" fontId="6" fillId="8" borderId="102" xfId="0" applyFont="1" applyFill="1" applyBorder="1" applyAlignment="1">
      <alignment horizontal="right" vertical="center"/>
    </xf>
    <xf numFmtId="0" fontId="3" fillId="0" borderId="103" xfId="0" applyFont="1" applyBorder="1" applyAlignment="1">
      <alignment horizontal="left" vertical="center" wrapText="1" indent="1"/>
    </xf>
    <xf numFmtId="0" fontId="12" fillId="9" borderId="106" xfId="0" applyFont="1" applyFill="1" applyBorder="1" applyAlignment="1">
      <alignment horizontal="left" vertical="center" wrapText="1" indent="1"/>
    </xf>
    <xf numFmtId="49" fontId="3" fillId="6" borderId="108" xfId="5" applyBorder="1" applyAlignment="1">
      <alignment horizontal="left" indent="2"/>
      <protection locked="0"/>
    </xf>
    <xf numFmtId="0" fontId="3" fillId="0" borderId="106" xfId="6" applyFont="1" applyBorder="1" applyAlignment="1">
      <alignment horizontal="left" vertical="center" indent="1"/>
    </xf>
    <xf numFmtId="0" fontId="3" fillId="0" borderId="110" xfId="0" applyFont="1" applyBorder="1" applyAlignment="1">
      <alignment horizontal="left" vertical="center" wrapText="1" indent="1"/>
    </xf>
    <xf numFmtId="166" fontId="6" fillId="11" borderId="113" xfId="1" applyNumberFormat="1" applyFont="1" applyFill="1" applyBorder="1" applyAlignment="1" applyProtection="1">
      <alignment horizontal="right" wrapText="1"/>
      <protection locked="0"/>
    </xf>
    <xf numFmtId="166" fontId="6" fillId="11" borderId="114" xfId="1" applyNumberFormat="1" applyFont="1" applyFill="1" applyBorder="1" applyAlignment="1" applyProtection="1">
      <alignment horizontal="right" wrapText="1"/>
      <protection locked="0"/>
    </xf>
    <xf numFmtId="166" fontId="6" fillId="11" borderId="117" xfId="1" applyNumberFormat="1" applyFont="1" applyFill="1" applyBorder="1" applyAlignment="1" applyProtection="1">
      <alignment horizontal="right" wrapText="1"/>
      <protection locked="0"/>
    </xf>
    <xf numFmtId="0" fontId="6" fillId="11" borderId="112" xfId="0" applyFont="1" applyFill="1" applyBorder="1" applyAlignment="1">
      <alignment horizontal="left" vertical="center" wrapText="1" indent="1"/>
    </xf>
    <xf numFmtId="0" fontId="6" fillId="11" borderId="116" xfId="0" applyFont="1" applyFill="1" applyBorder="1" applyAlignment="1">
      <alignment horizontal="left" wrapText="1" indent="1"/>
    </xf>
    <xf numFmtId="166" fontId="3" fillId="6" borderId="104" xfId="0" applyNumberFormat="1" applyFont="1" applyFill="1" applyBorder="1" applyAlignment="1" applyProtection="1">
      <alignment vertical="center" wrapText="1"/>
      <protection locked="0"/>
    </xf>
    <xf numFmtId="166" fontId="3" fillId="6" borderId="119" xfId="0" applyNumberFormat="1" applyFont="1" applyFill="1" applyBorder="1" applyAlignment="1" applyProtection="1">
      <alignment vertical="center" wrapText="1"/>
      <protection locked="0"/>
    </xf>
    <xf numFmtId="166" fontId="3" fillId="6" borderId="105" xfId="0" applyNumberFormat="1" applyFont="1" applyFill="1" applyBorder="1" applyAlignment="1" applyProtection="1">
      <alignment vertical="center" wrapText="1"/>
      <protection locked="0"/>
    </xf>
    <xf numFmtId="166" fontId="6" fillId="5" borderId="26" xfId="0" applyNumberFormat="1" applyFont="1" applyFill="1" applyBorder="1" applyAlignment="1" applyProtection="1">
      <alignment vertical="center"/>
      <protection locked="0"/>
    </xf>
    <xf numFmtId="166" fontId="6" fillId="5" borderId="120" xfId="0" applyNumberFormat="1" applyFont="1" applyFill="1" applyBorder="1" applyAlignment="1" applyProtection="1">
      <alignment vertical="center"/>
      <protection locked="0"/>
    </xf>
    <xf numFmtId="166" fontId="6" fillId="5" borderId="27" xfId="0" applyNumberFormat="1" applyFont="1" applyFill="1" applyBorder="1" applyAlignment="1" applyProtection="1">
      <alignment vertical="center"/>
      <protection locked="0"/>
    </xf>
    <xf numFmtId="166" fontId="6" fillId="5" borderId="107" xfId="0" applyNumberFormat="1" applyFont="1" applyFill="1" applyBorder="1" applyAlignment="1" applyProtection="1">
      <alignment vertical="center"/>
      <protection locked="0"/>
    </xf>
    <xf numFmtId="166" fontId="3" fillId="6" borderId="26" xfId="0" applyNumberFormat="1" applyFont="1" applyFill="1" applyBorder="1" applyAlignment="1" applyProtection="1">
      <alignment vertical="center" wrapText="1"/>
      <protection locked="0"/>
    </xf>
    <xf numFmtId="166" fontId="3" fillId="6" borderId="120" xfId="0" applyNumberFormat="1" applyFont="1" applyFill="1" applyBorder="1" applyAlignment="1" applyProtection="1">
      <alignment vertical="center" wrapText="1"/>
      <protection locked="0"/>
    </xf>
    <xf numFmtId="166" fontId="3" fillId="6" borderId="109" xfId="0" applyNumberFormat="1" applyFont="1" applyFill="1" applyBorder="1" applyAlignment="1" applyProtection="1">
      <alignment vertical="center" wrapText="1"/>
      <protection locked="0"/>
    </xf>
    <xf numFmtId="166" fontId="0" fillId="10" borderId="27" xfId="0" applyNumberFormat="1" applyFill="1" applyBorder="1" applyAlignment="1" applyProtection="1">
      <alignment vertical="center" wrapText="1"/>
      <protection locked="0"/>
    </xf>
    <xf numFmtId="166" fontId="3" fillId="6" borderId="27" xfId="0" applyNumberFormat="1" applyFont="1" applyFill="1" applyBorder="1" applyAlignment="1" applyProtection="1">
      <alignment vertical="center" wrapText="1"/>
      <protection locked="0"/>
    </xf>
    <xf numFmtId="166" fontId="3" fillId="6" borderId="107" xfId="0" applyNumberFormat="1" applyFont="1" applyFill="1" applyBorder="1" applyAlignment="1" applyProtection="1">
      <alignment vertical="center" wrapText="1"/>
      <protection locked="0"/>
    </xf>
    <xf numFmtId="166" fontId="3" fillId="6" borderId="34" xfId="0" applyNumberFormat="1" applyFont="1" applyFill="1" applyBorder="1" applyAlignment="1" applyProtection="1">
      <alignment vertical="center" wrapText="1"/>
      <protection locked="0"/>
    </xf>
    <xf numFmtId="166" fontId="3" fillId="6" borderId="121" xfId="0" applyNumberFormat="1" applyFont="1" applyFill="1" applyBorder="1" applyAlignment="1" applyProtection="1">
      <alignment vertical="center" wrapText="1"/>
      <protection locked="0"/>
    </xf>
    <xf numFmtId="166" fontId="3" fillId="6" borderId="35" xfId="0" applyNumberFormat="1" applyFont="1" applyFill="1" applyBorder="1" applyAlignment="1" applyProtection="1">
      <alignment vertical="center" wrapText="1"/>
      <protection locked="0"/>
    </xf>
    <xf numFmtId="166" fontId="3" fillId="6" borderId="111" xfId="0" applyNumberFormat="1" applyFont="1" applyFill="1" applyBorder="1" applyAlignment="1" applyProtection="1">
      <alignment vertical="center" wrapText="1"/>
      <protection locked="0"/>
    </xf>
    <xf numFmtId="166" fontId="3" fillId="6" borderId="25" xfId="0" applyNumberFormat="1" applyFont="1" applyFill="1" applyBorder="1" applyAlignment="1" applyProtection="1">
      <alignment vertical="center" wrapText="1"/>
      <protection locked="0"/>
    </xf>
    <xf numFmtId="166" fontId="3" fillId="6" borderId="122" xfId="0" applyNumberFormat="1" applyFont="1" applyFill="1" applyBorder="1" applyAlignment="1" applyProtection="1">
      <alignment vertical="center" wrapText="1"/>
      <protection locked="0"/>
    </xf>
    <xf numFmtId="166" fontId="6" fillId="5" borderId="30" xfId="0" applyNumberFormat="1" applyFont="1" applyFill="1" applyBorder="1" applyProtection="1">
      <protection locked="0"/>
    </xf>
    <xf numFmtId="166" fontId="6" fillId="5" borderId="123" xfId="0" applyNumberFormat="1" applyFont="1" applyFill="1" applyBorder="1" applyProtection="1">
      <protection locked="0"/>
    </xf>
    <xf numFmtId="166" fontId="6" fillId="5" borderId="31" xfId="0" applyNumberFormat="1" applyFont="1" applyFill="1" applyBorder="1" applyProtection="1">
      <protection locked="0"/>
    </xf>
    <xf numFmtId="166" fontId="6" fillId="5" borderId="29" xfId="0" applyNumberFormat="1" applyFont="1" applyFill="1" applyBorder="1" applyProtection="1">
      <protection locked="0"/>
    </xf>
    <xf numFmtId="166" fontId="3" fillId="6" borderId="30" xfId="0" applyNumberFormat="1" applyFont="1" applyFill="1" applyBorder="1" applyAlignment="1" applyProtection="1">
      <alignment vertical="center" wrapText="1"/>
      <protection locked="0"/>
    </xf>
    <xf numFmtId="166" fontId="3" fillId="6" borderId="123" xfId="0" applyNumberFormat="1" applyFont="1" applyFill="1" applyBorder="1" applyAlignment="1" applyProtection="1">
      <alignment vertical="center" wrapText="1"/>
      <protection locked="0"/>
    </xf>
    <xf numFmtId="166" fontId="3" fillId="6" borderId="115" xfId="0" applyNumberFormat="1" applyFont="1" applyFill="1" applyBorder="1" applyAlignment="1" applyProtection="1">
      <alignment vertical="center" wrapText="1"/>
      <protection locked="0"/>
    </xf>
    <xf numFmtId="166" fontId="3" fillId="6" borderId="124" xfId="0" applyNumberFormat="1" applyFont="1" applyFill="1" applyBorder="1" applyAlignment="1" applyProtection="1">
      <alignment vertical="center" wrapText="1"/>
      <protection locked="0"/>
    </xf>
    <xf numFmtId="166" fontId="6" fillId="11" borderId="118" xfId="1" applyNumberFormat="1" applyFont="1" applyFill="1" applyBorder="1" applyAlignment="1" applyProtection="1">
      <alignment horizontal="right" wrapText="1"/>
      <protection locked="0"/>
    </xf>
    <xf numFmtId="166" fontId="3" fillId="7" borderId="9" xfId="1" applyNumberFormat="1" applyFont="1" applyFill="1" applyBorder="1" applyAlignment="1" applyProtection="1">
      <alignment horizontal="right" vertical="center" wrapText="1"/>
    </xf>
    <xf numFmtId="166" fontId="3" fillId="7" borderId="24" xfId="1" applyNumberFormat="1" applyFont="1" applyFill="1" applyBorder="1" applyAlignment="1" applyProtection="1">
      <alignment horizontal="right" vertical="center" wrapText="1"/>
    </xf>
    <xf numFmtId="166" fontId="3" fillId="2" borderId="25" xfId="1" applyNumberFormat="1" applyFont="1" applyFill="1" applyBorder="1" applyAlignment="1" applyProtection="1">
      <alignment horizontal="right" vertical="center" wrapText="1"/>
    </xf>
    <xf numFmtId="166" fontId="3" fillId="2" borderId="10" xfId="1" applyNumberFormat="1" applyFont="1" applyFill="1" applyBorder="1" applyAlignment="1" applyProtection="1">
      <alignment horizontal="right" vertical="center" wrapText="1"/>
    </xf>
    <xf numFmtId="166" fontId="3" fillId="2" borderId="11" xfId="1" applyNumberFormat="1" applyFont="1" applyFill="1" applyBorder="1" applyAlignment="1" applyProtection="1">
      <alignment horizontal="right" vertical="center" wrapText="1"/>
    </xf>
    <xf numFmtId="166" fontId="6" fillId="5" borderId="28" xfId="0" applyNumberFormat="1" applyFont="1" applyFill="1" applyBorder="1" applyAlignment="1">
      <alignment horizontal="left"/>
    </xf>
    <xf numFmtId="166" fontId="6" fillId="5" borderId="29" xfId="0" applyNumberFormat="1" applyFont="1" applyFill="1" applyBorder="1" applyAlignment="1">
      <alignment horizontal="left"/>
    </xf>
    <xf numFmtId="166" fontId="6" fillId="5" borderId="30" xfId="0" applyNumberFormat="1" applyFont="1" applyFill="1" applyBorder="1" applyAlignment="1">
      <alignment horizontal="left"/>
    </xf>
    <xf numFmtId="166" fontId="6" fillId="5" borderId="31" xfId="0" applyNumberFormat="1" applyFont="1" applyFill="1" applyBorder="1" applyAlignment="1">
      <alignment horizontal="left"/>
    </xf>
    <xf numFmtId="166" fontId="6" fillId="5" borderId="32" xfId="0" applyNumberFormat="1" applyFont="1" applyFill="1" applyBorder="1" applyAlignment="1">
      <alignment horizontal="left"/>
    </xf>
    <xf numFmtId="166" fontId="3" fillId="7" borderId="28" xfId="1" applyNumberFormat="1" applyFont="1" applyFill="1" applyBorder="1" applyAlignment="1" applyProtection="1">
      <alignment horizontal="right" wrapText="1"/>
    </xf>
    <xf numFmtId="166" fontId="3" fillId="7" borderId="29" xfId="1" applyNumberFormat="1" applyFont="1" applyFill="1" applyBorder="1" applyAlignment="1" applyProtection="1">
      <alignment horizontal="right" wrapText="1"/>
    </xf>
    <xf numFmtId="166" fontId="3" fillId="2" borderId="30" xfId="1" applyNumberFormat="1" applyFont="1" applyFill="1" applyBorder="1" applyAlignment="1" applyProtection="1">
      <alignment horizontal="right" wrapText="1"/>
    </xf>
    <xf numFmtId="166" fontId="3" fillId="2" borderId="33" xfId="1" applyNumberFormat="1" applyFont="1" applyFill="1" applyBorder="1" applyAlignment="1" applyProtection="1">
      <alignment horizontal="right" wrapText="1"/>
    </xf>
    <xf numFmtId="166" fontId="3" fillId="7" borderId="18" xfId="1" applyNumberFormat="1" applyFont="1" applyFill="1" applyBorder="1" applyAlignment="1" applyProtection="1">
      <alignment horizontal="right" wrapText="1"/>
    </xf>
    <xf numFmtId="166" fontId="3" fillId="7" borderId="19" xfId="1" applyNumberFormat="1" applyFont="1" applyFill="1" applyBorder="1" applyAlignment="1" applyProtection="1">
      <alignment horizontal="right" wrapText="1"/>
    </xf>
    <xf numFmtId="166" fontId="3" fillId="2" borderId="14" xfId="1" applyNumberFormat="1" applyFont="1" applyFill="1" applyBorder="1" applyAlignment="1" applyProtection="1">
      <alignment horizontal="right" wrapText="1"/>
    </xf>
    <xf numFmtId="166" fontId="3" fillId="2" borderId="36" xfId="1" applyNumberFormat="1" applyFont="1" applyFill="1" applyBorder="1" applyAlignment="1" applyProtection="1">
      <alignment horizontal="right" wrapText="1"/>
    </xf>
    <xf numFmtId="166" fontId="3" fillId="2" borderId="24" xfId="0" applyNumberFormat="1" applyFont="1" applyFill="1" applyBorder="1" applyAlignment="1">
      <alignment horizontal="right" vertical="center"/>
    </xf>
    <xf numFmtId="166" fontId="3" fillId="2" borderId="25" xfId="0" applyNumberFormat="1" applyFont="1" applyFill="1" applyBorder="1" applyAlignment="1">
      <alignment horizontal="right" vertical="center"/>
    </xf>
    <xf numFmtId="166" fontId="3" fillId="2" borderId="10" xfId="0" applyNumberFormat="1" applyFont="1" applyFill="1" applyBorder="1" applyAlignment="1">
      <alignment horizontal="right" vertical="center"/>
    </xf>
    <xf numFmtId="166" fontId="3" fillId="2" borderId="29" xfId="0" applyNumberFormat="1" applyFont="1" applyFill="1" applyBorder="1" applyAlignment="1">
      <alignment horizontal="right" vertical="center"/>
    </xf>
    <xf numFmtId="166" fontId="3" fillId="2" borderId="30" xfId="0" applyNumberFormat="1" applyFont="1" applyFill="1" applyBorder="1" applyAlignment="1">
      <alignment horizontal="right" vertical="center"/>
    </xf>
    <xf numFmtId="166" fontId="3" fillId="2" borderId="18" xfId="0" applyNumberFormat="1" applyFont="1" applyFill="1" applyBorder="1" applyAlignment="1">
      <alignment horizontal="right" vertical="center"/>
    </xf>
    <xf numFmtId="166" fontId="3" fillId="2" borderId="19" xfId="0" applyNumberFormat="1" applyFont="1" applyFill="1" applyBorder="1" applyAlignment="1">
      <alignment horizontal="right" vertical="center"/>
    </xf>
    <xf numFmtId="166" fontId="3" fillId="2" borderId="14" xfId="0" applyNumberFormat="1" applyFont="1" applyFill="1" applyBorder="1" applyAlignment="1">
      <alignment horizontal="right" vertical="center"/>
    </xf>
    <xf numFmtId="166" fontId="3" fillId="2" borderId="39" xfId="0" applyNumberFormat="1" applyFont="1" applyFill="1" applyBorder="1" applyAlignment="1">
      <alignment horizontal="right" vertical="center"/>
    </xf>
    <xf numFmtId="166" fontId="3" fillId="2" borderId="12" xfId="0" applyNumberFormat="1" applyFont="1" applyFill="1" applyBorder="1" applyAlignment="1">
      <alignment horizontal="right" vertical="center"/>
    </xf>
    <xf numFmtId="166" fontId="3" fillId="2" borderId="53" xfId="0" applyNumberFormat="1" applyFont="1" applyFill="1" applyBorder="1" applyAlignment="1">
      <alignment horizontal="right" vertical="center"/>
    </xf>
    <xf numFmtId="166" fontId="3" fillId="2" borderId="11" xfId="0" applyNumberFormat="1" applyFont="1" applyFill="1" applyBorder="1" applyAlignment="1">
      <alignment horizontal="right" vertical="center"/>
    </xf>
    <xf numFmtId="166" fontId="3" fillId="16" borderId="0" xfId="0" applyNumberFormat="1" applyFont="1" applyFill="1" applyAlignment="1">
      <alignment horizontal="right" vertical="center"/>
    </xf>
    <xf numFmtId="166" fontId="0" fillId="9" borderId="40" xfId="0" applyNumberFormat="1" applyFill="1" applyBorder="1"/>
    <xf numFmtId="166" fontId="3" fillId="16" borderId="0" xfId="0" applyNumberFormat="1" applyFont="1" applyFill="1" applyAlignment="1">
      <alignment horizontal="left" vertical="center"/>
    </xf>
    <xf numFmtId="166" fontId="3" fillId="2" borderId="54" xfId="0" applyNumberFormat="1" applyFont="1" applyFill="1" applyBorder="1" applyAlignment="1">
      <alignment horizontal="right" vertical="center"/>
    </xf>
    <xf numFmtId="166" fontId="3" fillId="2" borderId="31" xfId="0" applyNumberFormat="1" applyFont="1" applyFill="1" applyBorder="1" applyAlignment="1">
      <alignment horizontal="right" vertical="center"/>
    </xf>
    <xf numFmtId="166" fontId="3" fillId="2" borderId="13" xfId="0" applyNumberFormat="1" applyFont="1" applyFill="1" applyBorder="1" applyAlignment="1">
      <alignment horizontal="right" vertical="center"/>
    </xf>
    <xf numFmtId="166" fontId="3" fillId="2" borderId="55" xfId="0" applyNumberFormat="1" applyFont="1" applyFill="1" applyBorder="1" applyAlignment="1">
      <alignment horizontal="right" vertical="center"/>
    </xf>
    <xf numFmtId="166" fontId="3" fillId="16" borderId="46" xfId="0" applyNumberFormat="1" applyFont="1" applyFill="1" applyBorder="1" applyAlignment="1">
      <alignment horizontal="right" vertical="center"/>
    </xf>
    <xf numFmtId="166" fontId="3" fillId="2" borderId="56" xfId="0" applyNumberFormat="1" applyFont="1" applyFill="1" applyBorder="1" applyAlignment="1">
      <alignment horizontal="right" vertical="center"/>
    </xf>
    <xf numFmtId="166" fontId="3" fillId="2" borderId="57" xfId="0" applyNumberFormat="1" applyFont="1" applyFill="1" applyBorder="1" applyAlignment="1">
      <alignment horizontal="right" vertical="center"/>
    </xf>
    <xf numFmtId="166" fontId="3" fillId="2" borderId="58" xfId="0" applyNumberFormat="1" applyFont="1" applyFill="1" applyBorder="1" applyAlignment="1">
      <alignment horizontal="right" vertical="center"/>
    </xf>
    <xf numFmtId="166" fontId="3" fillId="2" borderId="59" xfId="0" applyNumberFormat="1" applyFont="1" applyFill="1" applyBorder="1" applyAlignment="1">
      <alignment horizontal="right" vertical="center"/>
    </xf>
    <xf numFmtId="166" fontId="3" fillId="2" borderId="60" xfId="0" applyNumberFormat="1" applyFont="1" applyFill="1" applyBorder="1" applyAlignment="1">
      <alignment horizontal="right" vertical="center"/>
    </xf>
    <xf numFmtId="166" fontId="3" fillId="2" borderId="61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166" fontId="0" fillId="0" borderId="0" xfId="0" applyNumberFormat="1"/>
    <xf numFmtId="168" fontId="3" fillId="16" borderId="0" xfId="0" applyNumberFormat="1" applyFont="1" applyFill="1" applyBorder="1" applyAlignment="1">
      <alignment horizontal="right" vertical="center"/>
    </xf>
    <xf numFmtId="166" fontId="3" fillId="16" borderId="0" xfId="0" applyNumberFormat="1" applyFont="1" applyFill="1" applyBorder="1" applyAlignment="1">
      <alignment horizontal="right" vertical="center"/>
    </xf>
    <xf numFmtId="0" fontId="17" fillId="17" borderId="87" xfId="0" applyFont="1" applyFill="1" applyBorder="1"/>
    <xf numFmtId="0" fontId="17" fillId="17" borderId="88" xfId="0" applyFont="1" applyFill="1" applyBorder="1" applyAlignment="1">
      <alignment wrapText="1"/>
    </xf>
    <xf numFmtId="168" fontId="17" fillId="17" borderId="88" xfId="0" applyNumberFormat="1" applyFont="1" applyFill="1" applyBorder="1" applyAlignment="1">
      <alignment horizontal="right"/>
    </xf>
    <xf numFmtId="166" fontId="17" fillId="17" borderId="88" xfId="0" applyNumberFormat="1" applyFont="1" applyFill="1" applyBorder="1" applyAlignment="1">
      <alignment horizontal="right"/>
    </xf>
    <xf numFmtId="166" fontId="17" fillId="17" borderId="126" xfId="0" applyNumberFormat="1" applyFont="1" applyFill="1" applyBorder="1" applyAlignment="1">
      <alignment horizontal="right"/>
    </xf>
    <xf numFmtId="166" fontId="17" fillId="17" borderId="127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166" fontId="6" fillId="2" borderId="0" xfId="0" applyNumberFormat="1" applyFont="1" applyFill="1" applyBorder="1" applyAlignment="1">
      <alignment horizontal="left" wrapText="1"/>
    </xf>
    <xf numFmtId="0" fontId="17" fillId="17" borderId="87" xfId="0" applyFont="1" applyFill="1" applyBorder="1" applyAlignment="1">
      <alignment vertical="center"/>
    </xf>
    <xf numFmtId="0" fontId="17" fillId="17" borderId="88" xfId="0" applyFont="1" applyFill="1" applyBorder="1" applyAlignment="1">
      <alignment vertical="center"/>
    </xf>
    <xf numFmtId="2" fontId="6" fillId="17" borderId="88" xfId="0" applyNumberFormat="1" applyFont="1" applyFill="1" applyBorder="1" applyAlignment="1">
      <alignment horizontal="right"/>
    </xf>
    <xf numFmtId="166" fontId="6" fillId="17" borderId="88" xfId="0" applyNumberFormat="1" applyFont="1" applyFill="1" applyBorder="1" applyAlignment="1">
      <alignment horizontal="right"/>
    </xf>
    <xf numFmtId="0" fontId="10" fillId="5" borderId="136" xfId="0" applyFont="1" applyFill="1" applyBorder="1" applyAlignment="1">
      <alignment horizontal="left" vertical="center"/>
    </xf>
    <xf numFmtId="0" fontId="10" fillId="5" borderId="137" xfId="0" applyFont="1" applyFill="1" applyBorder="1" applyAlignment="1">
      <alignment horizontal="left" vertical="center"/>
    </xf>
    <xf numFmtId="0" fontId="10" fillId="5" borderId="138" xfId="0" applyFont="1" applyFill="1" applyBorder="1" applyAlignment="1">
      <alignment horizontal="left" vertical="center"/>
    </xf>
    <xf numFmtId="0" fontId="13" fillId="2" borderId="139" xfId="0" applyFont="1" applyFill="1" applyBorder="1" applyAlignment="1">
      <alignment vertical="center" wrapText="1"/>
    </xf>
    <xf numFmtId="0" fontId="3" fillId="0" borderId="142" xfId="0" applyFont="1" applyBorder="1" applyAlignment="1">
      <alignment horizontal="left" vertical="center" wrapText="1" indent="1"/>
    </xf>
    <xf numFmtId="0" fontId="6" fillId="8" borderId="143" xfId="0" applyFont="1" applyFill="1" applyBorder="1" applyAlignment="1">
      <alignment horizontal="right" vertical="center"/>
    </xf>
    <xf numFmtId="0" fontId="3" fillId="0" borderId="144" xfId="0" applyFont="1" applyBorder="1" applyAlignment="1">
      <alignment horizontal="left" vertical="center" wrapText="1" indent="1"/>
    </xf>
    <xf numFmtId="166" fontId="6" fillId="5" borderId="145" xfId="0" applyNumberFormat="1" applyFont="1" applyFill="1" applyBorder="1" applyProtection="1">
      <protection locked="0"/>
    </xf>
    <xf numFmtId="0" fontId="12" fillId="9" borderId="146" xfId="0" applyFont="1" applyFill="1" applyBorder="1" applyAlignment="1">
      <alignment horizontal="left" vertical="center" wrapText="1" indent="1"/>
    </xf>
    <xf numFmtId="166" fontId="6" fillId="5" borderId="147" xfId="0" applyNumberFormat="1" applyFont="1" applyFill="1" applyBorder="1" applyProtection="1">
      <protection locked="0"/>
    </xf>
    <xf numFmtId="0" fontId="3" fillId="0" borderId="146" xfId="0" applyFont="1" applyBorder="1" applyAlignment="1">
      <alignment horizontal="left" vertical="center" wrapText="1" indent="3"/>
    </xf>
    <xf numFmtId="0" fontId="3" fillId="0" borderId="146" xfId="0" applyFont="1" applyBorder="1" applyAlignment="1">
      <alignment horizontal="left" vertical="center" wrapText="1" indent="1"/>
    </xf>
    <xf numFmtId="0" fontId="3" fillId="0" borderId="148" xfId="0" applyFont="1" applyBorder="1" applyAlignment="1">
      <alignment horizontal="left" vertical="center" wrapText="1" indent="1"/>
    </xf>
    <xf numFmtId="0" fontId="6" fillId="5" borderId="151" xfId="0" applyFont="1" applyFill="1" applyBorder="1" applyAlignment="1">
      <alignment horizontal="right" vertical="center"/>
    </xf>
    <xf numFmtId="166" fontId="3" fillId="2" borderId="152" xfId="0" applyNumberFormat="1" applyFont="1" applyFill="1" applyBorder="1" applyAlignment="1">
      <alignment horizontal="right" vertical="center"/>
    </xf>
    <xf numFmtId="166" fontId="6" fillId="5" borderId="153" xfId="0" applyNumberFormat="1" applyFont="1" applyFill="1" applyBorder="1" applyAlignment="1">
      <alignment horizontal="left"/>
    </xf>
    <xf numFmtId="166" fontId="6" fillId="5" borderId="154" xfId="0" applyNumberFormat="1" applyFont="1" applyFill="1" applyBorder="1" applyAlignment="1">
      <alignment horizontal="left"/>
    </xf>
    <xf numFmtId="166" fontId="6" fillId="5" borderId="86" xfId="0" applyNumberFormat="1" applyFont="1" applyFill="1" applyBorder="1" applyAlignment="1">
      <alignment horizontal="right"/>
    </xf>
    <xf numFmtId="166" fontId="3" fillId="2" borderId="154" xfId="0" applyNumberFormat="1" applyFont="1" applyFill="1" applyBorder="1" applyAlignment="1">
      <alignment horizontal="right" vertical="center"/>
    </xf>
    <xf numFmtId="166" fontId="4" fillId="5" borderId="86" xfId="0" applyNumberFormat="1" applyFont="1" applyFill="1" applyBorder="1"/>
    <xf numFmtId="166" fontId="3" fillId="2" borderId="151" xfId="0" applyNumberFormat="1" applyFont="1" applyFill="1" applyBorder="1" applyAlignment="1">
      <alignment horizontal="right" vertical="center"/>
    </xf>
    <xf numFmtId="166" fontId="4" fillId="5" borderId="155" xfId="0" applyNumberFormat="1" applyFont="1" applyFill="1" applyBorder="1"/>
    <xf numFmtId="166" fontId="6" fillId="11" borderId="156" xfId="1" applyNumberFormat="1" applyFont="1" applyFill="1" applyBorder="1" applyAlignment="1" applyProtection="1">
      <alignment horizontal="right" wrapText="1"/>
    </xf>
    <xf numFmtId="166" fontId="6" fillId="11" borderId="113" xfId="1" applyNumberFormat="1" applyFont="1" applyFill="1" applyBorder="1" applyAlignment="1" applyProtection="1">
      <alignment horizontal="right" wrapText="1"/>
    </xf>
    <xf numFmtId="166" fontId="6" fillId="11" borderId="157" xfId="1" applyNumberFormat="1" applyFont="1" applyFill="1" applyBorder="1" applyAlignment="1" applyProtection="1">
      <alignment horizontal="right" wrapText="1"/>
    </xf>
    <xf numFmtId="167" fontId="7" fillId="6" borderId="159" xfId="0" applyNumberFormat="1" applyFont="1" applyFill="1" applyBorder="1" applyAlignment="1" applyProtection="1">
      <alignment horizontal="center"/>
      <protection locked="0"/>
    </xf>
    <xf numFmtId="166" fontId="15" fillId="13" borderId="160" xfId="0" applyNumberFormat="1" applyFont="1" applyFill="1" applyBorder="1" applyProtection="1">
      <protection locked="0"/>
    </xf>
    <xf numFmtId="166" fontId="2" fillId="6" borderId="15" xfId="0" applyNumberFormat="1" applyFont="1" applyFill="1" applyBorder="1" applyProtection="1">
      <protection locked="0"/>
    </xf>
    <xf numFmtId="0" fontId="6" fillId="15" borderId="133" xfId="0" applyFont="1" applyFill="1" applyBorder="1" applyAlignment="1">
      <alignment horizontal="center" vertical="center"/>
    </xf>
    <xf numFmtId="0" fontId="6" fillId="15" borderId="134" xfId="0" applyFont="1" applyFill="1" applyBorder="1" applyAlignment="1">
      <alignment horizontal="center" vertical="center"/>
    </xf>
    <xf numFmtId="0" fontId="6" fillId="15" borderId="135" xfId="0" applyFont="1" applyFill="1" applyBorder="1" applyAlignment="1">
      <alignment horizontal="center" vertical="center"/>
    </xf>
    <xf numFmtId="164" fontId="21" fillId="21" borderId="68" xfId="0" applyNumberFormat="1" applyFont="1" applyFill="1" applyBorder="1" applyAlignment="1">
      <alignment horizontal="center" vertical="center"/>
    </xf>
    <xf numFmtId="164" fontId="21" fillId="21" borderId="69" xfId="0" applyNumberFormat="1" applyFont="1" applyFill="1" applyBorder="1" applyAlignment="1">
      <alignment horizontal="center" vertical="center"/>
    </xf>
    <xf numFmtId="164" fontId="21" fillId="21" borderId="7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14" fillId="12" borderId="128" xfId="0" applyFont="1" applyFill="1" applyBorder="1" applyAlignment="1">
      <alignment horizontal="center" vertical="center" wrapText="1"/>
    </xf>
    <xf numFmtId="0" fontId="14" fillId="12" borderId="129" xfId="0" applyFont="1" applyFill="1" applyBorder="1" applyAlignment="1">
      <alignment horizontal="center" vertical="center" wrapText="1"/>
    </xf>
    <xf numFmtId="0" fontId="14" fillId="12" borderId="130" xfId="0" applyFont="1" applyFill="1" applyBorder="1" applyAlignment="1">
      <alignment horizontal="center" vertical="center" wrapText="1"/>
    </xf>
    <xf numFmtId="0" fontId="14" fillId="12" borderId="131" xfId="0" applyFont="1" applyFill="1" applyBorder="1" applyAlignment="1">
      <alignment horizontal="center" vertical="center" wrapText="1"/>
    </xf>
    <xf numFmtId="0" fontId="14" fillId="12" borderId="158" xfId="0" applyFont="1" applyFill="1" applyBorder="1" applyAlignment="1">
      <alignment horizontal="center" vertical="center" wrapText="1"/>
    </xf>
    <xf numFmtId="0" fontId="14" fillId="12" borderId="132" xfId="0" applyFont="1" applyFill="1" applyBorder="1" applyAlignment="1">
      <alignment horizontal="center" vertical="center" wrapText="1"/>
    </xf>
    <xf numFmtId="0" fontId="7" fillId="8" borderId="96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14" borderId="47" xfId="0" applyFont="1" applyFill="1" applyBorder="1" applyAlignment="1">
      <alignment horizontal="center" vertical="center" wrapText="1"/>
    </xf>
    <xf numFmtId="0" fontId="7" fillId="14" borderId="48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0" fontId="3" fillId="2" borderId="12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94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7" fillId="5" borderId="92" xfId="0" applyFont="1" applyFill="1" applyBorder="1" applyAlignment="1">
      <alignment horizontal="center"/>
    </xf>
    <xf numFmtId="0" fontId="7" fillId="5" borderId="93" xfId="0" applyFont="1" applyFill="1" applyBorder="1" applyAlignment="1">
      <alignment horizontal="center"/>
    </xf>
    <xf numFmtId="0" fontId="7" fillId="8" borderId="89" xfId="0" applyFont="1" applyFill="1" applyBorder="1" applyAlignment="1">
      <alignment horizontal="center"/>
    </xf>
    <xf numFmtId="0" fontId="7" fillId="8" borderId="90" xfId="0" applyFont="1" applyFill="1" applyBorder="1" applyAlignment="1">
      <alignment horizontal="center"/>
    </xf>
    <xf numFmtId="0" fontId="7" fillId="8" borderId="9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40" xfId="0" applyFont="1" applyFill="1" applyBorder="1" applyAlignment="1">
      <alignment horizontal="center" vertical="center"/>
    </xf>
    <xf numFmtId="0" fontId="6" fillId="8" borderId="149" xfId="0" applyFont="1" applyFill="1" applyBorder="1" applyAlignment="1">
      <alignment horizontal="center" vertical="center"/>
    </xf>
    <xf numFmtId="0" fontId="6" fillId="8" borderId="140" xfId="0" applyFont="1" applyFill="1" applyBorder="1" applyAlignment="1">
      <alignment horizontal="center" vertical="center"/>
    </xf>
    <xf numFmtId="0" fontId="7" fillId="8" borderId="141" xfId="0" applyFont="1" applyFill="1" applyBorder="1" applyAlignment="1">
      <alignment horizontal="center"/>
    </xf>
    <xf numFmtId="0" fontId="7" fillId="5" borderId="150" xfId="0" applyFont="1" applyFill="1" applyBorder="1" applyAlignment="1">
      <alignment horizontal="center"/>
    </xf>
  </cellXfs>
  <cellStyles count="8">
    <cellStyle name="dms_Row1" xfId="5" xr:uid="{54F87D52-3B83-47B0-913D-CC1000947A6D}"/>
    <cellStyle name="Normal" xfId="0" builtinId="0"/>
    <cellStyle name="Normal 10" xfId="2" xr:uid="{A70C61D6-B574-482A-9D71-8413CE21258C}"/>
    <cellStyle name="Normal 3 5" xfId="6" xr:uid="{71CF5992-4BD9-4E7B-8B4E-AC12A79400C4}"/>
    <cellStyle name="Percent" xfId="1" builtinId="5"/>
    <cellStyle name="Percent 2" xfId="7" xr:uid="{0A6BAF22-29B8-4E68-9644-7EE697F2E25E}"/>
    <cellStyle name="TableLvl2" xfId="3" xr:uid="{1FCBEC77-1F64-4A70-8B8E-8011315EDC3F}"/>
    <cellStyle name="TableLvl3" xfId="4" xr:uid="{9318D6DF-6583-4022-B7AA-C6975D5499CC}"/>
  </cellStyles>
  <dxfs count="6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555D-E53C-4CA7-894F-29A468AA0AA7}">
  <dimension ref="A1:JZ82"/>
  <sheetViews>
    <sheetView tabSelected="1" zoomScale="70" zoomScaleNormal="70" workbookViewId="0">
      <selection activeCell="C42" sqref="C42"/>
    </sheetView>
  </sheetViews>
  <sheetFormatPr defaultColWidth="0" defaultRowHeight="15" customHeight="1" zeroHeight="1"/>
  <cols>
    <col min="1" max="1" width="81.7109375" style="1" customWidth="1"/>
    <col min="2" max="23" width="12.28515625" style="1" customWidth="1"/>
    <col min="24" max="25" width="12.28515625" customWidth="1"/>
    <col min="26" max="28" width="12.28515625" hidden="1" customWidth="1"/>
    <col min="29" max="29" width="0" hidden="1" customWidth="1"/>
    <col min="30" max="286" width="0" style="1" hidden="1" customWidth="1"/>
    <col min="287" max="16384" width="9.28515625" style="1" hidden="1"/>
  </cols>
  <sheetData>
    <row r="1" spans="1:285" s="51" customFormat="1" ht="16.5" thickBot="1">
      <c r="A1" s="47" t="s">
        <v>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  <c r="W1" s="1"/>
      <c r="X1" s="1"/>
      <c r="Y1" s="1"/>
    </row>
    <row r="2" spans="1:285" s="53" customFormat="1" ht="15.75">
      <c r="A2" s="52"/>
      <c r="B2" s="212" t="s">
        <v>1</v>
      </c>
      <c r="C2" s="213"/>
      <c r="D2" s="213"/>
      <c r="E2" s="213"/>
      <c r="F2" s="213"/>
      <c r="G2" s="213"/>
      <c r="H2" s="213"/>
      <c r="I2" s="213"/>
      <c r="J2" s="213"/>
      <c r="K2" s="213"/>
      <c r="L2" s="213" t="s">
        <v>2</v>
      </c>
      <c r="M2" s="214"/>
      <c r="W2" s="1"/>
      <c r="X2" s="1"/>
      <c r="Y2" s="1"/>
    </row>
    <row r="3" spans="1:285" s="51" customFormat="1" ht="16.5" thickBot="1">
      <c r="A3" s="52"/>
      <c r="B3" s="54" t="s">
        <v>51</v>
      </c>
      <c r="C3" s="55" t="s">
        <v>52</v>
      </c>
      <c r="D3" s="55" t="s">
        <v>42</v>
      </c>
      <c r="E3" s="55" t="s">
        <v>35</v>
      </c>
      <c r="F3" s="55" t="s">
        <v>44</v>
      </c>
      <c r="G3" s="55" t="s">
        <v>7</v>
      </c>
      <c r="H3" s="55" t="s">
        <v>36</v>
      </c>
      <c r="I3" s="55" t="s">
        <v>45</v>
      </c>
      <c r="J3" s="55" t="s">
        <v>31</v>
      </c>
      <c r="K3" s="55" t="s">
        <v>23</v>
      </c>
      <c r="L3" s="55" t="s">
        <v>28</v>
      </c>
      <c r="M3" s="56" t="s">
        <v>32</v>
      </c>
      <c r="W3" s="1"/>
      <c r="X3" s="1"/>
      <c r="Y3" s="1"/>
    </row>
    <row r="4" spans="1:285" s="51" customFormat="1">
      <c r="A4" s="57" t="s">
        <v>3</v>
      </c>
      <c r="B4" s="58"/>
      <c r="C4" s="59">
        <v>107.5</v>
      </c>
      <c r="D4" s="59">
        <v>108.6</v>
      </c>
      <c r="E4" s="59">
        <v>110.7</v>
      </c>
      <c r="F4" s="59">
        <v>113</v>
      </c>
      <c r="G4" s="59">
        <v>114.8</v>
      </c>
      <c r="H4" s="59">
        <v>114.4</v>
      </c>
      <c r="I4" s="59">
        <v>118.8</v>
      </c>
      <c r="J4" s="59">
        <v>126.1</v>
      </c>
      <c r="K4" s="59">
        <v>133.69999999999999</v>
      </c>
      <c r="L4" s="59">
        <v>138.80000000000001</v>
      </c>
      <c r="M4" s="46">
        <v>142.13120000000001</v>
      </c>
      <c r="W4" s="1"/>
      <c r="X4" s="1"/>
      <c r="Y4" s="1"/>
    </row>
    <row r="5" spans="1:285" s="51" customFormat="1">
      <c r="A5" s="60" t="s">
        <v>4</v>
      </c>
      <c r="B5" s="61"/>
      <c r="C5" s="62"/>
      <c r="D5" s="63">
        <f t="shared" ref="D5:M5" si="0">+D4/C4-1</f>
        <v>1.0232558139534831E-2</v>
      </c>
      <c r="E5" s="63">
        <f t="shared" si="0"/>
        <v>1.9337016574585641E-2</v>
      </c>
      <c r="F5" s="63">
        <f t="shared" si="0"/>
        <v>2.0776874435411097E-2</v>
      </c>
      <c r="G5" s="63">
        <f t="shared" si="0"/>
        <v>1.5929203539823078E-2</v>
      </c>
      <c r="H5" s="63">
        <f t="shared" si="0"/>
        <v>-3.4843205574912606E-3</v>
      </c>
      <c r="I5" s="63">
        <f t="shared" si="0"/>
        <v>3.8461538461538325E-2</v>
      </c>
      <c r="J5" s="63">
        <f t="shared" si="0"/>
        <v>6.1447811447811418E-2</v>
      </c>
      <c r="K5" s="63">
        <f t="shared" si="0"/>
        <v>6.0269627279936566E-2</v>
      </c>
      <c r="L5" s="63">
        <f>+L4/K4-1</f>
        <v>3.8145100972326373E-2</v>
      </c>
      <c r="M5" s="64">
        <f t="shared" si="0"/>
        <v>2.4000000000000021E-2</v>
      </c>
      <c r="W5" s="1"/>
      <c r="X5" s="1"/>
      <c r="Y5" s="1"/>
    </row>
    <row r="6" spans="1:285" s="51" customFormat="1" ht="15.75" thickBot="1">
      <c r="A6" s="65" t="s">
        <v>33</v>
      </c>
      <c r="B6" s="66"/>
      <c r="C6" s="67">
        <f t="shared" ref="C6:K6" si="1">D6/(1+D5)</f>
        <v>0.75634343479827071</v>
      </c>
      <c r="D6" s="68">
        <f t="shared" si="1"/>
        <v>0.76408276296829947</v>
      </c>
      <c r="E6" s="68">
        <f t="shared" si="1"/>
        <v>0.77885784402017266</v>
      </c>
      <c r="F6" s="68">
        <f t="shared" si="1"/>
        <v>0.79504007564841483</v>
      </c>
      <c r="G6" s="68">
        <f t="shared" si="1"/>
        <v>0.80770443083573473</v>
      </c>
      <c r="H6" s="68">
        <f>I6/(1+I5)</f>
        <v>0.804890129682997</v>
      </c>
      <c r="I6" s="68">
        <f>J6/(1+J5)</f>
        <v>0.83584744236311215</v>
      </c>
      <c r="J6" s="68">
        <f>K6/(1+K5)</f>
        <v>0.88720843840057606</v>
      </c>
      <c r="K6" s="68">
        <f t="shared" si="1"/>
        <v>0.94068016030259338</v>
      </c>
      <c r="L6" s="68">
        <f>M6/(1+M5)</f>
        <v>0.9765625</v>
      </c>
      <c r="M6" s="69">
        <v>1</v>
      </c>
      <c r="W6" s="1"/>
      <c r="X6" s="1"/>
      <c r="Y6" s="1"/>
    </row>
    <row r="7" spans="1:285" s="71" customFormat="1">
      <c r="A7" s="70"/>
      <c r="J7" s="72"/>
      <c r="L7" s="73"/>
      <c r="M7" s="72"/>
      <c r="W7" s="1"/>
      <c r="X7" s="1"/>
      <c r="Y7" s="1"/>
    </row>
    <row r="8" spans="1:285" s="51" customFormat="1">
      <c r="A8" s="70"/>
      <c r="W8" s="1"/>
      <c r="X8" s="1"/>
      <c r="Y8" s="1"/>
    </row>
    <row r="9" spans="1:285" s="71" customFormat="1">
      <c r="A9" s="70"/>
      <c r="J9" s="72"/>
      <c r="L9" s="73"/>
      <c r="M9" s="72"/>
      <c r="W9" s="1"/>
      <c r="X9" s="1"/>
      <c r="Y9" s="1"/>
    </row>
    <row r="10" spans="1:285" customFormat="1" ht="18.75">
      <c r="A10" s="74" t="s">
        <v>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1"/>
      <c r="X10" s="1"/>
      <c r="Y10" s="1"/>
    </row>
    <row r="11" spans="1:285" customFormat="1" ht="15.75" thickBo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1"/>
      <c r="X11" s="1"/>
      <c r="Y11" s="1"/>
    </row>
    <row r="12" spans="1:285" customFormat="1" ht="15.75" thickBot="1">
      <c r="A12" s="3" t="s">
        <v>6</v>
      </c>
      <c r="B12" s="4" t="s">
        <v>7</v>
      </c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"/>
      <c r="X12" s="1"/>
      <c r="Y12" s="1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</row>
    <row r="13" spans="1:285" customFormat="1" ht="15.75" thickBot="1">
      <c r="A13" s="3" t="s">
        <v>37</v>
      </c>
      <c r="B13" s="208">
        <v>0</v>
      </c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"/>
      <c r="X13" s="1"/>
      <c r="Y13" s="1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</row>
    <row r="14" spans="1:285" s="9" customFormat="1" ht="16.5" thickBot="1">
      <c r="A14" s="5" t="s">
        <v>8</v>
      </c>
      <c r="B14" s="6"/>
      <c r="C14" s="6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7"/>
      <c r="P14" s="8"/>
      <c r="Q14" s="51"/>
      <c r="R14" s="51"/>
      <c r="S14" s="51"/>
      <c r="T14" s="51"/>
      <c r="U14" s="51"/>
      <c r="V14" s="51"/>
      <c r="W14" s="1"/>
      <c r="X14" s="1"/>
      <c r="Y14" s="1"/>
      <c r="Z14"/>
      <c r="AA14"/>
      <c r="AB14"/>
      <c r="AC14"/>
    </row>
    <row r="15" spans="1:285">
      <c r="A15" s="18"/>
      <c r="B15" s="232" t="s">
        <v>43</v>
      </c>
      <c r="C15" s="233"/>
      <c r="D15" s="234" t="s">
        <v>38</v>
      </c>
      <c r="E15" s="235"/>
      <c r="F15" s="235"/>
      <c r="G15" s="235"/>
      <c r="H15" s="236"/>
      <c r="I15" s="2"/>
      <c r="J15" s="237" t="s">
        <v>46</v>
      </c>
      <c r="K15" s="238"/>
      <c r="L15" s="238"/>
      <c r="M15" s="238"/>
      <c r="N15" s="238"/>
      <c r="O15" s="238"/>
      <c r="P15" s="239"/>
      <c r="Q15" s="51"/>
      <c r="R15" s="51"/>
      <c r="S15" s="51"/>
      <c r="T15" s="51"/>
      <c r="U15" s="51"/>
      <c r="V15" s="51"/>
      <c r="X15" s="1"/>
      <c r="Y15" s="1"/>
    </row>
    <row r="16" spans="1:285">
      <c r="A16" s="18"/>
      <c r="B16" s="240" t="s">
        <v>9</v>
      </c>
      <c r="C16" s="241"/>
      <c r="D16" s="242" t="s">
        <v>10</v>
      </c>
      <c r="E16" s="243"/>
      <c r="F16" s="243"/>
      <c r="G16" s="243"/>
      <c r="H16" s="244"/>
      <c r="I16" s="51"/>
      <c r="J16" s="240" t="s">
        <v>9</v>
      </c>
      <c r="K16" s="241"/>
      <c r="L16" s="242" t="s">
        <v>10</v>
      </c>
      <c r="M16" s="243"/>
      <c r="N16" s="243"/>
      <c r="O16" s="243"/>
      <c r="P16" s="244"/>
      <c r="Q16" s="51"/>
      <c r="R16" s="51"/>
      <c r="S16" s="51"/>
      <c r="T16" s="51"/>
      <c r="U16" s="51"/>
      <c r="V16" s="51"/>
      <c r="X16" s="1"/>
      <c r="Y16" s="1"/>
    </row>
    <row r="17" spans="1:29" ht="15.75" thickBot="1">
      <c r="A17" s="19"/>
      <c r="B17" s="78" t="str">
        <f>dms_PRCP_BaseYear</f>
        <v>2018-19</v>
      </c>
      <c r="C17" s="79" t="s">
        <v>36</v>
      </c>
      <c r="D17" s="80" t="s">
        <v>45</v>
      </c>
      <c r="E17" s="81" t="s">
        <v>31</v>
      </c>
      <c r="F17" s="81" t="s">
        <v>23</v>
      </c>
      <c r="G17" s="81" t="s">
        <v>28</v>
      </c>
      <c r="H17" s="82" t="s">
        <v>32</v>
      </c>
      <c r="I17" s="51"/>
      <c r="J17" s="10" t="str">
        <f>dms_PRCP_BaseYear</f>
        <v>2018-19</v>
      </c>
      <c r="K17" s="11" t="s">
        <v>36</v>
      </c>
      <c r="L17" s="12" t="s">
        <v>45</v>
      </c>
      <c r="M17" s="13" t="s">
        <v>31</v>
      </c>
      <c r="N17" s="13" t="s">
        <v>23</v>
      </c>
      <c r="O17" s="13" t="s">
        <v>28</v>
      </c>
      <c r="P17" s="14" t="s">
        <v>32</v>
      </c>
      <c r="Q17" s="51"/>
      <c r="R17" s="51"/>
      <c r="S17" s="51"/>
      <c r="T17" s="51"/>
      <c r="U17" s="51"/>
      <c r="V17" s="51"/>
      <c r="X17" s="1"/>
      <c r="Y17" s="1"/>
    </row>
    <row r="18" spans="1:29">
      <c r="A18" s="83" t="s">
        <v>11</v>
      </c>
      <c r="B18" s="93">
        <v>358.06033976544927</v>
      </c>
      <c r="C18" s="94">
        <v>364.79580390314737</v>
      </c>
      <c r="D18" s="93">
        <v>376.82956599545906</v>
      </c>
      <c r="E18" s="93">
        <v>371.57488468656942</v>
      </c>
      <c r="F18" s="93">
        <v>367.00423393846972</v>
      </c>
      <c r="G18" s="93">
        <v>362.05577225241262</v>
      </c>
      <c r="H18" s="95">
        <v>357.16838526561975</v>
      </c>
      <c r="I18" s="51"/>
      <c r="J18" s="121">
        <f>+B18/$C$6</f>
        <v>473.40972803042825</v>
      </c>
      <c r="K18" s="122">
        <f t="shared" ref="K18:K24" si="2">+C18/$C$6</f>
        <v>482.31502663924681</v>
      </c>
      <c r="L18" s="123">
        <f>+D18/$H$6</f>
        <v>468.17516093019054</v>
      </c>
      <c r="M18" s="124">
        <f>+E18/$H$6</f>
        <v>461.64671547520754</v>
      </c>
      <c r="N18" s="124">
        <f>+F18/$H$6</f>
        <v>455.96811341569435</v>
      </c>
      <c r="O18" s="124">
        <f>+G18/$H$6</f>
        <v>449.82011693323528</v>
      </c>
      <c r="P18" s="125">
        <f>+H18/$H$6</f>
        <v>443.74799999881873</v>
      </c>
      <c r="Q18" s="51"/>
      <c r="R18" s="51"/>
      <c r="S18" s="51"/>
      <c r="T18" s="51"/>
      <c r="U18" s="51"/>
      <c r="V18" s="51"/>
      <c r="X18" s="1"/>
      <c r="Y18" s="1"/>
    </row>
    <row r="19" spans="1:29">
      <c r="A19" s="84" t="s">
        <v>12</v>
      </c>
      <c r="B19" s="96"/>
      <c r="C19" s="97"/>
      <c r="D19" s="96"/>
      <c r="E19" s="98"/>
      <c r="F19" s="98"/>
      <c r="G19" s="98"/>
      <c r="H19" s="99"/>
      <c r="I19" s="51"/>
      <c r="J19" s="126"/>
      <c r="K19" s="127"/>
      <c r="L19" s="128"/>
      <c r="M19" s="129"/>
      <c r="N19" s="129"/>
      <c r="O19" s="129"/>
      <c r="P19" s="130"/>
      <c r="Q19" s="51"/>
      <c r="R19" s="51"/>
      <c r="S19" s="51"/>
      <c r="T19" s="51"/>
      <c r="U19" s="51"/>
      <c r="V19" s="51"/>
      <c r="X19" s="1"/>
      <c r="Y19" s="1"/>
    </row>
    <row r="20" spans="1:29">
      <c r="A20" s="85" t="s">
        <v>13</v>
      </c>
      <c r="B20" s="100">
        <v>-5.2217799931962796</v>
      </c>
      <c r="C20" s="101">
        <v>-5.2867297344913906</v>
      </c>
      <c r="D20" s="100">
        <v>-5.6191699933410906</v>
      </c>
      <c r="E20" s="100">
        <v>-5.6640097385034096</v>
      </c>
      <c r="F20" s="100">
        <v>-5.7054343063697095</v>
      </c>
      <c r="G20" s="100">
        <v>-5.7500601094115797</v>
      </c>
      <c r="H20" s="102">
        <v>-5.7825189821237597</v>
      </c>
      <c r="I20" s="51"/>
      <c r="J20" s="131">
        <f t="shared" ref="J20:J24" si="3">+B20/$C$6</f>
        <v>-6.9039800611067834</v>
      </c>
      <c r="K20" s="132">
        <f t="shared" si="2"/>
        <v>-6.9898534068738876</v>
      </c>
      <c r="L20" s="133">
        <f>D20/$H$6</f>
        <v>-6.981288235643019</v>
      </c>
      <c r="M20" s="133">
        <f t="shared" ref="M20:P24" si="4">E20/$H$6</f>
        <v>-7.0369973858844048</v>
      </c>
      <c r="N20" s="133">
        <f t="shared" si="4"/>
        <v>-7.0884635007473298</v>
      </c>
      <c r="O20" s="133">
        <f t="shared" si="4"/>
        <v>-7.1439068481013921</v>
      </c>
      <c r="P20" s="134">
        <f t="shared" si="4"/>
        <v>-7.1842339331471035</v>
      </c>
      <c r="Q20" s="51"/>
      <c r="R20" s="51"/>
      <c r="S20" s="51"/>
      <c r="T20" s="51"/>
      <c r="U20" s="51"/>
      <c r="V20" s="51"/>
      <c r="X20" s="1"/>
      <c r="Y20" s="1"/>
    </row>
    <row r="21" spans="1:29">
      <c r="A21" s="77" t="s">
        <v>29</v>
      </c>
      <c r="B21" s="100"/>
      <c r="C21" s="101"/>
      <c r="D21" s="100"/>
      <c r="E21" s="103"/>
      <c r="F21" s="104"/>
      <c r="G21" s="104">
        <v>32.304957591785801</v>
      </c>
      <c r="H21" s="105"/>
      <c r="I21" s="51"/>
      <c r="J21" s="131">
        <f t="shared" si="3"/>
        <v>0</v>
      </c>
      <c r="K21" s="132">
        <f t="shared" si="2"/>
        <v>0</v>
      </c>
      <c r="L21" s="133">
        <f t="shared" ref="L21:L24" si="5">D21/$H$6</f>
        <v>0</v>
      </c>
      <c r="M21" s="133">
        <f t="shared" si="4"/>
        <v>0</v>
      </c>
      <c r="N21" s="133">
        <f t="shared" si="4"/>
        <v>0</v>
      </c>
      <c r="O21" s="133">
        <f>G21/$H$6</f>
        <v>40.13586003907016</v>
      </c>
      <c r="P21" s="134">
        <f t="shared" si="4"/>
        <v>0</v>
      </c>
      <c r="Q21" s="51"/>
      <c r="R21" s="51"/>
      <c r="S21" s="51"/>
      <c r="T21" s="51"/>
      <c r="U21" s="51"/>
      <c r="V21" s="51"/>
      <c r="X21" s="1"/>
      <c r="Y21" s="1"/>
    </row>
    <row r="22" spans="1:29">
      <c r="A22" s="76"/>
      <c r="B22" s="100"/>
      <c r="C22" s="101"/>
      <c r="D22" s="100"/>
      <c r="E22" s="104"/>
      <c r="F22" s="104"/>
      <c r="G22" s="104"/>
      <c r="H22" s="105"/>
      <c r="I22" s="51"/>
      <c r="J22" s="131">
        <f>+B22/$C$6</f>
        <v>0</v>
      </c>
      <c r="K22" s="132">
        <f t="shared" si="2"/>
        <v>0</v>
      </c>
      <c r="L22" s="133">
        <f t="shared" si="5"/>
        <v>0</v>
      </c>
      <c r="M22" s="133">
        <f t="shared" si="4"/>
        <v>0</v>
      </c>
      <c r="N22" s="133">
        <f t="shared" si="4"/>
        <v>0</v>
      </c>
      <c r="O22" s="133">
        <f>G22/$H$6</f>
        <v>0</v>
      </c>
      <c r="P22" s="134">
        <f t="shared" si="4"/>
        <v>0</v>
      </c>
      <c r="Q22" s="51"/>
      <c r="R22" s="51"/>
      <c r="S22" s="51"/>
      <c r="T22" s="51"/>
      <c r="U22" s="51"/>
      <c r="V22" s="51"/>
      <c r="X22" s="1"/>
      <c r="Y22" s="1"/>
    </row>
    <row r="23" spans="1:29">
      <c r="A23" s="86"/>
      <c r="B23" s="100"/>
      <c r="C23" s="101"/>
      <c r="D23" s="100"/>
      <c r="E23" s="104"/>
      <c r="F23" s="104"/>
      <c r="G23" s="104"/>
      <c r="H23" s="105"/>
      <c r="I23" s="51"/>
      <c r="J23" s="131">
        <f>+B23/$C$6</f>
        <v>0</v>
      </c>
      <c r="K23" s="132">
        <f t="shared" si="2"/>
        <v>0</v>
      </c>
      <c r="L23" s="133">
        <f t="shared" si="5"/>
        <v>0</v>
      </c>
      <c r="M23" s="133">
        <f t="shared" si="4"/>
        <v>0</v>
      </c>
      <c r="N23" s="133">
        <f t="shared" si="4"/>
        <v>0</v>
      </c>
      <c r="O23" s="133">
        <f t="shared" si="4"/>
        <v>0</v>
      </c>
      <c r="P23" s="134">
        <f t="shared" si="4"/>
        <v>0</v>
      </c>
      <c r="Q23" s="51"/>
      <c r="R23" s="51"/>
      <c r="S23" s="51"/>
      <c r="T23" s="51"/>
      <c r="U23" s="51"/>
      <c r="V23" s="51"/>
      <c r="X23" s="1"/>
      <c r="Y23" s="1"/>
    </row>
    <row r="24" spans="1:29" ht="15.75" thickBot="1">
      <c r="A24" s="87" t="s">
        <v>14</v>
      </c>
      <c r="B24" s="106"/>
      <c r="C24" s="107"/>
      <c r="D24" s="106"/>
      <c r="E24" s="108"/>
      <c r="F24" s="108"/>
      <c r="G24" s="108"/>
      <c r="H24" s="109"/>
      <c r="I24" s="51"/>
      <c r="J24" s="135">
        <f t="shared" si="3"/>
        <v>0</v>
      </c>
      <c r="K24" s="136">
        <f t="shared" si="2"/>
        <v>0</v>
      </c>
      <c r="L24" s="137">
        <f t="shared" si="5"/>
        <v>0</v>
      </c>
      <c r="M24" s="137">
        <f t="shared" si="4"/>
        <v>0</v>
      </c>
      <c r="N24" s="137">
        <f t="shared" si="4"/>
        <v>0</v>
      </c>
      <c r="O24" s="137">
        <f t="shared" si="4"/>
        <v>0</v>
      </c>
      <c r="P24" s="138">
        <f t="shared" si="4"/>
        <v>0</v>
      </c>
      <c r="Q24" s="51"/>
      <c r="R24" s="51"/>
      <c r="S24" s="51"/>
      <c r="T24" s="51"/>
      <c r="U24" s="51"/>
      <c r="V24" s="51"/>
      <c r="X24" s="1"/>
      <c r="Y24" s="1"/>
    </row>
    <row r="25" spans="1:29" ht="15.75" thickBot="1">
      <c r="A25" s="91" t="s">
        <v>15</v>
      </c>
      <c r="B25" s="88">
        <f>SUM(B18:B24)</f>
        <v>352.83855977225301</v>
      </c>
      <c r="C25" s="88">
        <f t="shared" ref="C25:G25" si="6">SUM(C18:C24)</f>
        <v>359.50907416865596</v>
      </c>
      <c r="D25" s="88">
        <f>SUM(D18:D24)</f>
        <v>371.21039600211799</v>
      </c>
      <c r="E25" s="88">
        <f t="shared" si="6"/>
        <v>365.91087494806601</v>
      </c>
      <c r="F25" s="88">
        <f t="shared" si="6"/>
        <v>361.29879963210004</v>
      </c>
      <c r="G25" s="88">
        <f t="shared" si="6"/>
        <v>388.61066973478682</v>
      </c>
      <c r="H25" s="89">
        <f>SUM(H18:H24)</f>
        <v>351.385866283496</v>
      </c>
      <c r="I25" s="51"/>
      <c r="J25" s="15">
        <f t="shared" ref="J25:P25" si="7">+SUM(J18:J24)</f>
        <v>466.50574796932148</v>
      </c>
      <c r="K25" s="16">
        <f t="shared" si="7"/>
        <v>475.32517323237295</v>
      </c>
      <c r="L25" s="16">
        <f t="shared" si="7"/>
        <v>461.19387269454751</v>
      </c>
      <c r="M25" s="16">
        <f t="shared" si="7"/>
        <v>454.60971808932311</v>
      </c>
      <c r="N25" s="16">
        <f t="shared" si="7"/>
        <v>448.87964991494704</v>
      </c>
      <c r="O25" s="16">
        <f t="shared" si="7"/>
        <v>482.81207012420407</v>
      </c>
      <c r="P25" s="17">
        <f t="shared" si="7"/>
        <v>436.56376606567164</v>
      </c>
      <c r="Q25" s="51"/>
      <c r="R25" s="51"/>
      <c r="S25" s="51"/>
      <c r="T25" s="51"/>
      <c r="U25" s="51"/>
      <c r="V25" s="51"/>
      <c r="X25" s="1"/>
      <c r="Y25" s="1"/>
    </row>
    <row r="26" spans="1:29" ht="15.75" thickBo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X26" s="1"/>
      <c r="Y26" s="1"/>
    </row>
    <row r="27" spans="1:29" s="9" customFormat="1" ht="16.5" thickBot="1">
      <c r="A27" s="181" t="s">
        <v>16</v>
      </c>
      <c r="B27" s="182"/>
      <c r="C27" s="182"/>
      <c r="D27" s="182"/>
      <c r="E27" s="182"/>
      <c r="F27" s="182"/>
      <c r="G27" s="182"/>
      <c r="H27" s="183"/>
      <c r="I27" s="51"/>
      <c r="J27" s="181"/>
      <c r="K27" s="182"/>
      <c r="L27" s="182"/>
      <c r="M27" s="182"/>
      <c r="N27" s="182"/>
      <c r="O27" s="182"/>
      <c r="P27" s="183"/>
      <c r="Q27" s="51"/>
      <c r="R27" s="51"/>
      <c r="S27" s="51"/>
      <c r="T27" s="51"/>
      <c r="U27" s="51"/>
      <c r="V27" s="51"/>
      <c r="W27" s="1"/>
      <c r="X27" s="1"/>
      <c r="Y27" s="1"/>
      <c r="Z27"/>
      <c r="AA27"/>
      <c r="AB27"/>
      <c r="AC27"/>
    </row>
    <row r="28" spans="1:29">
      <c r="A28" s="184"/>
      <c r="B28" s="245" t="s">
        <v>17</v>
      </c>
      <c r="C28" s="246"/>
      <c r="D28" s="246"/>
      <c r="E28" s="246"/>
      <c r="F28" s="246"/>
      <c r="G28" s="246"/>
      <c r="H28" s="247"/>
      <c r="I28" s="51"/>
      <c r="J28" s="248" t="s">
        <v>46</v>
      </c>
      <c r="K28" s="238"/>
      <c r="L28" s="238"/>
      <c r="M28" s="238"/>
      <c r="N28" s="238"/>
      <c r="O28" s="238"/>
      <c r="P28" s="249"/>
      <c r="Q28" s="51"/>
      <c r="R28" s="51"/>
      <c r="S28" s="51"/>
      <c r="T28" s="51"/>
      <c r="U28" s="51"/>
      <c r="V28" s="51"/>
      <c r="X28" s="1"/>
      <c r="Y28" s="1"/>
    </row>
    <row r="29" spans="1:29">
      <c r="A29" s="184"/>
      <c r="B29" s="240" t="s">
        <v>9</v>
      </c>
      <c r="C29" s="241"/>
      <c r="D29" s="242" t="s">
        <v>10</v>
      </c>
      <c r="E29" s="243"/>
      <c r="F29" s="243"/>
      <c r="G29" s="243"/>
      <c r="H29" s="250"/>
      <c r="I29" s="51"/>
      <c r="J29" s="251" t="s">
        <v>9</v>
      </c>
      <c r="K29" s="241"/>
      <c r="L29" s="242" t="s">
        <v>10</v>
      </c>
      <c r="M29" s="243"/>
      <c r="N29" s="243"/>
      <c r="O29" s="243"/>
      <c r="P29" s="250"/>
      <c r="Q29" s="51"/>
      <c r="R29" s="51"/>
      <c r="S29" s="51"/>
      <c r="T29" s="51"/>
      <c r="U29" s="51"/>
      <c r="V29" s="51"/>
      <c r="X29" s="1"/>
      <c r="Y29" s="1"/>
    </row>
    <row r="30" spans="1:29" ht="15.75" thickBot="1">
      <c r="A30" s="185"/>
      <c r="B30" s="10" t="str">
        <f>dms_PRCP_BaseYear</f>
        <v>2018-19</v>
      </c>
      <c r="C30" s="11" t="s">
        <v>36</v>
      </c>
      <c r="D30" s="12" t="s">
        <v>45</v>
      </c>
      <c r="E30" s="13" t="s">
        <v>31</v>
      </c>
      <c r="F30" s="13" t="s">
        <v>23</v>
      </c>
      <c r="G30" s="13" t="s">
        <v>28</v>
      </c>
      <c r="H30" s="186" t="s">
        <v>32</v>
      </c>
      <c r="I30" s="51"/>
      <c r="J30" s="194" t="str">
        <f>dms_PRCP_BaseYear</f>
        <v>2018-19</v>
      </c>
      <c r="K30" s="11" t="s">
        <v>36</v>
      </c>
      <c r="L30" s="12" t="s">
        <v>45</v>
      </c>
      <c r="M30" s="13" t="s">
        <v>31</v>
      </c>
      <c r="N30" s="13" t="s">
        <v>23</v>
      </c>
      <c r="O30" s="13" t="s">
        <v>28</v>
      </c>
      <c r="P30" s="186" t="s">
        <v>32</v>
      </c>
      <c r="Q30" s="51"/>
      <c r="R30" s="51"/>
      <c r="S30" s="51"/>
      <c r="T30" s="51"/>
      <c r="U30" s="51"/>
      <c r="V30" s="51"/>
      <c r="X30" s="1"/>
      <c r="Y30" s="1"/>
    </row>
    <row r="31" spans="1:29">
      <c r="A31" s="187" t="s">
        <v>18</v>
      </c>
      <c r="B31" s="110">
        <v>391.68503199999998</v>
      </c>
      <c r="C31" s="111">
        <v>402.90900099999999</v>
      </c>
      <c r="D31" s="110">
        <v>370.17271499999998</v>
      </c>
      <c r="E31" s="110">
        <v>380.35368299999999</v>
      </c>
      <c r="F31" s="110">
        <v>446.406003</v>
      </c>
      <c r="G31" s="110">
        <v>585.02450599999997</v>
      </c>
      <c r="H31" s="188"/>
      <c r="I31" s="51"/>
      <c r="J31" s="195">
        <f>+B31/LOOKUP(dms_PRCP_BaseYear,$C$3:$M$3,$C$6:$M$6)*(1+LOOKUP(dms_PRCP_BaseYear,$C$3:$M$3,$C$5:$M$5))^0.5</f>
        <v>488.78315749220201</v>
      </c>
      <c r="K31" s="139">
        <f t="shared" ref="K31" si="8">+C31/H$6*(1+H$5)^0.5</f>
        <v>499.70355158199226</v>
      </c>
      <c r="L31" s="140">
        <f>+D31/I$6*(1+I$5)^0.5</f>
        <v>451.30754532049178</v>
      </c>
      <c r="M31" s="141">
        <f>+E31/J$6*(1+J$5)^0.5</f>
        <v>441.68361134392285</v>
      </c>
      <c r="N31" s="141">
        <f>+F31/K$6*(1+K$5)^0.5</f>
        <v>488.64808592413067</v>
      </c>
      <c r="O31" s="139">
        <f>+G31/L$6*(1+L$5)^0.5</f>
        <v>610.38386464466021</v>
      </c>
      <c r="P31" s="196"/>
      <c r="Q31" s="51"/>
      <c r="R31" s="51"/>
      <c r="S31" s="51"/>
      <c r="T31" s="51"/>
      <c r="U31" s="51"/>
      <c r="V31" s="51"/>
      <c r="X31" s="1"/>
      <c r="Y31" s="1"/>
    </row>
    <row r="32" spans="1:29">
      <c r="A32" s="189" t="s">
        <v>19</v>
      </c>
      <c r="B32" s="112"/>
      <c r="C32" s="113"/>
      <c r="D32" s="112"/>
      <c r="E32" s="114"/>
      <c r="F32" s="114"/>
      <c r="G32" s="115"/>
      <c r="H32" s="190"/>
      <c r="I32" s="51"/>
      <c r="J32" s="197"/>
      <c r="K32" s="127"/>
      <c r="L32" s="128"/>
      <c r="M32" s="129"/>
      <c r="N32" s="129"/>
      <c r="O32" s="127"/>
      <c r="P32" s="198"/>
      <c r="Q32" s="51"/>
      <c r="R32" s="51"/>
      <c r="S32" s="51"/>
      <c r="T32" s="51"/>
      <c r="U32" s="51"/>
      <c r="V32" s="51"/>
      <c r="X32" s="1"/>
      <c r="Y32" s="1"/>
    </row>
    <row r="33" spans="1:29">
      <c r="A33" s="191" t="str">
        <f>IF(ISBLANK(A20),"",A20)</f>
        <v>Debt raising costs</v>
      </c>
      <c r="B33" s="116">
        <v>0</v>
      </c>
      <c r="C33" s="117">
        <v>0</v>
      </c>
      <c r="D33" s="116">
        <v>-2.147767</v>
      </c>
      <c r="E33" s="116">
        <v>-2.2215060000000002</v>
      </c>
      <c r="F33" s="116">
        <v>-6.9824539999999997</v>
      </c>
      <c r="G33" s="116">
        <v>-7.63253</v>
      </c>
      <c r="H33" s="190"/>
      <c r="I33" s="51"/>
      <c r="J33" s="199">
        <f>+B33/LOOKUP(dms_PRCP_BaseYear,$C$3:$M$3,$C$6:$M$6)*(1+LOOKUP(dms_PRCP_BaseYear,$C$3:$M$3,$C$5:$M$5))^0.5</f>
        <v>0</v>
      </c>
      <c r="K33" s="142">
        <f t="shared" ref="K33:L38" si="9">C33/H$6*(1+H$5)^0.5</f>
        <v>0</v>
      </c>
      <c r="L33" s="143">
        <f>D33/I$6*(1+I$5)^0.5</f>
        <v>-2.6185167447858948</v>
      </c>
      <c r="M33" s="143">
        <f t="shared" ref="M33:O38" si="10">E33/J$6*(1+J$5)^0.5</f>
        <v>-2.5797115594176927</v>
      </c>
      <c r="N33" s="143">
        <f t="shared" si="10"/>
        <v>-7.6431830199946695</v>
      </c>
      <c r="O33" s="142">
        <f t="shared" si="10"/>
        <v>-7.9633812099083388</v>
      </c>
      <c r="P33" s="198"/>
      <c r="Q33" s="51"/>
      <c r="R33" s="51"/>
      <c r="S33" s="51"/>
      <c r="T33" s="51"/>
      <c r="U33" s="51"/>
      <c r="V33" s="51"/>
      <c r="X33" s="1"/>
      <c r="Y33" s="1"/>
    </row>
    <row r="34" spans="1:29">
      <c r="A34" s="191" t="s">
        <v>27</v>
      </c>
      <c r="B34" s="116">
        <v>-0.44147707999999997</v>
      </c>
      <c r="C34" s="117">
        <v>-2.6619609999999998</v>
      </c>
      <c r="D34" s="116">
        <v>-1.5745920200000001</v>
      </c>
      <c r="E34" s="116">
        <v>-0.37887797000000001</v>
      </c>
      <c r="F34" s="116">
        <v>-0.33393354999999997</v>
      </c>
      <c r="G34" s="116">
        <v>-0.80121968999999993</v>
      </c>
      <c r="H34" s="190"/>
      <c r="I34" s="51"/>
      <c r="J34" s="199">
        <f t="shared" ref="J34:J38" si="11">+B34/LOOKUP(dms_PRCP_BaseYear,$C$3:$M$3,$C$6:$M$6)*(1+LOOKUP(dms_PRCP_BaseYear,$C$3:$M$3,$C$5:$M$5))^0.5</f>
        <v>-0.55091857868808602</v>
      </c>
      <c r="K34" s="142">
        <f t="shared" si="9"/>
        <v>-3.3014684769297364</v>
      </c>
      <c r="L34" s="143">
        <f>D34/I$6*(1+I$5)^0.5</f>
        <v>-1.9197126925668597</v>
      </c>
      <c r="M34" s="143">
        <f t="shared" ref="M34:O35" si="12">E34/J$6*(1+J$5)^0.5</f>
        <v>-0.4399699477821396</v>
      </c>
      <c r="N34" s="143">
        <f t="shared" si="12"/>
        <v>-0.36553269655146181</v>
      </c>
      <c r="O34" s="142">
        <f t="shared" si="12"/>
        <v>-0.83595057266130401</v>
      </c>
      <c r="P34" s="198"/>
      <c r="Q34" s="51"/>
      <c r="R34" s="51"/>
      <c r="S34" s="51"/>
      <c r="T34" s="51"/>
      <c r="U34" s="51"/>
      <c r="V34" s="51"/>
      <c r="X34" s="1"/>
      <c r="Y34" s="1"/>
    </row>
    <row r="35" spans="1:29">
      <c r="A35" s="191" t="str">
        <f t="shared" ref="A35" si="13">IF(ISBLANK(A22),"",A22)</f>
        <v/>
      </c>
      <c r="B35" s="116"/>
      <c r="C35" s="117"/>
      <c r="D35" s="116"/>
      <c r="E35" s="116"/>
      <c r="F35" s="116"/>
      <c r="G35" s="116"/>
      <c r="H35" s="190"/>
      <c r="I35" s="51"/>
      <c r="J35" s="199">
        <f t="shared" si="11"/>
        <v>0</v>
      </c>
      <c r="K35" s="142">
        <f t="shared" si="9"/>
        <v>0</v>
      </c>
      <c r="L35" s="143">
        <f>D35/I$6*(1+I$5)^0.5</f>
        <v>0</v>
      </c>
      <c r="M35" s="143">
        <f t="shared" si="12"/>
        <v>0</v>
      </c>
      <c r="N35" s="143">
        <f t="shared" si="12"/>
        <v>0</v>
      </c>
      <c r="O35" s="142">
        <f t="shared" si="12"/>
        <v>0</v>
      </c>
      <c r="P35" s="198"/>
      <c r="Q35" s="51"/>
      <c r="R35" s="217" t="s">
        <v>30</v>
      </c>
      <c r="S35" s="218"/>
      <c r="T35" s="51"/>
      <c r="U35" s="51"/>
      <c r="V35" s="51"/>
      <c r="X35" s="1"/>
      <c r="Y35" s="1"/>
    </row>
    <row r="36" spans="1:29">
      <c r="A36" s="192" t="s">
        <v>20</v>
      </c>
      <c r="B36" s="116"/>
      <c r="C36" s="117"/>
      <c r="D36" s="116"/>
      <c r="E36" s="116"/>
      <c r="F36" s="116"/>
      <c r="G36" s="116"/>
      <c r="H36" s="190"/>
      <c r="I36" s="51"/>
      <c r="J36" s="199">
        <f t="shared" si="11"/>
        <v>0</v>
      </c>
      <c r="K36" s="142">
        <f t="shared" si="9"/>
        <v>0</v>
      </c>
      <c r="L36" s="143">
        <f t="shared" si="9"/>
        <v>0</v>
      </c>
      <c r="M36" s="143">
        <f t="shared" si="10"/>
        <v>0</v>
      </c>
      <c r="N36" s="143">
        <f>F36/K$6*(1+K$5)^0.5</f>
        <v>0</v>
      </c>
      <c r="O36" s="142">
        <f t="shared" si="10"/>
        <v>0</v>
      </c>
      <c r="P36" s="200"/>
      <c r="Q36" s="51"/>
      <c r="R36" s="219"/>
      <c r="S36" s="220"/>
      <c r="T36" s="51"/>
      <c r="U36" s="51"/>
      <c r="V36" s="51"/>
      <c r="X36" s="1"/>
      <c r="Y36" s="1"/>
    </row>
    <row r="37" spans="1:29">
      <c r="A37" s="192" t="s">
        <v>21</v>
      </c>
      <c r="B37" s="116">
        <v>-3.7236199999999999</v>
      </c>
      <c r="C37" s="117">
        <v>-6.9845600000000001</v>
      </c>
      <c r="D37" s="116">
        <v>-1.304446</v>
      </c>
      <c r="E37" s="116">
        <v>-4.3366540000000002</v>
      </c>
      <c r="F37" s="116">
        <v>-6.8587350000000002</v>
      </c>
      <c r="G37" s="116">
        <v>-18.753342</v>
      </c>
      <c r="H37" s="190"/>
      <c r="I37" s="51"/>
      <c r="J37" s="199">
        <f t="shared" si="11"/>
        <v>-4.646699751603256</v>
      </c>
      <c r="K37" s="142">
        <f t="shared" si="9"/>
        <v>-8.6625253582694715</v>
      </c>
      <c r="L37" s="143">
        <f t="shared" si="9"/>
        <v>-1.5903557944921312</v>
      </c>
      <c r="M37" s="143">
        <f t="shared" si="10"/>
        <v>-5.0359154794067509</v>
      </c>
      <c r="N37" s="143">
        <f t="shared" si="10"/>
        <v>-7.5077568560628025</v>
      </c>
      <c r="O37" s="142">
        <f t="shared" si="10"/>
        <v>-19.566252776705085</v>
      </c>
      <c r="P37" s="200"/>
      <c r="Q37" s="51"/>
      <c r="R37" s="219"/>
      <c r="S37" s="220"/>
      <c r="T37" s="51"/>
      <c r="U37" s="51"/>
      <c r="V37" s="51"/>
      <c r="X37" s="1"/>
      <c r="Y37" s="1"/>
    </row>
    <row r="38" spans="1:29" ht="15.75" thickBot="1">
      <c r="A38" s="193" t="s">
        <v>14</v>
      </c>
      <c r="B38" s="118"/>
      <c r="C38" s="119"/>
      <c r="D38" s="118"/>
      <c r="E38" s="118"/>
      <c r="F38" s="118"/>
      <c r="G38" s="118"/>
      <c r="H38" s="190"/>
      <c r="I38" s="51"/>
      <c r="J38" s="201">
        <f t="shared" si="11"/>
        <v>0</v>
      </c>
      <c r="K38" s="145">
        <f t="shared" si="9"/>
        <v>0</v>
      </c>
      <c r="L38" s="146">
        <f t="shared" si="9"/>
        <v>0</v>
      </c>
      <c r="M38" s="146">
        <f t="shared" si="10"/>
        <v>0</v>
      </c>
      <c r="N38" s="146">
        <f t="shared" si="10"/>
        <v>0</v>
      </c>
      <c r="O38" s="145">
        <f t="shared" si="10"/>
        <v>0</v>
      </c>
      <c r="P38" s="202"/>
      <c r="Q38" s="51"/>
      <c r="R38" s="219"/>
      <c r="S38" s="220"/>
      <c r="T38" s="51"/>
      <c r="U38" s="51"/>
      <c r="V38" s="51"/>
      <c r="X38" s="1"/>
      <c r="Y38" s="1"/>
    </row>
    <row r="39" spans="1:29" ht="15.75" thickBot="1">
      <c r="A39" s="92" t="s">
        <v>22</v>
      </c>
      <c r="B39" s="90">
        <f>SUM(B31:B38)</f>
        <v>387.51993491999997</v>
      </c>
      <c r="C39" s="90">
        <f t="shared" ref="C39:F39" si="14">SUM(C31:C38)</f>
        <v>393.26247999999998</v>
      </c>
      <c r="D39" s="90">
        <f t="shared" si="14"/>
        <v>365.14590998</v>
      </c>
      <c r="E39" s="90">
        <f t="shared" si="14"/>
        <v>373.41664502999998</v>
      </c>
      <c r="F39" s="90">
        <f t="shared" si="14"/>
        <v>432.23088044999997</v>
      </c>
      <c r="G39" s="90">
        <f>SUM(G31:G38)</f>
        <v>557.83741430999999</v>
      </c>
      <c r="H39" s="120"/>
      <c r="I39" s="51"/>
      <c r="J39" s="203">
        <f t="shared" ref="J39" si="15">J31+SUM(J33:J38)</f>
        <v>483.58553916191067</v>
      </c>
      <c r="K39" s="204">
        <f t="shared" ref="K39" si="16">K31+SUM(K33:K38)</f>
        <v>487.73955774679303</v>
      </c>
      <c r="L39" s="204">
        <f t="shared" ref="L39:O39" si="17">L31+SUM(L33:L38)</f>
        <v>445.17896008864687</v>
      </c>
      <c r="M39" s="204">
        <f t="shared" si="17"/>
        <v>433.62801435731626</v>
      </c>
      <c r="N39" s="204">
        <f t="shared" si="17"/>
        <v>473.13161335152176</v>
      </c>
      <c r="O39" s="204">
        <f t="shared" si="17"/>
        <v>582.01828008538553</v>
      </c>
      <c r="P39" s="205">
        <f>P25-(LOOKUP($Q$39,L17:O17,L25:O25)-LOOKUP($Q$39,L30:O30,L39:O39))+Q40</f>
        <v>460.81572950224637</v>
      </c>
      <c r="Q39" s="206" t="s">
        <v>23</v>
      </c>
      <c r="R39" s="221"/>
      <c r="S39" s="222"/>
      <c r="T39" s="51"/>
      <c r="U39" s="51"/>
      <c r="V39" s="51"/>
      <c r="X39" s="1"/>
      <c r="Y39" s="1"/>
    </row>
    <row r="40" spans="1:29" customFormat="1" ht="15.75" thickBot="1">
      <c r="A40" s="1"/>
      <c r="B40" s="1"/>
      <c r="C40" s="1"/>
      <c r="D40" s="1"/>
      <c r="E40" s="1"/>
      <c r="F40" s="1"/>
      <c r="G40" s="1"/>
      <c r="H40" s="1"/>
      <c r="I40" s="51"/>
      <c r="J40" s="51"/>
      <c r="K40" s="51"/>
      <c r="L40" s="51"/>
      <c r="M40" s="51"/>
      <c r="N40" s="51"/>
      <c r="O40" s="51"/>
      <c r="P40" s="51"/>
      <c r="Q40" s="207">
        <v>0</v>
      </c>
      <c r="R40" s="20" t="s">
        <v>47</v>
      </c>
      <c r="T40" s="51"/>
      <c r="U40" s="51"/>
      <c r="V40" s="51"/>
      <c r="W40" s="1"/>
      <c r="X40" s="1"/>
      <c r="Y40" s="1"/>
    </row>
    <row r="41" spans="1:29" s="25" customFormat="1" ht="18.75" thickBot="1">
      <c r="A41" s="1"/>
      <c r="B41" s="1"/>
      <c r="C41" s="1"/>
      <c r="D41" s="1"/>
      <c r="E41" s="1"/>
      <c r="F41" s="1"/>
      <c r="G41" s="1"/>
      <c r="H41" s="1"/>
      <c r="I41" s="51"/>
      <c r="J41" s="21" t="s">
        <v>48</v>
      </c>
      <c r="K41" s="22"/>
      <c r="L41" s="23"/>
      <c r="M41" s="22"/>
      <c r="N41" s="22"/>
      <c r="O41" s="22"/>
      <c r="P41" s="24"/>
      <c r="Q41" s="51"/>
      <c r="R41" s="51"/>
      <c r="S41" s="51"/>
      <c r="T41" s="51"/>
      <c r="U41" s="51"/>
      <c r="V41" s="51"/>
      <c r="W41" s="1"/>
      <c r="X41" s="1"/>
      <c r="Y41" s="1"/>
      <c r="Z41"/>
      <c r="AA41"/>
      <c r="AB41"/>
      <c r="AC41"/>
    </row>
    <row r="42" spans="1:29" ht="15.75" thickBot="1">
      <c r="I42" s="51"/>
      <c r="J42" s="26"/>
      <c r="K42" s="27"/>
      <c r="L42" s="28">
        <f>(L25-L39)-((K25-K39)-(J25-J39))-B13/$H$6</f>
        <v>11.349505927731514</v>
      </c>
      <c r="M42" s="29">
        <f>(M25-M39)-(L25-L39)</f>
        <v>4.9667911261062159</v>
      </c>
      <c r="N42" s="29">
        <f>(N25-N39)-(M25-M39)</f>
        <v>-45.233667168581576</v>
      </c>
      <c r="O42" s="29">
        <f>(O25-O39)-(N25-N39)</f>
        <v>-74.954246524606731</v>
      </c>
      <c r="P42" s="30">
        <f>(P25-P39)-(O25-O39)</f>
        <v>74.954246524606731</v>
      </c>
      <c r="Q42" s="51"/>
      <c r="R42" s="51"/>
      <c r="S42" s="51"/>
      <c r="T42" s="51"/>
      <c r="U42" s="51"/>
      <c r="V42" s="51"/>
      <c r="X42" s="1"/>
      <c r="Y42" s="1"/>
    </row>
    <row r="43" spans="1:29" ht="15.75" thickBot="1"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X43" s="1"/>
      <c r="Y43" s="1"/>
    </row>
    <row r="44" spans="1:29" s="25" customFormat="1" ht="18.75" thickBot="1">
      <c r="A44" s="1"/>
      <c r="B44" s="1"/>
      <c r="C44" s="1"/>
      <c r="D44" s="1"/>
      <c r="E44" s="1"/>
      <c r="F44" s="1"/>
      <c r="G44" s="1"/>
      <c r="H44" s="1"/>
      <c r="I44" s="1"/>
      <c r="J44" s="31" t="s">
        <v>24</v>
      </c>
      <c r="K44" s="32"/>
      <c r="L44" s="22"/>
      <c r="M44" s="22"/>
      <c r="N44" s="22"/>
      <c r="O44" s="22"/>
      <c r="P44" s="22"/>
      <c r="Q44" s="22"/>
      <c r="R44" s="22"/>
      <c r="S44" s="22"/>
      <c r="T44" s="22"/>
      <c r="U44" s="33"/>
      <c r="V44" s="34"/>
      <c r="W44" s="1"/>
      <c r="X44" s="1"/>
      <c r="Y44" s="1"/>
      <c r="Z44"/>
      <c r="AA44"/>
    </row>
    <row r="45" spans="1:29">
      <c r="J45" s="35"/>
      <c r="K45" s="36"/>
      <c r="L45" s="223" t="s">
        <v>10</v>
      </c>
      <c r="M45" s="224"/>
      <c r="N45" s="224"/>
      <c r="O45" s="224"/>
      <c r="P45" s="225"/>
      <c r="Q45" s="226" t="s">
        <v>25</v>
      </c>
      <c r="R45" s="227"/>
      <c r="S45" s="227"/>
      <c r="T45" s="227"/>
      <c r="U45" s="227"/>
      <c r="V45" s="37"/>
      <c r="X45" s="1"/>
      <c r="Y45" s="1"/>
    </row>
    <row r="46" spans="1:29">
      <c r="J46" s="38"/>
      <c r="K46" s="39"/>
      <c r="L46" s="209" t="s">
        <v>46</v>
      </c>
      <c r="M46" s="210"/>
      <c r="N46" s="210"/>
      <c r="O46" s="210"/>
      <c r="P46" s="210"/>
      <c r="Q46" s="210"/>
      <c r="R46" s="210"/>
      <c r="S46" s="210"/>
      <c r="T46" s="210"/>
      <c r="U46" s="210"/>
      <c r="V46" s="211"/>
      <c r="X46" s="1"/>
      <c r="Y46" s="1"/>
    </row>
    <row r="47" spans="1:29" ht="15.75" thickBot="1">
      <c r="J47" s="38"/>
      <c r="K47" s="39"/>
      <c r="L47" s="40" t="s">
        <v>45</v>
      </c>
      <c r="M47" s="41" t="s">
        <v>31</v>
      </c>
      <c r="N47" s="41" t="s">
        <v>23</v>
      </c>
      <c r="O47" s="41" t="s">
        <v>28</v>
      </c>
      <c r="P47" s="41" t="s">
        <v>32</v>
      </c>
      <c r="Q47" s="42" t="s">
        <v>53</v>
      </c>
      <c r="R47" s="42" t="s">
        <v>34</v>
      </c>
      <c r="S47" s="42" t="s">
        <v>41</v>
      </c>
      <c r="T47" s="42" t="s">
        <v>39</v>
      </c>
      <c r="U47" s="42" t="s">
        <v>40</v>
      </c>
      <c r="V47" s="43" t="s">
        <v>26</v>
      </c>
      <c r="X47" s="1"/>
      <c r="Y47" s="1"/>
    </row>
    <row r="48" spans="1:29" ht="15.75" thickBot="1">
      <c r="J48" s="228" t="s">
        <v>45</v>
      </c>
      <c r="K48" s="229"/>
      <c r="L48" s="44"/>
      <c r="M48" s="147">
        <f>$L$42</f>
        <v>11.349505927731514</v>
      </c>
      <c r="N48" s="148">
        <f>$L$42</f>
        <v>11.349505927731514</v>
      </c>
      <c r="O48" s="149">
        <f>$L$42</f>
        <v>11.349505927731514</v>
      </c>
      <c r="P48" s="148">
        <f>$L$42</f>
        <v>11.349505927731514</v>
      </c>
      <c r="Q48" s="150">
        <f>$L$42</f>
        <v>11.349505927731514</v>
      </c>
      <c r="R48" s="151"/>
      <c r="S48" s="151"/>
      <c r="T48" s="151"/>
      <c r="U48" s="151"/>
      <c r="V48" s="152"/>
      <c r="X48" s="1"/>
      <c r="Y48" s="1"/>
      <c r="AB48" s="1"/>
      <c r="AC48" s="1"/>
    </row>
    <row r="49" spans="10:28" s="1" customFormat="1" ht="15.75" thickBot="1">
      <c r="J49" s="215" t="s">
        <v>31</v>
      </c>
      <c r="K49" s="216"/>
      <c r="L49" s="44"/>
      <c r="M49" s="153"/>
      <c r="N49" s="144">
        <f>$M$42</f>
        <v>4.9667911261062159</v>
      </c>
      <c r="O49" s="154">
        <f>$M$42</f>
        <v>4.9667911261062159</v>
      </c>
      <c r="P49" s="155">
        <f>$M$42</f>
        <v>4.9667911261062159</v>
      </c>
      <c r="Q49" s="154">
        <f>$M$42</f>
        <v>4.9667911261062159</v>
      </c>
      <c r="R49" s="150">
        <f>$M$42</f>
        <v>4.9667911261062159</v>
      </c>
      <c r="S49" s="151"/>
      <c r="T49" s="151"/>
      <c r="U49" s="151"/>
      <c r="V49" s="152"/>
      <c r="Z49"/>
      <c r="AA49"/>
    </row>
    <row r="50" spans="10:28" s="1" customFormat="1" ht="15.75" thickBot="1">
      <c r="J50" s="215" t="s">
        <v>23</v>
      </c>
      <c r="K50" s="216"/>
      <c r="L50" s="45"/>
      <c r="M50" s="151"/>
      <c r="N50" s="153"/>
      <c r="O50" s="156">
        <f>$N$42</f>
        <v>-45.233667168581576</v>
      </c>
      <c r="P50" s="155">
        <f>$N$42</f>
        <v>-45.233667168581576</v>
      </c>
      <c r="Q50" s="154">
        <f>$N$42</f>
        <v>-45.233667168581576</v>
      </c>
      <c r="R50" s="155">
        <f>$N$42</f>
        <v>-45.233667168581576</v>
      </c>
      <c r="S50" s="157">
        <f>$N$42</f>
        <v>-45.233667168581576</v>
      </c>
      <c r="T50" s="158"/>
      <c r="U50" s="151"/>
      <c r="V50" s="152"/>
      <c r="Z50"/>
      <c r="AA50"/>
    </row>
    <row r="51" spans="10:28" s="1" customFormat="1" ht="15.75" thickBot="1">
      <c r="J51" s="215" t="s">
        <v>28</v>
      </c>
      <c r="K51" s="216"/>
      <c r="L51" s="45"/>
      <c r="M51" s="151"/>
      <c r="N51" s="151"/>
      <c r="O51" s="153"/>
      <c r="P51" s="144">
        <f>$O$42</f>
        <v>-74.954246524606731</v>
      </c>
      <c r="Q51" s="155">
        <f>$O$42</f>
        <v>-74.954246524606731</v>
      </c>
      <c r="R51" s="159">
        <f>$O$42</f>
        <v>-74.954246524606731</v>
      </c>
      <c r="S51" s="154">
        <f>$O$42</f>
        <v>-74.954246524606731</v>
      </c>
      <c r="T51" s="160">
        <f>$O$42</f>
        <v>-74.954246524606731</v>
      </c>
      <c r="U51" s="158"/>
      <c r="V51" s="152"/>
      <c r="Z51"/>
      <c r="AA51"/>
    </row>
    <row r="52" spans="10:28" s="1" customFormat="1" ht="15.75" hidden="1" thickBot="1">
      <c r="J52" s="230" t="s">
        <v>32</v>
      </c>
      <c r="K52" s="231"/>
      <c r="L52" s="167"/>
      <c r="M52" s="168"/>
      <c r="N52" s="151"/>
      <c r="O52" s="168"/>
      <c r="P52" s="153"/>
      <c r="Q52" s="161">
        <f>+$P$42</f>
        <v>74.954246524606731</v>
      </c>
      <c r="R52" s="159">
        <f>+$P$42</f>
        <v>74.954246524606731</v>
      </c>
      <c r="S52" s="162">
        <f>+$P$42</f>
        <v>74.954246524606731</v>
      </c>
      <c r="T52" s="163">
        <f>+$P$42</f>
        <v>74.954246524606731</v>
      </c>
      <c r="U52" s="164">
        <f>+$P$42</f>
        <v>74.954246524606731</v>
      </c>
      <c r="V52" s="152"/>
      <c r="Z52"/>
      <c r="AA52"/>
    </row>
    <row r="53" spans="10:28" s="1" customFormat="1" ht="15.75" thickBot="1">
      <c r="J53" s="169" t="s">
        <v>49</v>
      </c>
      <c r="K53" s="170"/>
      <c r="L53" s="171"/>
      <c r="M53" s="172"/>
      <c r="N53" s="172"/>
      <c r="O53" s="172"/>
      <c r="P53" s="172"/>
      <c r="Q53" s="173">
        <f>+SUM(Q48:Q52)</f>
        <v>-28.917370114743846</v>
      </c>
      <c r="R53" s="173">
        <f>+SUM(R49:R52)</f>
        <v>-40.26687604247536</v>
      </c>
      <c r="S53" s="173">
        <f>+SUM(S50:S52)</f>
        <v>-45.233667168581576</v>
      </c>
      <c r="T53" s="173">
        <f>+SUM(T51:T52)</f>
        <v>0</v>
      </c>
      <c r="U53" s="173">
        <f>+SUM(U52)</f>
        <v>74.954246524606731</v>
      </c>
      <c r="V53" s="174">
        <f>+SUM(Q53:U53)</f>
        <v>-39.463666801194051</v>
      </c>
      <c r="Z53"/>
      <c r="AA53"/>
      <c r="AB53"/>
    </row>
    <row r="54" spans="10:28" s="1" customFormat="1" ht="15.75" thickBot="1">
      <c r="J54" s="175"/>
      <c r="K54" s="175"/>
      <c r="L54" s="175"/>
      <c r="M54" s="176"/>
      <c r="N54" s="176"/>
      <c r="O54" s="176"/>
      <c r="P54" s="176"/>
      <c r="Q54" s="165"/>
      <c r="R54" s="165"/>
      <c r="S54" s="165"/>
      <c r="T54" s="165"/>
      <c r="U54" s="165"/>
      <c r="V54" s="166"/>
      <c r="Z54"/>
      <c r="AA54"/>
      <c r="AB54"/>
    </row>
    <row r="55" spans="10:28" s="1" customFormat="1" ht="15.75" thickBot="1">
      <c r="J55" s="177" t="s">
        <v>50</v>
      </c>
      <c r="K55" s="178"/>
      <c r="L55" s="179"/>
      <c r="M55" s="180"/>
      <c r="N55" s="180"/>
      <c r="O55" s="180"/>
      <c r="P55" s="180"/>
      <c r="Q55" s="173">
        <f>Q53</f>
        <v>-28.917370114743846</v>
      </c>
      <c r="R55" s="173">
        <f>R53</f>
        <v>-40.26687604247536</v>
      </c>
      <c r="S55" s="173">
        <f>S53</f>
        <v>-45.233667168581576</v>
      </c>
      <c r="T55" s="173">
        <f>T53</f>
        <v>0</v>
      </c>
      <c r="U55" s="173">
        <f>U53</f>
        <v>74.954246524606731</v>
      </c>
      <c r="V55" s="174">
        <f>+SUM(Q55:U55)</f>
        <v>-39.463666801194051</v>
      </c>
      <c r="Z55"/>
      <c r="AA55"/>
      <c r="AB55"/>
    </row>
    <row r="56" spans="10:28" s="1" customFormat="1"/>
    <row r="57" spans="10:28" s="1" customFormat="1"/>
    <row r="58" spans="10:28" s="1" customFormat="1"/>
    <row r="59" spans="10:28" s="1" customFormat="1"/>
    <row r="60" spans="10:28" s="1" customFormat="1"/>
    <row r="61" spans="10:28" s="1" customFormat="1" ht="14.65" customHeight="1"/>
    <row r="62" spans="10:28" s="1" customFormat="1" ht="14.65" customHeight="1"/>
    <row r="63" spans="10:28" s="1" customFormat="1" ht="14.65" customHeight="1"/>
    <row r="64" spans="10:28" s="1" customFormat="1" ht="14.65" customHeight="1"/>
    <row r="65" spans="24:29" ht="14.65" customHeight="1">
      <c r="X65" s="1"/>
      <c r="Y65" s="1"/>
      <c r="Z65" s="1"/>
      <c r="AA65" s="1"/>
      <c r="AB65" s="1"/>
      <c r="AC65" s="1"/>
    </row>
    <row r="66" spans="24:29" ht="14.65" customHeight="1">
      <c r="X66" s="1"/>
      <c r="Y66" s="1"/>
      <c r="Z66" s="1"/>
      <c r="AA66" s="1"/>
      <c r="AB66" s="1"/>
      <c r="AC66" s="1"/>
    </row>
    <row r="67" spans="24:29">
      <c r="X67" s="1"/>
      <c r="Y67" s="1"/>
      <c r="Z67" s="1"/>
      <c r="AA67" s="1"/>
      <c r="AB67" s="1"/>
      <c r="AC67" s="1"/>
    </row>
    <row r="68" spans="24:29" ht="14.65" customHeight="1">
      <c r="X68" s="1"/>
      <c r="Y68" s="1"/>
      <c r="Z68" s="1"/>
      <c r="AA68" s="1"/>
      <c r="AB68" s="1"/>
      <c r="AC68" s="1"/>
    </row>
    <row r="69" spans="24:29" ht="14.65" customHeight="1">
      <c r="X69" s="1"/>
      <c r="Y69" s="1"/>
      <c r="Z69" s="1"/>
      <c r="AA69" s="1"/>
      <c r="AB69" s="1"/>
      <c r="AC69" s="1"/>
    </row>
    <row r="70" spans="24:29" ht="14.65" customHeight="1">
      <c r="X70" s="1"/>
      <c r="Y70" s="1"/>
      <c r="Z70" s="1"/>
      <c r="AA70" s="1"/>
      <c r="AB70" s="1"/>
      <c r="AC70" s="1"/>
    </row>
    <row r="71" spans="24:29" ht="14.65" customHeight="1">
      <c r="X71" s="1"/>
      <c r="Y71" s="1"/>
      <c r="Z71" s="1"/>
      <c r="AA71" s="1"/>
      <c r="AB71" s="1"/>
      <c r="AC71" s="1"/>
    </row>
    <row r="72" spans="24:29" ht="0" hidden="1" customHeight="1"/>
    <row r="73" spans="24:29" ht="0" hidden="1" customHeight="1"/>
    <row r="74" spans="24:29" ht="0" hidden="1" customHeight="1"/>
    <row r="75" spans="24:29" ht="0" hidden="1" customHeight="1"/>
    <row r="76" spans="24:29" ht="0" hidden="1" customHeight="1"/>
    <row r="77" spans="24:29" ht="0" hidden="1" customHeight="1"/>
    <row r="78" spans="24:29" ht="0" hidden="1" customHeight="1"/>
    <row r="79" spans="24:29" ht="0" hidden="1" customHeight="1"/>
    <row r="80" spans="24:29" ht="0" hidden="1" customHeight="1"/>
    <row r="81" ht="0" hidden="1" customHeight="1"/>
    <row r="82" ht="0" hidden="1" customHeight="1"/>
  </sheetData>
  <mergeCells count="24">
    <mergeCell ref="J52:K52"/>
    <mergeCell ref="B15:C15"/>
    <mergeCell ref="D15:H15"/>
    <mergeCell ref="J15:P15"/>
    <mergeCell ref="B16:C16"/>
    <mergeCell ref="D16:H16"/>
    <mergeCell ref="J16:K16"/>
    <mergeCell ref="L16:P16"/>
    <mergeCell ref="J50:K50"/>
    <mergeCell ref="B28:H28"/>
    <mergeCell ref="J28:P28"/>
    <mergeCell ref="B29:C29"/>
    <mergeCell ref="D29:H29"/>
    <mergeCell ref="J29:K29"/>
    <mergeCell ref="L29:P29"/>
    <mergeCell ref="L46:V46"/>
    <mergeCell ref="B2:K2"/>
    <mergeCell ref="L2:M2"/>
    <mergeCell ref="J51:K51"/>
    <mergeCell ref="R35:S39"/>
    <mergeCell ref="L45:P45"/>
    <mergeCell ref="Q45:U45"/>
    <mergeCell ref="J48:K48"/>
    <mergeCell ref="J49:K49"/>
  </mergeCells>
  <conditionalFormatting sqref="B31:G31 B33:G38">
    <cfRule type="expression" dxfId="5" priority="5">
      <formula>dms_TradingName = "Endeavour Energy"</formula>
    </cfRule>
    <cfRule type="expression" dxfId="4" priority="6">
      <formula>dms_TradingName = "TasNetworks (T)"</formula>
    </cfRule>
  </conditionalFormatting>
  <conditionalFormatting sqref="B18:H18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B20:H24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3">
    <dataValidation type="list" allowBlank="1" showInputMessage="1" showErrorMessage="1" sqref="B12" xr:uid="{2F758F58-0CB6-4405-BB2F-2830B82212E6}">
      <formula1>$D$3:$H$3</formula1>
    </dataValidation>
    <dataValidation type="list" allowBlank="1" showInputMessage="1" showErrorMessage="1" sqref="Q39" xr:uid="{F087D684-9E73-4362-BD10-932A3E426546}">
      <formula1>$L$30:$O$30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B18:H18" xr:uid="{88FA2B12-2C4C-44BB-B881-206964988437}">
      <formula1>ISNUMBER(B18)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decision</vt:lpstr>
      <vt:lpstr>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2025-04-17T00:49:56Z</dcterms:created>
  <dcterms:modified xsi:type="dcterms:W3CDTF">2025-04-17T00:50:08Z</dcterms:modified>
</cp:coreProperties>
</file>