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1" documentId="8_{DF7FA27B-75EA-40F2-B9D3-2ECF70BC4273}" xr6:coauthVersionLast="47" xr6:coauthVersionMax="47" xr10:uidLastSave="{FF519A45-18E4-4F1A-A302-85114EB11D33}"/>
  <bookViews>
    <workbookView xWindow="-28920" yWindow="-120" windowWidth="29040" windowHeight="15840" tabRatio="890" activeTab="6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CESS true-up" sheetId="15" r:id="rId7"/>
    <sheet name="Output | Models" sheetId="10" r:id="rId8"/>
  </sheets>
  <externalReferences>
    <externalReference r:id="rId9"/>
    <externalReference r:id="rId10"/>
  </externalReferences>
  <definedNames>
    <definedName name="anscount" hidden="1">1</definedName>
    <definedName name="Cash_Timing">[1]LookupTab!$H$43:$H$44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[1]LookupTab!$H$43</definedName>
    <definedName name="millions" localSheetId="3">#REF!</definedName>
    <definedName name="millions">#REF!</definedName>
    <definedName name="Nominal">[1]LookupTab!$H$11</definedName>
    <definedName name="Nominal_to_Real">'[2]Input|Rate of change'!$C$23:$C$26</definedName>
    <definedName name="number">#REF!</definedName>
    <definedName name="percent" localSheetId="7">'[2]Lookup|Tables'!$G$14</definedName>
    <definedName name="percent">#REF!</definedName>
    <definedName name="Quarter">OFFSET(#REF!,1,,COUNTA(#REF!)-1,)</definedName>
    <definedName name="thousands">#REF!</definedName>
    <definedName name="Timing_Adj">[1]LookupTab!$I$43:$I$44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3" l="1"/>
  <c r="D18" i="4" l="1"/>
  <c r="D8" i="4"/>
  <c r="K13" i="14" l="1"/>
  <c r="K14" i="14"/>
  <c r="L21" i="3"/>
  <c r="L22" i="3"/>
  <c r="H15" i="2"/>
  <c r="I7" i="14"/>
  <c r="D30" i="3"/>
  <c r="D10" i="13"/>
  <c r="D9" i="13"/>
  <c r="D8" i="13"/>
  <c r="L2" i="14"/>
  <c r="C30" i="15"/>
  <c r="D8" i="15"/>
  <c r="D7" i="15"/>
  <c r="D6" i="15"/>
  <c r="L20" i="3" l="1"/>
  <c r="L19" i="3"/>
  <c r="L18" i="3"/>
  <c r="K12" i="14" l="1"/>
  <c r="K11" i="14"/>
  <c r="H22" i="15"/>
  <c r="K10" i="14"/>
  <c r="J39" i="4"/>
  <c r="D20" i="2"/>
  <c r="L7" i="13" s="1"/>
  <c r="L19" i="13" s="1"/>
  <c r="D41" i="4"/>
  <c r="E41" i="4" s="1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8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7" i="4"/>
  <c r="J40" i="4"/>
  <c r="L6" i="3"/>
  <c r="K7" i="13"/>
  <c r="K19" i="13" s="1"/>
  <c r="H8" i="14"/>
  <c r="H16" i="14" s="1"/>
  <c r="F19" i="4"/>
  <c r="E19" i="4" s="1"/>
  <c r="E27" i="4"/>
  <c r="F41" i="4"/>
  <c r="K41" i="4"/>
  <c r="J41" i="4"/>
  <c r="N14" i="13"/>
  <c r="B1" i="13"/>
  <c r="B1" i="3"/>
  <c r="B1" i="4"/>
  <c r="B1" i="10"/>
  <c r="D19" i="4" l="1"/>
  <c r="C45" i="4"/>
  <c r="K6" i="3"/>
  <c r="K12" i="3" s="1"/>
  <c r="J7" i="13"/>
  <c r="J19" i="13" s="1"/>
  <c r="G7" i="4"/>
  <c r="I28" i="3"/>
  <c r="M7" i="13"/>
  <c r="M19" i="13" s="1"/>
  <c r="F20" i="2"/>
  <c r="J5" i="15" s="1"/>
  <c r="E24" i="4"/>
  <c r="E40" i="4"/>
  <c r="K40" i="4" s="1"/>
  <c r="I8" i="14"/>
  <c r="I16" i="14" s="1"/>
  <c r="J6" i="3"/>
  <c r="E15" i="2"/>
  <c r="F7" i="4"/>
  <c r="I7" i="13"/>
  <c r="I19" i="13" s="1"/>
  <c r="L16" i="3"/>
  <c r="L12" i="3"/>
  <c r="L41" i="4"/>
  <c r="G41" i="4"/>
  <c r="O14" i="13"/>
  <c r="N22" i="13"/>
  <c r="F25" i="4" s="1"/>
  <c r="F27" i="4" s="1"/>
  <c r="L24" i="3" l="1"/>
  <c r="D21" i="4"/>
  <c r="K6" i="10"/>
  <c r="F40" i="4"/>
  <c r="L6" i="10" s="1"/>
  <c r="J28" i="3"/>
  <c r="N7" i="13"/>
  <c r="N19" i="13" s="1"/>
  <c r="K16" i="3"/>
  <c r="G20" i="2"/>
  <c r="K5" i="15" s="1"/>
  <c r="F24" i="4"/>
  <c r="J16" i="3"/>
  <c r="J12" i="3"/>
  <c r="E7" i="4"/>
  <c r="D15" i="2"/>
  <c r="H7" i="13"/>
  <c r="H19" i="13" s="1"/>
  <c r="I6" i="3"/>
  <c r="L40" i="4"/>
  <c r="K8" i="14"/>
  <c r="K16" i="14" s="1"/>
  <c r="M41" i="4"/>
  <c r="H41" i="4"/>
  <c r="N41" i="4" s="1"/>
  <c r="O22" i="13"/>
  <c r="G25" i="4" s="1"/>
  <c r="G27" i="4" s="1"/>
  <c r="P14" i="13"/>
  <c r="P22" i="13" s="1"/>
  <c r="H25" i="4" s="1"/>
  <c r="H11" i="4" l="1"/>
  <c r="G7" i="13"/>
  <c r="F7" i="13" s="1"/>
  <c r="H6" i="3"/>
  <c r="D7" i="4"/>
  <c r="K24" i="3"/>
  <c r="G11" i="4" s="1"/>
  <c r="J24" i="3"/>
  <c r="F11" i="4" s="1"/>
  <c r="G40" i="4"/>
  <c r="M6" i="10" s="1"/>
  <c r="O7" i="13"/>
  <c r="O19" i="13" s="1"/>
  <c r="G24" i="4"/>
  <c r="K28" i="3"/>
  <c r="H20" i="2"/>
  <c r="I12" i="3"/>
  <c r="I16" i="3"/>
  <c r="H27" i="4"/>
  <c r="H12" i="3" l="1"/>
  <c r="H16" i="3"/>
  <c r="H24" i="3" s="1"/>
  <c r="D11" i="4" s="1"/>
  <c r="G19" i="13"/>
  <c r="I24" i="3"/>
  <c r="E11" i="4" s="1"/>
  <c r="G10" i="13"/>
  <c r="H10" i="13" s="1"/>
  <c r="I10" i="13" s="1"/>
  <c r="J10" i="13" s="1"/>
  <c r="K10" i="13" s="1"/>
  <c r="G15" i="13"/>
  <c r="H15" i="13" s="1"/>
  <c r="I15" i="13" s="1"/>
  <c r="D10" i="4"/>
  <c r="H24" i="4"/>
  <c r="D23" i="2"/>
  <c r="M40" i="4"/>
  <c r="F33" i="15"/>
  <c r="C33" i="15" s="1"/>
  <c r="L5" i="15"/>
  <c r="H40" i="4"/>
  <c r="N40" i="4" s="1"/>
  <c r="P7" i="13"/>
  <c r="P19" i="13" s="1"/>
  <c r="L28" i="3"/>
  <c r="L10" i="13"/>
  <c r="F31" i="3"/>
  <c r="F10" i="3"/>
  <c r="F9" i="3"/>
  <c r="C15" i="13"/>
  <c r="F8" i="3"/>
  <c r="C10" i="13"/>
  <c r="F12" i="3"/>
  <c r="N6" i="10"/>
  <c r="J15" i="13" l="1"/>
  <c r="K15" i="13" s="1"/>
  <c r="F10" i="4"/>
  <c r="F12" i="4" s="1"/>
  <c r="F20" i="4" s="1"/>
  <c r="D12" i="4"/>
  <c r="G13" i="4" s="1"/>
  <c r="E10" i="4"/>
  <c r="E12" i="4" s="1"/>
  <c r="H14" i="4" s="1"/>
  <c r="G10" i="4"/>
  <c r="G12" i="4" s="1"/>
  <c r="H16" i="4" s="1"/>
  <c r="H13" i="4"/>
  <c r="E13" i="4"/>
  <c r="E18" i="4" s="1"/>
  <c r="E21" i="4" s="1"/>
  <c r="F13" i="4"/>
  <c r="E23" i="2"/>
  <c r="M5" i="15"/>
  <c r="H30" i="15" s="1"/>
  <c r="H15" i="4"/>
  <c r="D26" i="4"/>
  <c r="D28" i="4" s="1"/>
  <c r="H10" i="4"/>
  <c r="H12" i="4" s="1"/>
  <c r="H20" i="4" s="1"/>
  <c r="L15" i="13"/>
  <c r="M15" i="13" s="1"/>
  <c r="N15" i="13" s="1"/>
  <c r="O15" i="13" s="1"/>
  <c r="P15" i="13" s="1"/>
  <c r="G14" i="4"/>
  <c r="M10" i="13"/>
  <c r="G15" i="4" l="1"/>
  <c r="G18" i="4" s="1"/>
  <c r="G21" i="4" s="1"/>
  <c r="E20" i="4"/>
  <c r="F14" i="4"/>
  <c r="D20" i="4"/>
  <c r="G20" i="4"/>
  <c r="F18" i="4"/>
  <c r="F21" i="4" s="1"/>
  <c r="F23" i="2"/>
  <c r="N5" i="15"/>
  <c r="I30" i="15" s="1"/>
  <c r="H18" i="4"/>
  <c r="H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J43" i="4" l="1"/>
  <c r="K43" i="4" s="1"/>
  <c r="L43" i="4" s="1"/>
  <c r="M43" i="4" s="1"/>
  <c r="N43" i="4" s="1"/>
  <c r="D42" i="4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47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/>
  <c r="I31" i="15" l="1"/>
  <c r="J31" i="15" l="1"/>
  <c r="K31" i="15"/>
  <c r="L31" i="15" s="1"/>
  <c r="H33" i="15" l="1"/>
  <c r="I33" i="15"/>
  <c r="J33" i="15" s="1"/>
  <c r="K33" i="15" s="1"/>
  <c r="L33" i="15" s="1"/>
  <c r="M33" i="15" l="1"/>
</calcChain>
</file>

<file path=xl/sharedStrings.xml><?xml version="1.0" encoding="utf-8"?>
<sst xmlns="http://schemas.openxmlformats.org/spreadsheetml/2006/main" count="295" uniqueCount="128">
  <si>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</si>
  <si>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</si>
  <si>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</si>
  <si>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</si>
  <si>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</si>
  <si>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</si>
  <si>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</si>
  <si>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</si>
  <si>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</si>
  <si>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</si>
  <si>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</si>
  <si>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</si>
  <si>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</si>
  <si>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</si>
  <si>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</si>
  <si>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</si>
  <si>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</si>
  <si>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</si>
  <si>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</si>
  <si>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</si>
  <si>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</si>
  <si>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</si>
  <si>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</si>
  <si>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</si>
  <si>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</si>
  <si>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</si>
  <si>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</si>
  <si>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</si>
  <si>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</si>
  <si>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</si>
  <si>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</si>
  <si>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</si>
  <si>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</si>
  <si>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</si>
  <si>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</si>
  <si>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</si>
  <si>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</si>
  <si>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</si>
  <si>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</si>
  <si>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</si>
  <si>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</si>
  <si>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</si>
  <si>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</si>
  <si>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</si>
  <si>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</si>
  <si>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</si>
  <si>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</si>
  <si>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</si>
  <si>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</si>
  <si>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</si>
  <si>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</si>
  <si>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</si>
  <si>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</si>
  <si>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</si>
  <si>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</si>
  <si>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</si>
  <si>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</si>
  <si>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</si>
  <si>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</si>
  <si>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</si>
  <si>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</si>
  <si>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</si>
  <si>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</si>
  <si>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</si>
  <si>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</si>
  <si>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</si>
  <si>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</si>
  <si>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</si>
  <si>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</si>
  <si>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</si>
  <si>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</si>
  <si>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</si>
  <si>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</si>
  <si>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</si>
  <si>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</si>
  <si>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</si>
  <si>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</si>
  <si>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</si>
  <si>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</si>
  <si>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</si>
  <si>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</si>
  <si>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</si>
  <si>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</si>
  <si>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</si>
  <si>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</si>
  <si>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</si>
  <si>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</si>
  <si>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</si>
  <si>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</si>
  <si>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</si>
  <si>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</si>
  <si>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</si>
  <si>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</si>
  <si>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</si>
  <si>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</si>
  <si>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</si>
  <si>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</si>
  <si>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</si>
  <si>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</si>
  <si>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</si>
  <si>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</si>
  <si>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</si>
  <si>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</si>
  <si>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</si>
  <si>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</si>
  <si>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</si>
  <si>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</si>
  <si>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</si>
  <si>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</si>
  <si>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</si>
  <si>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</si>
  <si>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</si>
  <si>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</si>
  <si>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</si>
  <si>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</si>
  <si>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</si>
  <si>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</si>
  <si>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</si>
  <si>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Forecast regulatory control period</t>
  </si>
  <si>
    <t>Input | Final year Capex</t>
  </si>
  <si>
    <t>TNSP</t>
  </si>
  <si>
    <t>NCIPAP</t>
  </si>
  <si>
    <t>Segment</t>
  </si>
  <si>
    <t>Directlink</t>
  </si>
  <si>
    <t>2020-25</t>
  </si>
  <si>
    <t>2020-21</t>
  </si>
  <si>
    <t>2025-30</t>
  </si>
  <si>
    <t>FY20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</si>
</sst>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0.0000000%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3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7" fillId="3" borderId="2" xfId="304" applyFont="1" applyFill="1" applyBorder="1" applyAlignment="1" applyProtection="1">
      <alignment horizontal="left" vertical="center"/>
    </xf>
    <xf numFmtId="0" fontId="105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6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5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8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96" fontId="3" fillId="4" borderId="2" xfId="268" applyNumberFormat="1" applyFont="1" applyFill="1" applyBorder="1" applyAlignment="1">
      <alignment horizontal="center" vertical="center"/>
    </xf>
    <xf numFmtId="196" fontId="0" fillId="3" borderId="0" xfId="0" applyNumberFormat="1" applyFill="1"/>
    <xf numFmtId="170" fontId="17" fillId="0" borderId="0" xfId="3" applyNumberFormat="1" applyFont="1" applyFill="1" applyAlignment="1">
      <alignment horizontal="left" indent="1"/>
    </xf>
    <xf numFmtId="0" fontId="101" fillId="0" borderId="0" xfId="265" applyFont="1" applyFill="1" applyAlignment="1">
      <alignment horizontal="left" vertical="center"/>
    </xf>
    <xf numFmtId="0" fontId="10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101" fillId="59" borderId="0" xfId="265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168" fontId="24" fillId="3" borderId="34" xfId="304" applyFont="1" applyFill="1" applyBorder="1" applyAlignment="1">
      <alignment horizontal="right" vertical="center"/>
    </xf>
    <xf numFmtId="168" fontId="24" fillId="3" borderId="2" xfId="304" applyFont="1" applyFill="1" applyBorder="1" applyAlignment="1">
      <alignment horizontal="right" vertical="center"/>
    </xf>
    <xf numFmtId="168" fontId="24" fillId="3" borderId="37" xfId="304" applyFont="1" applyFill="1" applyBorder="1" applyAlignment="1">
      <alignment horizontal="right" vertical="center"/>
    </xf>
    <xf numFmtId="169" fontId="24" fillId="3" borderId="34" xfId="0" applyNumberFormat="1" applyFont="1" applyFill="1" applyBorder="1" applyAlignment="1">
      <alignment horizontal="right" vertical="center"/>
    </xf>
    <xf numFmtId="169" fontId="24" fillId="3" borderId="2" xfId="0" applyNumberFormat="1" applyFont="1" applyFill="1" applyBorder="1" applyAlignment="1">
      <alignment horizontal="right" vertical="center"/>
    </xf>
    <xf numFmtId="169" fontId="24" fillId="3" borderId="37" xfId="0" applyNumberFormat="1" applyFont="1" applyFill="1" applyBorder="1" applyAlignment="1">
      <alignment horizontal="right" vertical="center"/>
    </xf>
    <xf numFmtId="10" fontId="0" fillId="53" borderId="44" xfId="268" applyNumberFormat="1" applyFont="1" applyFill="1" applyBorder="1"/>
    <xf numFmtId="10" fontId="106" fillId="57" borderId="44" xfId="268" applyNumberFormat="1" applyFont="1" applyFill="1" applyBorder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daniel_wotherspoon_aer_gov_au\Documents\dwoth%20temporary\AER%20-%20Transgrid%202023-28%20-%20Draft%20Decision%20-%20Capex%20Model%20-%20September%202022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Directlink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119</v>
      </c>
      <c r="D9" s="26" t="s">
        <v>113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8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114</v>
      </c>
      <c r="D13" s="26" t="s">
        <v>115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8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V26"/>
  <sheetViews>
    <sheetView workbookViewId="0">
      <selection activeCell="I8" sqref="I8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0.5703125" style="11" bestFit="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"&amp;$D$9&amp;" "&amp;D8&amp;" - "&amp;"Capital expenditure sharing scheme model"</f>
        <v>Directlink 2020-25 FY20 True-up - Capital expenditure sharing scheme model</v>
      </c>
      <c r="F1" s="95"/>
      <c r="G1" s="96" t="s">
        <v>15</v>
      </c>
      <c r="H1" s="140" t="s">
        <v>16</v>
      </c>
      <c r="I1" s="145" t="s">
        <v>17</v>
      </c>
      <c r="J1" s="204" t="s">
        <v>34</v>
      </c>
      <c r="M1" s="97"/>
    </row>
    <row r="2" spans="1:13" s="2" customFormat="1" ht="18" customHeight="1">
      <c r="B2" s="10" t="s">
        <v>4</v>
      </c>
      <c r="H2" s="218"/>
      <c r="I2" s="218"/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116</v>
      </c>
      <c r="D6" s="141" t="s">
        <v>123</v>
      </c>
      <c r="J6" s="71"/>
      <c r="K6" s="71"/>
      <c r="L6" s="71"/>
      <c r="M6" s="71"/>
    </row>
    <row r="7" spans="1:13" s="62" customFormat="1" ht="11.25" customHeight="1">
      <c r="C7" s="61" t="s">
        <v>122</v>
      </c>
      <c r="D7" s="141" t="s">
        <v>120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141" t="s">
        <v>127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41" t="s">
        <v>124</v>
      </c>
      <c r="J9" s="71"/>
      <c r="K9" s="71"/>
      <c r="L9" s="71"/>
      <c r="M9" s="71"/>
    </row>
    <row r="10" spans="1:13" s="62" customFormat="1" ht="11.25" customHeight="1">
      <c r="C10" s="167" t="s">
        <v>20</v>
      </c>
      <c r="D10" s="141" t="s">
        <v>125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41" t="s">
        <v>126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4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6" t="str">
        <f t="shared" ref="D15:F15" si="0">IF(LEN(E15)&gt;4,CONCATENATE(LEFT(E15,4)-1&amp;"–"&amp;IF(RIGHT(E15,2)="00","99",IF(RIGHT(E15,2)-1&lt;10,"0","")&amp;RIGHT(E15,2)-1)),E15-1)</f>
        <v>2015–16</v>
      </c>
      <c r="E15" s="166" t="str">
        <f t="shared" si="0"/>
        <v>2016–17</v>
      </c>
      <c r="F15" s="166" t="str">
        <f t="shared" si="0"/>
        <v>2017–18</v>
      </c>
      <c r="G15" s="166" t="str">
        <f>IF(LEN(H15)&gt;4,CONCATENATE(LEFT(H15,4)-1&amp;"–"&amp;IF(RIGHT(H15,2)="00","99",IF(RIGHT(H15,2)-1&lt;10,"0","")&amp;RIGHT(H15,2)-1)),H15-1)</f>
        <v>2018–19</v>
      </c>
      <c r="H15" s="166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41" t="s">
        <v>30</v>
      </c>
      <c r="E16" s="141" t="s">
        <v>30</v>
      </c>
      <c r="F16" s="141" t="s">
        <v>30</v>
      </c>
      <c r="G16" s="141" t="s">
        <v>30</v>
      </c>
      <c r="H16" s="141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41" t="s">
        <v>32</v>
      </c>
      <c r="E17" s="141" t="s">
        <v>32</v>
      </c>
      <c r="F17" s="141" t="s">
        <v>32</v>
      </c>
      <c r="G17" s="141" t="s">
        <v>32</v>
      </c>
      <c r="H17" s="141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6" t="str">
        <f>D10</f>
        <v>2020-21</v>
      </c>
      <c r="E20" s="166" t="str">
        <f>IF(LEN(D20)&gt;4,CONCATENATE(LEFT(D20,4)+1&amp;"–"&amp;IF(RIGHT(D20,2)+1&gt;9,"","0")&amp;RIGHT(D20,2)+1),D20+1)</f>
        <v>2021–22</v>
      </c>
      <c r="F20" s="166" t="str">
        <f t="shared" ref="F20:H20" si="1">IF(LEN(E20)&gt;4,CONCATENATE(LEFT(E20,4)+1&amp;"–"&amp;IF(RIGHT(E20,2)+1&gt;9,"","0")&amp;RIGHT(E20,2)+1),E20+1)</f>
        <v>2022–23</v>
      </c>
      <c r="G20" s="166" t="str">
        <f t="shared" si="1"/>
        <v>2023–24</v>
      </c>
      <c r="H20" s="166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118</v>
      </c>
      <c r="D23" s="166" t="str">
        <f>IF(LEN(H20)&gt;4,CONCATENATE(LEFT(H20,4)+1&amp;"–"&amp;IF(RIGHT(H20,2)+1&gt;9,"","0")&amp;RIGHT(H20,2)+1),H20+1)</f>
        <v>2025–26</v>
      </c>
      <c r="E23" s="166" t="str">
        <f t="shared" ref="E23:H23" si="2">IF(LEN(D23)&gt;4,CONCATENATE(LEFT(D23,4)+1&amp;"–"&amp;IF(RIGHT(D23,2)+1&gt;9,"","0")&amp;RIGHT(D23,2)+1),D23+1)</f>
        <v>2026–27</v>
      </c>
      <c r="F23" s="166" t="str">
        <f t="shared" si="2"/>
        <v>2027–28</v>
      </c>
      <c r="G23" s="166" t="str">
        <f t="shared" si="2"/>
        <v>2028–29</v>
      </c>
      <c r="H23" s="166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>
      <selection activeCell="M22" sqref="M22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95"/>
      <c r="H1" s="96" t="s">
        <v>15</v>
      </c>
      <c r="I1" s="140" t="s">
        <v>16</v>
      </c>
      <c r="J1" s="145" t="s">
        <v>17</v>
      </c>
      <c r="K1" s="222" t="str">
        <f>"AER Final Decision "</f>
        <v xml:space="preserve">AER Final Decision </v>
      </c>
      <c r="N1" s="97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5" t="str">
        <f>IF(LEN(G7)&gt;4,CONCATENATE(LEFT(G7,4)-1&amp;"–"&amp;IF(RIGHT(G7,2)="00","99",IF(RIGHT(G7,2)-1&lt;10,"0","")&amp;RIGHT(G7,2)-1)),G7-1)</f>
        <v>2014–15</v>
      </c>
      <c r="G7" s="154" t="str">
        <f>'Input | General'!D15</f>
        <v>2015–16</v>
      </c>
      <c r="H7" s="154" t="str">
        <f>'Input | General'!E15</f>
        <v>2016–17</v>
      </c>
      <c r="I7" s="154" t="str">
        <f>'Input | General'!F15</f>
        <v>2017–18</v>
      </c>
      <c r="J7" s="154" t="str">
        <f>'Input | General'!G15</f>
        <v>2018–19</v>
      </c>
      <c r="K7" s="154" t="str">
        <f>'Input | General'!H15</f>
        <v>2019–20</v>
      </c>
      <c r="L7" s="154" t="str">
        <f>'Input | General'!D20</f>
        <v>2020-21</v>
      </c>
      <c r="M7" s="154" t="str">
        <f>'Input | General'!E20</f>
        <v>2021–22</v>
      </c>
      <c r="N7" s="154" t="str">
        <f>'Input | General'!F20</f>
        <v>2022–23</v>
      </c>
      <c r="O7" s="154" t="str">
        <f>'Input | General'!G20</f>
        <v>2023–24</v>
      </c>
      <c r="P7" s="154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TNSP</v>
      </c>
      <c r="E8" s="70" t="s">
        <v>40</v>
      </c>
      <c r="F8" s="70"/>
      <c r="G8" s="142">
        <v>1.6885553470919357E-2</v>
      </c>
      <c r="H8" s="142">
        <v>1.4760147601476037E-2</v>
      </c>
      <c r="I8" s="142">
        <v>1.9090909090909047E-2</v>
      </c>
      <c r="J8" s="142">
        <v>1.7841213202497874E-2</v>
      </c>
      <c r="K8" s="142">
        <v>0.02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41</v>
      </c>
      <c r="D9" s="70" t="str">
        <f>'Input | General'!$D$7</f>
        <v>TNSP</v>
      </c>
      <c r="E9" s="70" t="s">
        <v>40</v>
      </c>
      <c r="F9" s="70"/>
      <c r="G9" s="116"/>
      <c r="H9" s="116"/>
      <c r="I9" s="116"/>
      <c r="J9" s="116"/>
      <c r="K9" s="116"/>
      <c r="L9" s="142">
        <v>2.3370936398920517E-2</v>
      </c>
      <c r="M9" s="128">
        <f t="shared" ref="M9:P9" si="0">L9</f>
        <v>2.3370936398920517E-2</v>
      </c>
      <c r="N9" s="128">
        <f t="shared" si="0"/>
        <v>2.3370936398920517E-2</v>
      </c>
      <c r="O9" s="128">
        <f t="shared" si="0"/>
        <v>2.3370936398920517E-2</v>
      </c>
      <c r="P9" s="128">
        <f t="shared" si="0"/>
        <v>2.3370936398920517E-2</v>
      </c>
    </row>
    <row r="10" spans="1:20" ht="11.25" customHeight="1">
      <c r="A10" s="2"/>
      <c r="B10" s="2"/>
      <c r="C10" s="125" t="str">
        <f>"CPI Index (base year "&amp;F7&amp;")"</f>
        <v>CPI Index (base year 2014–15)</v>
      </c>
      <c r="D10" s="70" t="str">
        <f>'Input | General'!$D$7</f>
        <v>TNSP</v>
      </c>
      <c r="E10" s="70" t="s">
        <v>0</v>
      </c>
      <c r="F10" s="123">
        <v>1</v>
      </c>
      <c r="G10" s="112">
        <f>IF(G7&lt;&gt;"",(F10*(1+G8)),"")</f>
        <v>1.0168855534709194</v>
      </c>
      <c r="H10" s="112">
        <f>IF(H7&lt;&gt;"",(G10*(1+H8)),"")</f>
        <v>1.0318949343339587</v>
      </c>
      <c r="I10" s="112">
        <f>IF(I7&lt;&gt;"",(H10*(1+I8)),"")</f>
        <v>1.0515947467166979</v>
      </c>
      <c r="J10" s="112">
        <f>IF(J7&lt;&gt;"",(I10*(1+J8)),"")</f>
        <v>1.0703564727954973</v>
      </c>
      <c r="K10" s="112">
        <f>IF(K7&lt;&gt;"",(J10*(1+K8)),"")</f>
        <v>1.0917636022514072</v>
      </c>
      <c r="L10" s="79">
        <f t="shared" ref="L10:P10" si="1">IF(L7&lt;&gt;"",(K10*(1+L9)),"")</f>
        <v>1.1172791399622812</v>
      </c>
      <c r="M10" s="79">
        <f t="shared" si="1"/>
        <v>1.1433909996821803</v>
      </c>
      <c r="N10" s="79">
        <f t="shared" si="1"/>
        <v>1.1701131180148507</v>
      </c>
      <c r="O10" s="79">
        <f t="shared" si="1"/>
        <v>1.1974597572755183</v>
      </c>
      <c r="P10" s="79">
        <f t="shared" si="1"/>
        <v>1.2254455131030713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7"/>
      <c r="L11" s="117"/>
      <c r="M11" s="117"/>
      <c r="N11" s="117"/>
      <c r="O11" s="117"/>
      <c r="P11" s="117"/>
    </row>
    <row r="12" spans="1:20" ht="11.25" customHeight="1">
      <c r="A12" s="2"/>
      <c r="B12" s="2"/>
      <c r="C12" s="72"/>
      <c r="D12" s="70"/>
      <c r="E12" s="70"/>
      <c r="F12" s="70"/>
      <c r="G12" s="115"/>
      <c r="H12" s="115"/>
      <c r="I12" s="115"/>
      <c r="J12" s="115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42</v>
      </c>
      <c r="E13" s="70" t="s">
        <v>40</v>
      </c>
      <c r="F13" s="70"/>
      <c r="G13" s="142">
        <v>1.6885553470919357E-2</v>
      </c>
      <c r="H13" s="142">
        <v>1.4760147601476037E-2</v>
      </c>
      <c r="I13" s="142">
        <v>1.9090909090909047E-2</v>
      </c>
      <c r="J13" s="142">
        <v>1.7841213202497874E-2</v>
      </c>
      <c r="K13" s="142">
        <v>1.8404907975460238E-2</v>
      </c>
      <c r="L13" s="115"/>
      <c r="M13" s="115"/>
      <c r="N13" s="115"/>
      <c r="O13" s="115"/>
      <c r="P13" s="115"/>
    </row>
    <row r="14" spans="1:20" ht="11.25" customHeight="1">
      <c r="A14" s="2"/>
      <c r="B14" s="2"/>
      <c r="C14" s="72" t="s">
        <v>41</v>
      </c>
      <c r="D14" s="70" t="s">
        <v>42</v>
      </c>
      <c r="E14" s="70" t="s">
        <v>40</v>
      </c>
      <c r="F14" s="70"/>
      <c r="G14" s="78"/>
      <c r="H14" s="78"/>
      <c r="I14" s="78"/>
      <c r="J14" s="78"/>
      <c r="K14" s="78"/>
      <c r="L14" s="142">
        <v>2.2739900899011012E-2</v>
      </c>
      <c r="M14" s="128">
        <f t="shared" ref="M14:P14" si="2">L14</f>
        <v>2.2739900899011012E-2</v>
      </c>
      <c r="N14" s="128">
        <f t="shared" si="2"/>
        <v>2.2739900899011012E-2</v>
      </c>
      <c r="O14" s="128">
        <f t="shared" si="2"/>
        <v>2.2739900899011012E-2</v>
      </c>
      <c r="P14" s="128">
        <f t="shared" si="2"/>
        <v>2.2739900899011012E-2</v>
      </c>
    </row>
    <row r="15" spans="1:20" ht="11.25" customHeight="1">
      <c r="A15" s="2"/>
      <c r="B15" s="2"/>
      <c r="C15" s="125" t="str">
        <f>"CPI Index (base year "&amp;F7&amp;")"</f>
        <v>CPI Index (base year 2014–15)</v>
      </c>
      <c r="D15" s="70" t="s">
        <v>42</v>
      </c>
      <c r="E15" s="70" t="s">
        <v>0</v>
      </c>
      <c r="F15" s="123">
        <v>1</v>
      </c>
      <c r="G15" s="112">
        <f>IF(G7&lt;&gt;"",(F15*(1+G13)),"")</f>
        <v>1.0168855534709194</v>
      </c>
      <c r="H15" s="112">
        <f>IF(H7&lt;&gt;"",(G15*(1+H13)),"")</f>
        <v>1.0318949343339587</v>
      </c>
      <c r="I15" s="112">
        <f>IF(I7&lt;&gt;"",(H15*(1+I13)),"")</f>
        <v>1.0515947467166979</v>
      </c>
      <c r="J15" s="112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8"/>
      <c r="L16" s="118"/>
      <c r="M16" s="118"/>
      <c r="N16" s="118"/>
      <c r="O16" s="118"/>
      <c r="P16" s="118"/>
    </row>
    <row r="17" spans="1:16" s="73" customFormat="1" ht="12.75" customHeight="1">
      <c r="C17" s="23" t="s">
        <v>43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4" t="str">
        <f>G7</f>
        <v>2015–16</v>
      </c>
      <c r="H19" s="154" t="str">
        <f t="shared" ref="H19:P19" si="4">H7</f>
        <v>2016–17</v>
      </c>
      <c r="I19" s="154" t="str">
        <f t="shared" si="4"/>
        <v>2017–18</v>
      </c>
      <c r="J19" s="154" t="str">
        <f t="shared" si="4"/>
        <v>2018–19</v>
      </c>
      <c r="K19" s="154" t="str">
        <f t="shared" si="4"/>
        <v>2019–20</v>
      </c>
      <c r="L19" s="154" t="str">
        <f t="shared" si="4"/>
        <v>2020-21</v>
      </c>
      <c r="M19" s="154" t="str">
        <f t="shared" si="4"/>
        <v>2021–22</v>
      </c>
      <c r="N19" s="154" t="str">
        <f t="shared" si="4"/>
        <v>2022–23</v>
      </c>
      <c r="O19" s="154" t="str">
        <f t="shared" si="4"/>
        <v>2023–24</v>
      </c>
      <c r="P19" s="154" t="str">
        <f t="shared" si="4"/>
        <v>2024–25</v>
      </c>
    </row>
    <row r="20" spans="1:16" ht="11.25" customHeight="1">
      <c r="C20" s="72" t="s">
        <v>44</v>
      </c>
      <c r="D20" s="70" t="s">
        <v>42</v>
      </c>
      <c r="E20" s="70" t="s">
        <v>40</v>
      </c>
      <c r="F20" s="71"/>
      <c r="G20" s="142">
        <v>2.8284302053042776E-2</v>
      </c>
      <c r="H20" s="142">
        <v>2.8984734486499963E-2</v>
      </c>
      <c r="I20" s="142">
        <v>2.9429207036236971E-2</v>
      </c>
      <c r="J20" s="142">
        <v>2.9545146020704349E-2</v>
      </c>
      <c r="K20" s="142">
        <v>2.9654045371822368E-2</v>
      </c>
      <c r="L20" s="78"/>
      <c r="M20" s="78"/>
      <c r="N20" s="78"/>
      <c r="O20" s="78"/>
      <c r="P20" s="78"/>
    </row>
    <row r="21" spans="1:16" ht="11.25" customHeight="1">
      <c r="C21" s="137" t="s">
        <v>45</v>
      </c>
      <c r="D21" s="70" t="s">
        <v>42</v>
      </c>
      <c r="E21" s="70" t="s">
        <v>40</v>
      </c>
      <c r="F21" s="71"/>
      <c r="G21" s="71"/>
      <c r="H21" s="71"/>
      <c r="I21" s="71"/>
      <c r="J21" s="71"/>
      <c r="K21" s="71"/>
      <c r="L21" s="142">
        <v>2.2038537773495556E-2</v>
      </c>
      <c r="M21" s="142">
        <v>2.1007770428195106E-2</v>
      </c>
      <c r="N21" s="142">
        <v>1.997700308289465E-2</v>
      </c>
      <c r="O21" s="142">
        <v>1.8946235737594332E-2</v>
      </c>
      <c r="P21" s="142">
        <v>1.7915468392293875E-2</v>
      </c>
    </row>
    <row r="22" spans="1:16" ht="11.25" customHeight="1">
      <c r="C22" s="72" t="s">
        <v>46</v>
      </c>
      <c r="D22" s="70" t="s">
        <v>47</v>
      </c>
      <c r="E22" s="70" t="s">
        <v>40</v>
      </c>
      <c r="F22" s="71"/>
      <c r="G22" s="129">
        <f>IF(AND(G13&lt;&gt;"",G20&lt;&gt;""),((1+G20)*(1+G13)-1),"")</f>
        <v>4.5647451618666457E-2</v>
      </c>
      <c r="H22" s="129">
        <f>IF(AND(H13&lt;&gt;"",H20&lt;&gt;""),((1+H20)*(1+H13)-1),"")</f>
        <v>4.4172701047186402E-2</v>
      </c>
      <c r="I22" s="129">
        <f>IF(AND(I13&lt;&gt;"",I20&lt;&gt;""),((1+I20)*(1+I13)-1),"")</f>
        <v>4.9081946443292335E-2</v>
      </c>
      <c r="J22" s="129">
        <f>IF(AND(J13&lt;&gt;"",J20&lt;&gt;""),((1+J20)*(1+J13)-1),"")</f>
        <v>4.7913480472456582E-2</v>
      </c>
      <c r="K22" s="129">
        <f>IF(AND(K13&lt;&gt;"",K20&lt;&gt;""),((1+K20)*(1+K13)-1),"")</f>
        <v>4.8604733323451166E-2</v>
      </c>
      <c r="L22" s="129">
        <f>IF(AND(L14&lt;&gt;"",L21&lt;&gt;""),((1+L21)*(1+L14)-1),"")</f>
        <v>4.527959283743499E-2</v>
      </c>
      <c r="M22" s="129">
        <f t="shared" ref="M22:P22" si="5">IF(AND(M14&lt;&gt;"",M21&lt;&gt;""),((1+M21)*(1+M14)-1),"")</f>
        <v>4.4225385944852258E-2</v>
      </c>
      <c r="N22" s="129">
        <f t="shared" si="5"/>
        <v>4.317117905226997E-2</v>
      </c>
      <c r="O22" s="129">
        <f t="shared" si="5"/>
        <v>4.211697215968746E-2</v>
      </c>
      <c r="P22" s="129">
        <f t="shared" si="5"/>
        <v>4.1062765267105172E-2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V19"/>
  <sheetViews>
    <sheetView workbookViewId="0">
      <selection activeCell="I10" sqref="I10:I14"/>
    </sheetView>
  </sheetViews>
  <sheetFormatPr defaultColWidth="0" defaultRowHeight="15" zeroHeight="1"/>
  <cols>
    <col min="1" max="1" width="2.42578125" customWidth="1"/>
    <col min="2" max="2" width="15.5703125" customWidth="1"/>
    <col min="3" max="3" width="30" bestFit="1" customWidth="1"/>
    <col min="4" max="4" width="22.85546875" customWidth="1"/>
    <col min="5" max="5" width="14" customWidth="1"/>
    <col min="6" max="6" width="13.5703125" customWidth="1"/>
    <col min="7" max="7" width="11.28515625" customWidth="1"/>
    <col min="8" max="8" width="14.7109375" customWidth="1"/>
    <col min="9" max="9" width="13.42578125" customWidth="1"/>
    <col min="10" max="10" width="3.42578125" customWidth="1"/>
    <col min="11" max="11" width="9.140625" customWidth="1"/>
    <col min="12" max="12" width="11.5703125" customWidth="1"/>
    <col min="13" max="22" width="9.140625" customWidth="1"/>
    <col min="23" max="16384" width="9.140625" hidden="1"/>
  </cols>
  <sheetData>
    <row r="1" spans="1:22" ht="15.75">
      <c r="A1" s="71"/>
      <c r="B1" s="3" t="str">
        <f>'Input | General'!$B$1</f>
        <v>Directlink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9.5">
      <c r="A2" s="71"/>
      <c r="B2" s="71" t="s">
        <v>48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97"/>
      <c r="L2" s="208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218"/>
      <c r="L3" s="218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49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07" t="str">
        <f>'Input | General'!$D$6&amp;" Actual"</f>
        <v>Directlink Actual</v>
      </c>
      <c r="J7" s="71"/>
      <c r="K7" s="70" t="s">
        <v>50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51</v>
      </c>
      <c r="G8" s="56"/>
      <c r="H8" s="156" t="str">
        <f>'Input | General'!$H$15</f>
        <v>2019–20</v>
      </c>
      <c r="I8" s="156" t="str">
        <f>H8</f>
        <v>2019–20</v>
      </c>
      <c r="J8" s="71"/>
      <c r="K8" s="156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52</v>
      </c>
      <c r="D10" s="211"/>
      <c r="E10" s="70" t="s">
        <v>53</v>
      </c>
      <c r="F10" s="70" t="s">
        <v>54</v>
      </c>
      <c r="G10" s="60"/>
      <c r="H10" s="209">
        <v>9.4571472770306944</v>
      </c>
      <c r="I10" s="143">
        <v>7.8050743499999999</v>
      </c>
      <c r="J10" s="71"/>
      <c r="K10" s="203">
        <f>I10-H10</f>
        <v>-1.6520729270306944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55</v>
      </c>
      <c r="D11" s="211"/>
      <c r="E11" s="70" t="s">
        <v>53</v>
      </c>
      <c r="F11" s="70" t="s">
        <v>54</v>
      </c>
      <c r="G11" s="127"/>
      <c r="H11" s="209"/>
      <c r="I11" s="143"/>
      <c r="J11" s="71"/>
      <c r="K11" s="203">
        <f t="shared" ref="K11:K14" si="0">I11-H11</f>
        <v>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6" t="s">
        <v>56</v>
      </c>
      <c r="D12" s="211"/>
      <c r="E12" s="70" t="s">
        <v>53</v>
      </c>
      <c r="F12" s="70" t="s">
        <v>54</v>
      </c>
      <c r="G12" s="127"/>
      <c r="H12" s="209"/>
      <c r="I12" s="143"/>
      <c r="J12" s="71"/>
      <c r="K12" s="203">
        <f t="shared" si="0"/>
        <v>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26" t="s">
        <v>121</v>
      </c>
      <c r="D13" s="211"/>
      <c r="E13" s="70" t="s">
        <v>53</v>
      </c>
      <c r="F13" s="70" t="s">
        <v>54</v>
      </c>
      <c r="G13" s="127"/>
      <c r="H13" s="209"/>
      <c r="I13" s="143"/>
      <c r="J13" s="71"/>
      <c r="K13" s="203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138" t="s">
        <v>57</v>
      </c>
      <c r="D14" s="211"/>
      <c r="E14" s="70" t="s">
        <v>53</v>
      </c>
      <c r="F14" s="70" t="s">
        <v>54</v>
      </c>
      <c r="G14" s="60"/>
      <c r="H14" s="209"/>
      <c r="I14" s="143"/>
      <c r="J14" s="71"/>
      <c r="K14" s="203">
        <f t="shared" si="0"/>
        <v>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0"/>
      <c r="D15" s="60"/>
      <c r="E15" s="60"/>
      <c r="F15" s="60"/>
      <c r="G15" s="60"/>
      <c r="H15" s="59"/>
      <c r="I15" s="59"/>
      <c r="J15" s="71"/>
      <c r="K15" s="59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2"/>
      <c r="B16" s="65"/>
      <c r="C16" s="69" t="s">
        <v>58</v>
      </c>
      <c r="D16" s="68" t="s">
        <v>47</v>
      </c>
      <c r="E16" s="159" t="s">
        <v>53</v>
      </c>
      <c r="F16" s="159" t="s">
        <v>54</v>
      </c>
      <c r="G16" s="60"/>
      <c r="H16" s="58">
        <f>IF(H8="", "", H10-H11-H12-H13-H14)</f>
        <v>9.4571472770306944</v>
      </c>
      <c r="I16" s="58">
        <f>IF(I8="", "", I10-I11-I12-I13-I14)</f>
        <v>7.8050743499999999</v>
      </c>
      <c r="J16" s="71"/>
      <c r="K16" s="58">
        <f>IF(K8="", "", K10-K11-K12-K13-K14)</f>
        <v>-1.6520729270306944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>
      <c r="A19" s="8"/>
      <c r="B19" s="66" t="s">
        <v>14</v>
      </c>
      <c r="C19" s="8"/>
      <c r="D19" s="15"/>
      <c r="E19" s="15"/>
      <c r="F19" s="15"/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</sheetData>
  <conditionalFormatting sqref="H10:I14">
    <cfRule type="expression" dxfId="6" priority="5">
      <formula>IF($H$7&lt;&gt;"","FALSE","TRUE")</formula>
    </cfRule>
  </conditionalFormatting>
  <conditionalFormatting sqref="K10:K14">
    <cfRule type="expression" dxfId="5" priority="2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5"/>
  <sheetViews>
    <sheetView workbookViewId="0">
      <selection activeCell="L1" sqref="L1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3"/>
      <c r="H1" s="95"/>
      <c r="I1" s="96" t="s">
        <v>15</v>
      </c>
      <c r="J1" s="140" t="s">
        <v>16</v>
      </c>
      <c r="K1" s="205" t="s">
        <v>17</v>
      </c>
      <c r="L1" s="204" t="s">
        <v>34</v>
      </c>
    </row>
    <row r="2" spans="2:14" ht="18" customHeight="1">
      <c r="B2" s="10" t="s">
        <v>59</v>
      </c>
      <c r="D2" s="10"/>
      <c r="E2" s="10"/>
      <c r="F2" s="10"/>
      <c r="G2" s="10"/>
      <c r="J2" s="219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51</v>
      </c>
      <c r="G6" s="56"/>
      <c r="H6" s="156" t="str">
        <f>IF('Input | General'!D16="Yes",'Input | General'!D15,"n/a")</f>
        <v>2015–16</v>
      </c>
      <c r="I6" s="156" t="str">
        <f>IF('Input | General'!E16="Yes",'Input | General'!E15,"n/a")</f>
        <v>2016–17</v>
      </c>
      <c r="J6" s="156" t="str">
        <f>IF('Input | General'!F16="Yes",'Input | General'!F15,"n/a")</f>
        <v>2017–18</v>
      </c>
      <c r="K6" s="156" t="str">
        <f>IF('Input | General'!G16="Yes",'Input | General'!G15,"n/a")</f>
        <v>2018–19</v>
      </c>
      <c r="L6" s="156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61</v>
      </c>
      <c r="D8" s="70" t="s">
        <v>42</v>
      </c>
      <c r="E8" s="70" t="s">
        <v>53</v>
      </c>
      <c r="F8" s="70" t="str">
        <f>'Input | Inflation and Disc Rate'!$F$7</f>
        <v>2014–15</v>
      </c>
      <c r="G8" s="60"/>
      <c r="H8" s="143">
        <v>7</v>
      </c>
      <c r="I8" s="143">
        <v>1.6</v>
      </c>
      <c r="J8" s="143">
        <v>1.9</v>
      </c>
      <c r="K8" s="143">
        <v>2.7</v>
      </c>
      <c r="L8" s="143">
        <v>13.7</v>
      </c>
    </row>
    <row r="9" spans="2:14" ht="10.5" customHeight="1">
      <c r="C9" s="72" t="s">
        <v>55</v>
      </c>
      <c r="D9" s="70" t="s">
        <v>42</v>
      </c>
      <c r="E9" s="70" t="s">
        <v>53</v>
      </c>
      <c r="F9" s="70" t="str">
        <f>'Input | Inflation and Disc Rate'!$F$7</f>
        <v>2014–15</v>
      </c>
      <c r="G9" s="60"/>
      <c r="H9" s="143"/>
      <c r="I9" s="143"/>
      <c r="J9" s="143"/>
      <c r="K9" s="143"/>
      <c r="L9" s="143"/>
    </row>
    <row r="10" spans="2:14" ht="10.5" customHeight="1">
      <c r="C10" s="72" t="s">
        <v>56</v>
      </c>
      <c r="D10" s="70" t="s">
        <v>42</v>
      </c>
      <c r="E10" s="70" t="s">
        <v>53</v>
      </c>
      <c r="F10" s="70" t="str">
        <f>'Input | Inflation and Disc Rate'!$F$7</f>
        <v>2014–15</v>
      </c>
      <c r="G10" s="60"/>
      <c r="H10" s="143"/>
      <c r="I10" s="143"/>
      <c r="J10" s="143"/>
      <c r="K10" s="143"/>
      <c r="L10" s="143"/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62</v>
      </c>
      <c r="D12" s="68" t="s">
        <v>47</v>
      </c>
      <c r="E12" s="157" t="s">
        <v>53</v>
      </c>
      <c r="F12" s="158" t="str">
        <f>'Input | Inflation and Disc Rate'!$F$7</f>
        <v>2014–15</v>
      </c>
      <c r="G12" s="60"/>
      <c r="H12" s="58">
        <f>IF(H6="", "", H8-H9-H10)</f>
        <v>7</v>
      </c>
      <c r="I12" s="58">
        <f t="shared" ref="I12:L12" si="0">IF(I6="", "", I8-I9-I10)</f>
        <v>1.6</v>
      </c>
      <c r="J12" s="58">
        <f t="shared" si="0"/>
        <v>1.9</v>
      </c>
      <c r="K12" s="58">
        <f t="shared" si="0"/>
        <v>2.7</v>
      </c>
      <c r="L12" s="58">
        <f t="shared" si="0"/>
        <v>13.7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49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51</v>
      </c>
      <c r="G16" s="56"/>
      <c r="H16" s="156" t="str">
        <f>H6</f>
        <v>2015–16</v>
      </c>
      <c r="I16" s="156" t="str">
        <f t="shared" ref="I16:L16" si="1">I6</f>
        <v>2016–17</v>
      </c>
      <c r="J16" s="156" t="str">
        <f t="shared" si="1"/>
        <v>2017–18</v>
      </c>
      <c r="K16" s="156" t="str">
        <f t="shared" si="1"/>
        <v>2018–19</v>
      </c>
      <c r="L16" s="156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0" t="s">
        <v>34</v>
      </c>
      <c r="M17" s="202" t="s">
        <v>63</v>
      </c>
      <c r="N17" s="60"/>
    </row>
    <row r="18" spans="2:14" ht="10.5" customHeight="1">
      <c r="B18" s="65"/>
      <c r="C18" s="72" t="s">
        <v>52</v>
      </c>
      <c r="D18" s="70" t="s">
        <v>42</v>
      </c>
      <c r="E18" s="70" t="s">
        <v>53</v>
      </c>
      <c r="F18" s="70" t="s">
        <v>54</v>
      </c>
      <c r="G18" s="60"/>
      <c r="H18" s="143">
        <v>3.9470450799999997</v>
      </c>
      <c r="I18" s="143">
        <v>3.3402399999999992</v>
      </c>
      <c r="J18" s="143">
        <v>9.96762397</v>
      </c>
      <c r="K18" s="143">
        <v>6.2488116499999995</v>
      </c>
      <c r="L18" s="206">
        <f>INDEX('Input | Final year Capex'!$H$10:$I$14,MATCH('Input | Reported Capex'!C18,'Input | Final year Capex'!$C$10:$C$14,0),MATCH('Input | Reported Capex'!$L$17,'Input | Final year Capex'!$H$7:$I$7,0))</f>
        <v>9.4571472770306944</v>
      </c>
    </row>
    <row r="19" spans="2:14" ht="10.5" customHeight="1">
      <c r="B19" s="65"/>
      <c r="C19" s="72" t="s">
        <v>55</v>
      </c>
      <c r="D19" s="70" t="s">
        <v>42</v>
      </c>
      <c r="E19" s="70" t="s">
        <v>53</v>
      </c>
      <c r="F19" s="70" t="s">
        <v>54</v>
      </c>
      <c r="G19" s="127"/>
      <c r="H19" s="144"/>
      <c r="I19" s="143"/>
      <c r="J19" s="143"/>
      <c r="K19" s="143"/>
      <c r="L19" s="206">
        <f>INDEX('Input | Final year Capex'!$H$10:$I$14,MATCH('Input | Reported Capex'!C19,'Input | Final year Capex'!$C$10:$C$14,0),MATCH('Input | Reported Capex'!$L$17,'Input | Final year Capex'!$H$7:$I$7,0))</f>
        <v>0</v>
      </c>
    </row>
    <row r="20" spans="2:14" ht="10.5" customHeight="1">
      <c r="B20" s="65"/>
      <c r="C20" s="126" t="s">
        <v>56</v>
      </c>
      <c r="D20" s="70" t="s">
        <v>42</v>
      </c>
      <c r="E20" s="70" t="s">
        <v>53</v>
      </c>
      <c r="F20" s="70" t="s">
        <v>54</v>
      </c>
      <c r="G20" s="127"/>
      <c r="H20" s="144"/>
      <c r="I20" s="143"/>
      <c r="J20" s="143"/>
      <c r="K20" s="143"/>
      <c r="L20" s="206">
        <f>INDEX('Input | Final year Capex'!$H$10:$I$14,MATCH('Input | Reported Capex'!C20,'Input | Final year Capex'!$C$10:$C$14,0),MATCH('Input | Reported Capex'!$L$17,'Input | Final year Capex'!$H$7:$I$7,0))</f>
        <v>0</v>
      </c>
    </row>
    <row r="21" spans="2:14" ht="10.5" customHeight="1">
      <c r="B21" s="65"/>
      <c r="C21" s="126" t="s">
        <v>121</v>
      </c>
      <c r="D21" s="70" t="s">
        <v>42</v>
      </c>
      <c r="E21" s="70" t="s">
        <v>53</v>
      </c>
      <c r="F21" s="70" t="s">
        <v>54</v>
      </c>
      <c r="G21" s="127"/>
      <c r="H21" s="144"/>
      <c r="I21" s="143"/>
      <c r="J21" s="143"/>
      <c r="K21" s="143"/>
      <c r="L21" s="206">
        <f>INDEX('Input | Final year Capex'!$H$10:$I$14,MATCH('Input | Reported Capex'!C21,'Input | Final year Capex'!$C$10:$C$14,0),MATCH('Input | Reported Capex'!$L$17,'Input | Final year Capex'!$H$7:$I$7,0))</f>
        <v>0</v>
      </c>
    </row>
    <row r="22" spans="2:14" ht="10.5" customHeight="1">
      <c r="B22" s="65"/>
      <c r="C22" s="138" t="s">
        <v>57</v>
      </c>
      <c r="D22" s="70" t="s">
        <v>42</v>
      </c>
      <c r="E22" s="70" t="s">
        <v>53</v>
      </c>
      <c r="F22" s="70" t="s">
        <v>54</v>
      </c>
      <c r="G22" s="60"/>
      <c r="H22" s="144"/>
      <c r="I22" s="143"/>
      <c r="J22" s="143"/>
      <c r="K22" s="143"/>
      <c r="L22" s="206">
        <f>INDEX('Input | Final year Capex'!$H$10:$I$14,MATCH('Input | Reported Capex'!C22,'Input | Final year Capex'!$C$10:$C$14,0),MATCH('Input | Reported Capex'!$L$17,'Input | Final year Capex'!$H$7:$I$7,0))</f>
        <v>0</v>
      </c>
    </row>
    <row r="23" spans="2:14" ht="10.5" customHeight="1">
      <c r="B23" s="65"/>
      <c r="C23" s="60"/>
      <c r="D23" s="60"/>
      <c r="E23" s="60"/>
      <c r="F23" s="60"/>
      <c r="G23" s="60"/>
      <c r="H23" s="59"/>
      <c r="I23" s="59"/>
      <c r="J23" s="59"/>
      <c r="K23" s="59"/>
      <c r="L23" s="59"/>
      <c r="M23" s="60"/>
      <c r="N23" s="60"/>
    </row>
    <row r="24" spans="2:14" ht="10.5" customHeight="1">
      <c r="B24" s="65"/>
      <c r="C24" s="69" t="s">
        <v>58</v>
      </c>
      <c r="D24" s="68" t="s">
        <v>47</v>
      </c>
      <c r="E24" s="159" t="s">
        <v>53</v>
      </c>
      <c r="F24" s="159" t="s">
        <v>54</v>
      </c>
      <c r="G24" s="60"/>
      <c r="H24" s="58">
        <f>IF(H16="", "", H18-H19-H20-H21-H22)</f>
        <v>3.9470450799999997</v>
      </c>
      <c r="I24" s="58">
        <f t="shared" ref="I24:L24" si="2">IF(I16="", "", I18-I19-I20-I21-I22)</f>
        <v>3.3402399999999992</v>
      </c>
      <c r="J24" s="58">
        <f t="shared" si="2"/>
        <v>9.96762397</v>
      </c>
      <c r="K24" s="58">
        <f t="shared" si="2"/>
        <v>6.2488116499999995</v>
      </c>
      <c r="L24" s="58">
        <f t="shared" si="2"/>
        <v>9.4571472770306944</v>
      </c>
    </row>
    <row r="25" spans="2:14" ht="10.5" customHeight="1">
      <c r="B25" s="65"/>
      <c r="C25" s="2"/>
      <c r="M25" s="64"/>
      <c r="N25" s="64"/>
    </row>
    <row r="26" spans="2:14" s="8" customFormat="1" ht="12.75" customHeight="1">
      <c r="B26" s="66" t="s">
        <v>64</v>
      </c>
      <c r="D26" s="15"/>
      <c r="E26" s="15"/>
      <c r="F26" s="15"/>
      <c r="G26" s="15"/>
    </row>
    <row r="27" spans="2:14" ht="10.5" customHeight="1">
      <c r="D27" s="60"/>
      <c r="E27" s="60"/>
      <c r="F27" s="60"/>
      <c r="G27" s="60"/>
    </row>
    <row r="28" spans="2:14" ht="10.5" customHeight="1">
      <c r="D28" s="60"/>
      <c r="E28" s="60"/>
      <c r="F28" s="60"/>
      <c r="G28" s="60"/>
      <c r="H28" s="156" t="str">
        <f>'Input | General'!D20</f>
        <v>2020-21</v>
      </c>
      <c r="I28" s="156" t="str">
        <f>'Input | General'!E20</f>
        <v>2021–22</v>
      </c>
      <c r="J28" s="156" t="str">
        <f>'Input | General'!F20</f>
        <v>2022–23</v>
      </c>
      <c r="K28" s="156" t="str">
        <f>'Input | General'!G20</f>
        <v>2023–24</v>
      </c>
      <c r="L28" s="156" t="str">
        <f>'Input | General'!H20</f>
        <v>2024–25</v>
      </c>
    </row>
    <row r="29" spans="2:14" s="14" customFormat="1" ht="10.5" customHeight="1">
      <c r="C29" s="13"/>
      <c r="D29" s="60"/>
      <c r="E29" s="60"/>
      <c r="F29" s="60"/>
      <c r="G29" s="60"/>
    </row>
    <row r="30" spans="2:14" ht="11.25" customHeight="1">
      <c r="C30" s="76" t="s">
        <v>65</v>
      </c>
      <c r="D30" s="70" t="str">
        <f>'Input | General'!$D$7</f>
        <v>TNSP</v>
      </c>
      <c r="E30" s="70" t="s">
        <v>53</v>
      </c>
      <c r="F30" s="70" t="s">
        <v>54</v>
      </c>
      <c r="G30" s="60"/>
      <c r="H30" s="143">
        <v>0</v>
      </c>
      <c r="I30" s="143">
        <v>0</v>
      </c>
      <c r="J30" s="143">
        <v>0</v>
      </c>
      <c r="K30" s="143">
        <v>0</v>
      </c>
      <c r="L30" s="143">
        <v>0</v>
      </c>
    </row>
    <row r="31" spans="2:14" ht="11.25" customHeight="1">
      <c r="C31" s="76" t="s">
        <v>65</v>
      </c>
      <c r="D31" s="57" t="s">
        <v>47</v>
      </c>
      <c r="E31" s="70" t="s">
        <v>53</v>
      </c>
      <c r="F31" s="70" t="str">
        <f>'Input | Inflation and Disc Rate'!$F$7</f>
        <v>2014–15</v>
      </c>
      <c r="G31" s="60"/>
      <c r="H31" s="134">
        <v>0</v>
      </c>
      <c r="I31" s="134">
        <v>0</v>
      </c>
      <c r="J31" s="134">
        <v>0</v>
      </c>
      <c r="K31" s="134">
        <v>0</v>
      </c>
      <c r="L31" s="134">
        <v>0</v>
      </c>
    </row>
    <row r="32" spans="2:14" ht="11.25" customHeight="1">
      <c r="C32" s="76" t="s">
        <v>65</v>
      </c>
      <c r="D32" s="57" t="s">
        <v>42</v>
      </c>
      <c r="E32" s="70" t="s">
        <v>53</v>
      </c>
      <c r="F32" s="70" t="s">
        <v>54</v>
      </c>
      <c r="G32" s="60"/>
      <c r="H32" s="134">
        <v>0</v>
      </c>
      <c r="I32" s="134">
        <v>0</v>
      </c>
      <c r="J32" s="134">
        <v>0</v>
      </c>
      <c r="K32" s="134">
        <v>0</v>
      </c>
      <c r="L32" s="134">
        <v>0</v>
      </c>
    </row>
    <row r="33" spans="1:14" ht="10.5" customHeight="1">
      <c r="D33" s="60"/>
      <c r="E33" s="60"/>
      <c r="F33" s="60"/>
      <c r="G33" s="60"/>
      <c r="M33" s="64"/>
      <c r="N33" s="64"/>
    </row>
    <row r="34" spans="1:14" s="54" customFormat="1" ht="12.75" customHeight="1">
      <c r="A34" s="8"/>
      <c r="B34" s="23" t="s">
        <v>14</v>
      </c>
      <c r="D34" s="55"/>
      <c r="E34" s="55"/>
      <c r="F34" s="55"/>
    </row>
    <row r="35" spans="1:14" ht="10.5" hidden="1" customHeight="1"/>
    <row r="37" spans="1:14" ht="18" hidden="1" customHeight="1">
      <c r="C37" s="2"/>
      <c r="D37" s="2"/>
      <c r="E37" s="2"/>
      <c r="F37" s="2"/>
      <c r="G37" s="2"/>
    </row>
    <row r="40" spans="1:14" s="14" customFormat="1" ht="18" hidden="1" customHeight="1"/>
    <row r="45" spans="1:14" s="14" customFormat="1" ht="18" hidden="1" customHeight="1"/>
    <row r="49" spans="3:7" ht="18" customHeight="1"/>
    <row r="52" spans="3:7" ht="18" hidden="1" customHeight="1">
      <c r="C52" s="2"/>
      <c r="D52" s="2"/>
      <c r="E52" s="2"/>
      <c r="F52" s="2"/>
      <c r="G52" s="2"/>
    </row>
    <row r="56" spans="3:7" s="14" customFormat="1" ht="18" hidden="1" customHeight="1"/>
    <row r="65" spans="8:14" ht="18" hidden="1" customHeight="1">
      <c r="H65" s="14"/>
      <c r="I65" s="14"/>
      <c r="J65" s="14"/>
      <c r="K65" s="14"/>
      <c r="L65" s="14"/>
      <c r="M65" s="14"/>
      <c r="N65" s="14"/>
    </row>
  </sheetData>
  <conditionalFormatting sqref="H19:H22">
    <cfRule type="expression" dxfId="4" priority="2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 L18:L22">
    <cfRule type="expression" dxfId="2" priority="14">
      <formula>IF($H$6&lt;&gt;"","FALSE","TRUE")</formula>
    </cfRule>
  </conditionalFormatting>
  <conditionalFormatting sqref="H30:L30">
    <cfRule type="expression" dxfId="1" priority="3">
      <formula>IF($H$6&lt;&gt;"","FALSE","TRUE")</formula>
    </cfRule>
  </conditionalFormatting>
  <conditionalFormatting sqref="I19:K22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autoPageBreaks="0"/>
  </sheetPr>
  <dimension ref="A1:XFB54"/>
  <sheetViews>
    <sheetView workbookViewId="0">
      <selection activeCell="N2" sqref="N2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Directlink 2020-25 FY20 True-up - Capital expenditure sharing scheme model</v>
      </c>
      <c r="C1" s="2"/>
      <c r="J1" s="111"/>
      <c r="K1" s="96" t="s">
        <v>15</v>
      </c>
      <c r="L1" s="140" t="s">
        <v>16</v>
      </c>
      <c r="M1" s="145" t="s">
        <v>17</v>
      </c>
      <c r="N1" s="204" t="s">
        <v>34</v>
      </c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66</v>
      </c>
      <c r="C2" s="2"/>
      <c r="J2" s="17"/>
      <c r="K2" s="17"/>
      <c r="L2" s="218"/>
      <c r="M2" s="218"/>
      <c r="N2" s="220"/>
    </row>
    <row r="3" spans="2:23" ht="3" customHeight="1">
      <c r="C3" s="1"/>
      <c r="J3" s="17"/>
      <c r="K3" s="17"/>
    </row>
    <row r="4" spans="2:23" s="8" customFormat="1" ht="12" customHeight="1">
      <c r="B4" s="23" t="s">
        <v>67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7" t="s">
        <v>68</v>
      </c>
      <c r="D6" s="108"/>
      <c r="E6" s="109"/>
      <c r="F6" s="109"/>
      <c r="G6" s="109"/>
      <c r="H6" s="109"/>
      <c r="I6" s="87"/>
    </row>
    <row r="7" spans="2:23" ht="11.25" customHeight="1">
      <c r="C7" s="106" t="s">
        <v>69</v>
      </c>
      <c r="D7" s="156" t="str">
        <f>IF('Input | General'!D16="Yes",'Input | General'!D15,"n/a")</f>
        <v>2015–16</v>
      </c>
      <c r="E7" s="156" t="str">
        <f>IF('Input | General'!E16="Yes",'Input | General'!E15,"n/a")</f>
        <v>2016–17</v>
      </c>
      <c r="F7" s="156" t="str">
        <f>IF('Input | General'!F16="Yes",'Input | General'!F15,"n/a")</f>
        <v>2017–18</v>
      </c>
      <c r="G7" s="156" t="str">
        <f>IF('Input | General'!G16="Yes",'Input | General'!G15,"n/a")</f>
        <v>2018–19</v>
      </c>
      <c r="H7" s="160" t="str">
        <f>IF('Input | General'!H16="Yes",'Input | General'!H15,"n/a")</f>
        <v>2019–20</v>
      </c>
      <c r="I7" s="87"/>
    </row>
    <row r="8" spans="2:23" ht="11.25" customHeight="1">
      <c r="C8" s="104" t="s">
        <v>70</v>
      </c>
      <c r="D8" s="212">
        <f>'Input | Inflation and Disc Rate'!G20</f>
        <v>2.8284302053042776E-2</v>
      </c>
      <c r="E8" s="146">
        <f>'Input | Inflation and Disc Rate'!H20</f>
        <v>2.8984734486499963E-2</v>
      </c>
      <c r="F8" s="146">
        <f>'Input | Inflation and Disc Rate'!I20</f>
        <v>2.9429207036236971E-2</v>
      </c>
      <c r="G8" s="146">
        <f>'Input | Inflation and Disc Rate'!J20</f>
        <v>2.9545146020704349E-2</v>
      </c>
      <c r="H8" s="147">
        <f>'Input | Inflation and Disc Rate'!K20</f>
        <v>2.9654045371822368E-2</v>
      </c>
      <c r="I8" s="87"/>
      <c r="J8" s="71"/>
      <c r="K8" s="71"/>
    </row>
    <row r="9" spans="2:23" ht="11.25" customHeight="1">
      <c r="C9" s="132" t="s">
        <v>71</v>
      </c>
      <c r="D9" s="146">
        <f>'Input | Inflation and Disc Rate'!G22</f>
        <v>4.5647451618666457E-2</v>
      </c>
      <c r="E9" s="146">
        <f>'Input | Inflation and Disc Rate'!H22</f>
        <v>4.4172701047186402E-2</v>
      </c>
      <c r="F9" s="146">
        <f>'Input | Inflation and Disc Rate'!I22</f>
        <v>4.9081946443292335E-2</v>
      </c>
      <c r="G9" s="146">
        <f>'Input | Inflation and Disc Rate'!J22</f>
        <v>4.7913480472456582E-2</v>
      </c>
      <c r="H9" s="147">
        <f>'Input | Inflation and Disc Rate'!K22</f>
        <v>4.8604733323451166E-2</v>
      </c>
      <c r="I9" s="87"/>
      <c r="J9" s="71"/>
      <c r="K9" s="71"/>
    </row>
    <row r="10" spans="2:23" ht="11.25" customHeight="1">
      <c r="C10" s="102" t="s">
        <v>72</v>
      </c>
      <c r="D10" s="213">
        <f>'Input | Reported Capex'!H$12*'Input | Inflation and Disc Rate'!G$15*(1+'Input | Inflation and Disc Rate'!G$20)^0.5</f>
        <v>7.2181635885563376</v>
      </c>
      <c r="E10" s="148">
        <f>'Input | Reported Capex'!I$12*'Input | Inflation and Disc Rate'!H$15*(1+'Input | Inflation and Disc Rate'!H$20)^0.5</f>
        <v>1.674788341539128</v>
      </c>
      <c r="F10" s="148">
        <f>'Input | Reported Capex'!J$12*'Input | Inflation and Disc Rate'!I$15*(1+'Input | Inflation and Disc Rate'!I$20)^0.5</f>
        <v>2.0272170575162121</v>
      </c>
      <c r="G10" s="148">
        <f>'Input | Reported Capex'!K$12*'Input | Inflation and Disc Rate'!J$15*(1+'Input | Inflation and Disc Rate'!J$20)^0.5</f>
        <v>2.9323438955996135</v>
      </c>
      <c r="H10" s="149">
        <f>'Input | Reported Capex'!L$12*'Input | Inflation and Disc Rate'!K$15*(1+'Input | Inflation and Disc Rate'!K$20)^0.5</f>
        <v>15.153576842308221</v>
      </c>
      <c r="I10" s="87"/>
      <c r="J10" s="71"/>
      <c r="K10" s="71"/>
      <c r="N10" s="124"/>
    </row>
    <row r="11" spans="2:23" ht="11.25" customHeight="1">
      <c r="C11" s="102" t="s">
        <v>73</v>
      </c>
      <c r="D11" s="214">
        <f>'Input | Reported Capex'!H24*(1+D$9)^0.5</f>
        <v>4.0361261176926115</v>
      </c>
      <c r="E11" s="148">
        <f>'Input | Reported Capex'!I24*(1+E$9)^0.5</f>
        <v>3.4132165272101704</v>
      </c>
      <c r="F11" s="148">
        <f>'Input | Reported Capex'!J24*(1+F$9)^0.5</f>
        <v>10.209309091622856</v>
      </c>
      <c r="G11" s="148">
        <f>'Input | Reported Capex'!K24*(1+G$9)^0.5</f>
        <v>6.3967613454768513</v>
      </c>
      <c r="H11" s="149">
        <f>'Input | Reported Capex'!L24*(1+H$9)^0.5</f>
        <v>9.684251494008592</v>
      </c>
      <c r="I11" s="87"/>
      <c r="J11" s="71"/>
      <c r="K11" s="71"/>
    </row>
    <row r="12" spans="2:23" s="14" customFormat="1" ht="11.25" customHeight="1">
      <c r="C12" s="102" t="s">
        <v>74</v>
      </c>
      <c r="D12" s="80">
        <f>(D10-D11)</f>
        <v>3.182037470863726</v>
      </c>
      <c r="E12" s="130">
        <f>(E10-E11)</f>
        <v>-1.7384281856710424</v>
      </c>
      <c r="F12" s="130">
        <f t="shared" ref="F12:H12" si="0">(F10-F11)</f>
        <v>-8.1820920341066437</v>
      </c>
      <c r="G12" s="130">
        <f t="shared" si="0"/>
        <v>-3.4644174498772378</v>
      </c>
      <c r="H12" s="135">
        <f t="shared" si="0"/>
        <v>5.4693253482996287</v>
      </c>
      <c r="I12" s="87"/>
      <c r="J12" s="71"/>
      <c r="K12" s="71"/>
    </row>
    <row r="13" spans="2:23" ht="11.25" customHeight="1">
      <c r="C13" s="102" t="s">
        <v>75</v>
      </c>
      <c r="D13" s="80"/>
      <c r="E13" s="130">
        <f>$D$12*$E$8</f>
        <v>9.2230511219078964E-2</v>
      </c>
      <c r="F13" s="130">
        <f>$D$12*$F$8*(1+'Input | Inflation and Disc Rate'!H13)</f>
        <v>9.5027051180649177E-2</v>
      </c>
      <c r="G13" s="130">
        <f>$D$12*$G$8*(1+'Input | Inflation and Disc Rate'!H13)*(1+'Input | Inflation and Disc Rate'!I13)</f>
        <v>9.7222718531498303E-2</v>
      </c>
      <c r="H13" s="135">
        <f>$D$12*$H$8*(1+'Input | Inflation and Disc Rate'!H13)*(1+'Input | Inflation and Disc Rate'!I13)*(1+'Input | Inflation and Disc Rate'!J13)</f>
        <v>9.9322032762346968E-2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2" t="s">
        <v>76</v>
      </c>
      <c r="D14" s="80"/>
      <c r="E14" s="131"/>
      <c r="F14" s="130">
        <f>$E$12*F$8</f>
        <v>-5.1160562993742914E-2</v>
      </c>
      <c r="G14" s="130">
        <f>$E$12*G$8*(1+'Input | Inflation and Disc Rate'!I13)</f>
        <v>-5.234266405255484E-2</v>
      </c>
      <c r="H14" s="135">
        <f>$E$12*H$8*(1+'Input | Inflation and Disc Rate'!I13)*(1+'Input | Inflation and Disc Rate'!J13)</f>
        <v>-5.3472890620848749E-2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2" t="s">
        <v>77</v>
      </c>
      <c r="D15" s="80"/>
      <c r="E15" s="130"/>
      <c r="F15" s="130"/>
      <c r="G15" s="130">
        <f>$F$12*G$8</f>
        <v>-0.24174110390252265</v>
      </c>
      <c r="H15" s="135">
        <f>$F$12*$H$8*(1+'Input | Inflation and Disc Rate'!J13)</f>
        <v>-0.24696097994866736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2" t="s">
        <v>78</v>
      </c>
      <c r="D16" s="80"/>
      <c r="E16" s="130"/>
      <c r="F16" s="130"/>
      <c r="G16" s="130"/>
      <c r="H16" s="135">
        <f>$G$12*$H$8</f>
        <v>-0.10273399224559275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2" t="s">
        <v>79</v>
      </c>
      <c r="D17" s="80"/>
      <c r="E17" s="130"/>
      <c r="F17" s="130"/>
      <c r="G17" s="130"/>
      <c r="H17" s="135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3" t="s">
        <v>80</v>
      </c>
      <c r="D18" s="81">
        <f>SUM(D13:D17)</f>
        <v>0</v>
      </c>
      <c r="E18" s="82">
        <f>SUM(E13:E17)</f>
        <v>9.2230511219078964E-2</v>
      </c>
      <c r="F18" s="82">
        <f t="shared" ref="F18:H18" si="1">SUM(F13:F17)</f>
        <v>4.3866488186906263E-2</v>
      </c>
      <c r="G18" s="82">
        <f t="shared" si="1"/>
        <v>-0.19686104942357918</v>
      </c>
      <c r="H18" s="83">
        <f t="shared" si="1"/>
        <v>-0.30384583005276189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04" t="s">
        <v>81</v>
      </c>
      <c r="D19" s="81">
        <f>E19*(1+E$9)</f>
        <v>1.2037020193409929</v>
      </c>
      <c r="E19" s="82">
        <f>F19*(1+F$9)</f>
        <v>1.1527805870942773</v>
      </c>
      <c r="F19" s="82">
        <f>G19*(1+G$9)</f>
        <v>1.0988470357368698</v>
      </c>
      <c r="G19" s="82">
        <f>H19*(1+H$9)</f>
        <v>1.0486047333234512</v>
      </c>
      <c r="H19" s="136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02" t="s">
        <v>82</v>
      </c>
      <c r="D20" s="80">
        <f>D12*D19</f>
        <v>3.8302249292973727</v>
      </c>
      <c r="E20" s="130">
        <f>E12*E19</f>
        <v>-2.0040262644991036</v>
      </c>
      <c r="F20" s="130">
        <f t="shared" ref="F20:H20" si="2">F12*F19</f>
        <v>-8.990867577804341</v>
      </c>
      <c r="G20" s="130">
        <f t="shared" si="2"/>
        <v>-3.6328045361496315</v>
      </c>
      <c r="H20" s="135">
        <f t="shared" si="2"/>
        <v>5.4693253482996287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03" t="s">
        <v>83</v>
      </c>
      <c r="D21" s="81">
        <f>D18*D19</f>
        <v>0</v>
      </c>
      <c r="E21" s="82">
        <f>E18*E19</f>
        <v>0.10632154287113518</v>
      </c>
      <c r="F21" s="82">
        <f t="shared" ref="F21:H21" si="3">F18*F19</f>
        <v>4.8202560512368361E-2</v>
      </c>
      <c r="G21" s="82">
        <f t="shared" si="3"/>
        <v>-0.20642942823258698</v>
      </c>
      <c r="H21" s="83">
        <f t="shared" si="3"/>
        <v>-0.30384583005276189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7" t="s">
        <v>84</v>
      </c>
      <c r="D23" s="108"/>
      <c r="E23" s="109"/>
      <c r="F23" s="109"/>
      <c r="G23" s="109"/>
      <c r="H23" s="109"/>
      <c r="I23" s="87"/>
      <c r="J23" s="71"/>
      <c r="K23" s="71"/>
      <c r="L23" s="87"/>
      <c r="M23" s="87"/>
      <c r="N23" s="87"/>
      <c r="O23" s="87"/>
    </row>
    <row r="24" spans="3:15" ht="11.25" customHeight="1">
      <c r="C24" s="101" t="s">
        <v>69</v>
      </c>
      <c r="D24" s="161" t="str">
        <f>'Input | General'!$D$20</f>
        <v>2020-21</v>
      </c>
      <c r="E24" s="161" t="str">
        <f>'Input | General'!$E$20</f>
        <v>2021–22</v>
      </c>
      <c r="F24" s="161" t="str">
        <f>'Input | General'!$F$20</f>
        <v>2022–23</v>
      </c>
      <c r="G24" s="161" t="str">
        <f>'Input | General'!$G$20</f>
        <v>2023–24</v>
      </c>
      <c r="H24" s="162" t="str">
        <f>'Input | General'!$H$20</f>
        <v>2024–25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5" t="s">
        <v>85</v>
      </c>
      <c r="D25" s="150">
        <f>'Input | Inflation and Disc Rate'!L$22</f>
        <v>4.527959283743499E-2</v>
      </c>
      <c r="E25" s="150">
        <f>'Input | Inflation and Disc Rate'!M$22</f>
        <v>4.4225385944852258E-2</v>
      </c>
      <c r="F25" s="150">
        <f>'Input | Inflation and Disc Rate'!N$22</f>
        <v>4.317117905226997E-2</v>
      </c>
      <c r="G25" s="150">
        <f>'Input | Inflation and Disc Rate'!O$22</f>
        <v>4.211697215968746E-2</v>
      </c>
      <c r="H25" s="151">
        <f>'Input | Inflation and Disc Rate'!P$22</f>
        <v>4.1062765267105172E-2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6" t="s">
        <v>86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6" t="s">
        <v>87</v>
      </c>
      <c r="D27" s="113">
        <f>1/(1+D25)^(0.5)</f>
        <v>0.97810113791537023</v>
      </c>
      <c r="E27" s="113">
        <f>1/((1+E25)^(0.5)*(1+D25))</f>
        <v>0.93620381126909225</v>
      </c>
      <c r="F27" s="113">
        <f>1/((1+F25)^(0.5)*(1+E25)*(1+D25))</f>
        <v>0.89700629613167726</v>
      </c>
      <c r="G27" s="113">
        <f>1/((1+G25)^(0.5)*(1+F25)*(1+E25)*(1+D25))</f>
        <v>0.86031890627380991</v>
      </c>
      <c r="H27" s="114">
        <f>1/((1+H25)^(0.5)*(1+G25)*(1+F25)*(1+E25)*(1+D25))</f>
        <v>0.82596715106059704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01" t="s">
        <v>88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100" t="s">
        <v>89</v>
      </c>
      <c r="D30" s="110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2" t="s">
        <v>90</v>
      </c>
      <c r="D31" s="92">
        <f>SUM(D20:H20)-SUM(D28:H28)</f>
        <v>-5.3281481008560743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2" t="s">
        <v>91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1:16382" ht="11.25" customHeight="1">
      <c r="C33" s="102" t="s">
        <v>92</v>
      </c>
      <c r="D33" s="92">
        <f>(1-D32)*D31</f>
        <v>-3.7297036705992519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1:16382" ht="11.25" customHeight="1">
      <c r="C34" s="102" t="s">
        <v>93</v>
      </c>
      <c r="D34" s="92">
        <f>D32*D31</f>
        <v>-1.5984444302568221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1:16382" ht="11.25" customHeight="1">
      <c r="C35" s="102" t="s">
        <v>94</v>
      </c>
      <c r="D35" s="92">
        <f>SUM(D21:H21)</f>
        <v>-0.35575115490184533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1:16382" ht="11.25" customHeight="1">
      <c r="C36" s="103" t="s">
        <v>95</v>
      </c>
      <c r="D36" s="93">
        <f>D34-D35</f>
        <v>-1.2426932753549769</v>
      </c>
      <c r="E36" s="86"/>
      <c r="F36" s="86"/>
      <c r="G36" s="86"/>
      <c r="H36" s="86"/>
      <c r="I36" s="87"/>
      <c r="J36" s="71"/>
      <c r="K36" s="71"/>
      <c r="L36" s="71"/>
      <c r="M36" s="71"/>
      <c r="N36" s="71"/>
      <c r="O36" s="87"/>
    </row>
    <row r="37" spans="1:16382" ht="11.25" customHeight="1">
      <c r="D37" s="20"/>
      <c r="J37" s="2"/>
    </row>
    <row r="38" spans="1:16382" s="8" customFormat="1" ht="12" customHeight="1">
      <c r="B38" s="23" t="s">
        <v>96</v>
      </c>
      <c r="J38" s="18"/>
      <c r="K38" s="18"/>
    </row>
    <row r="39" spans="1:16382" s="21" customFormat="1" ht="11.25" customHeight="1">
      <c r="H39" s="22"/>
      <c r="J39" s="223" t="str">
        <f>"Based on "&amp;'Input | Reported Capex'!$L$17&amp;" "&amp;'Input | General'!$H$15&amp;" Capex"</f>
        <v>Based on AER Final Decision 2019–20 Capex</v>
      </c>
    </row>
    <row r="40" spans="1:16382" s="24" customFormat="1" ht="11.25" customHeight="1">
      <c r="C40" s="84"/>
      <c r="D40" s="163" t="str">
        <f>'Input | General'!D20</f>
        <v>2020-21</v>
      </c>
      <c r="E40" s="163" t="str">
        <f>'Input | General'!E20</f>
        <v>2021–22</v>
      </c>
      <c r="F40" s="163" t="str">
        <f>'Input | General'!F20</f>
        <v>2022–23</v>
      </c>
      <c r="G40" s="163" t="str">
        <f>'Input | General'!G20</f>
        <v>2023–24</v>
      </c>
      <c r="H40" s="163" t="str">
        <f>'Input | General'!H20</f>
        <v>2024–25</v>
      </c>
      <c r="J40" s="163" t="str">
        <f>D40</f>
        <v>2020-21</v>
      </c>
      <c r="K40" s="163" t="str">
        <f t="shared" ref="K40:N41" si="5">E40</f>
        <v>2021–22</v>
      </c>
      <c r="L40" s="163" t="str">
        <f t="shared" si="5"/>
        <v>2022–23</v>
      </c>
      <c r="M40" s="163" t="str">
        <f t="shared" si="5"/>
        <v>2023–24</v>
      </c>
      <c r="N40" s="163" t="str">
        <f t="shared" si="5"/>
        <v>2024–25</v>
      </c>
    </row>
    <row r="41" spans="1:16382" s="24" customFormat="1" ht="11.25" customHeight="1">
      <c r="C41" s="90" t="s">
        <v>97</v>
      </c>
      <c r="D41" s="152">
        <f>1/(1+'Input | Inflation and Disc Rate'!L21)</f>
        <v>0.9784366861336693</v>
      </c>
      <c r="E41" s="152">
        <f>D41/(1+'Input | Inflation and Disc Rate'!M21)</f>
        <v>0.95830483809474631</v>
      </c>
      <c r="F41" s="152">
        <f>E41/(1+'Input | Inflation and Disc Rate'!N21)</f>
        <v>0.93953572992161249</v>
      </c>
      <c r="G41" s="152">
        <f>F41/(1+'Input | Inflation and Disc Rate'!O21)</f>
        <v>0.92206604918806323</v>
      </c>
      <c r="H41" s="153">
        <f>G41/(1+'Input | Inflation and Disc Rate'!P21)</f>
        <v>0.90583754527709825</v>
      </c>
      <c r="J41" s="224">
        <f>D41</f>
        <v>0.9784366861336693</v>
      </c>
      <c r="K41" s="225">
        <f>E41</f>
        <v>0.95830483809474631</v>
      </c>
      <c r="L41" s="225">
        <f t="shared" si="5"/>
        <v>0.93953572992161249</v>
      </c>
      <c r="M41" s="225">
        <f t="shared" si="5"/>
        <v>0.92206604918806323</v>
      </c>
      <c r="N41" s="226">
        <f t="shared" si="5"/>
        <v>0.90583754527709825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9">
        <f>D36/(SUM(D41:H41))</f>
        <v>-0.26416783609006</v>
      </c>
      <c r="E42" s="99">
        <f>D42</f>
        <v>-0.26416783609006</v>
      </c>
      <c r="F42" s="99">
        <f t="shared" ref="F42:H42" si="6">E42</f>
        <v>-0.26416783609006</v>
      </c>
      <c r="G42" s="99">
        <f t="shared" si="6"/>
        <v>-0.26416783609006</v>
      </c>
      <c r="H42" s="133">
        <f t="shared" si="6"/>
        <v>-0.26416783609006</v>
      </c>
      <c r="J42" s="227">
        <v>-0.1562800288361483</v>
      </c>
      <c r="K42" s="228">
        <v>-0.1562800288361483</v>
      </c>
      <c r="L42" s="228">
        <v>-0.1562800288361483</v>
      </c>
      <c r="M42" s="228">
        <v>-0.1562800288361483</v>
      </c>
      <c r="N42" s="229">
        <v>-0.1562800288361483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69">
        <f>D36/(SUM(J41:N41))</f>
        <v>-0.26416783609006</v>
      </c>
      <c r="K43" s="99">
        <f>J43</f>
        <v>-0.26416783609006</v>
      </c>
      <c r="L43" s="99">
        <f t="shared" ref="L43" si="7">K43</f>
        <v>-0.26416783609006</v>
      </c>
      <c r="M43" s="99">
        <f t="shared" ref="M43" si="8">L43</f>
        <v>-0.26416783609006</v>
      </c>
      <c r="N43" s="133">
        <f t="shared" ref="N43" si="9">M43</f>
        <v>-0.26416783609006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8" t="str">
        <f>CONCATENATE("Total CESS Payment ($", 'Output | Models'!$F$8," million)")</f>
        <v>Total CESS Payment ($2019–20 million)</v>
      </c>
      <c r="D45" s="139">
        <f>SUM(D42:H42)</f>
        <v>-1.3208391804502999</v>
      </c>
      <c r="E45" s="62"/>
      <c r="F45" s="62"/>
      <c r="G45" s="62"/>
      <c r="H45" s="62"/>
      <c r="J45" s="139">
        <f>SUM(J42:N42)</f>
        <v>-0.78140014418074155</v>
      </c>
    </row>
    <row r="46" spans="1:16382" s="24" customFormat="1" ht="11.25" customHeight="1">
      <c r="C46" s="61"/>
      <c r="D46" s="89"/>
      <c r="E46" s="62"/>
      <c r="F46" s="62"/>
      <c r="G46" s="62"/>
      <c r="H46" s="62"/>
    </row>
    <row r="47" spans="1:16382" s="24" customFormat="1" ht="11.25" customHeight="1">
      <c r="C47" s="94"/>
      <c r="D47" s="94"/>
      <c r="E47" s="94"/>
      <c r="F47" s="94"/>
      <c r="G47" s="94"/>
      <c r="H47" s="94"/>
      <c r="I47" s="94"/>
      <c r="J47" s="170">
        <f>D45-J45</f>
        <v>-0.53943903626955836</v>
      </c>
      <c r="K47" s="94" t="s">
        <v>98</v>
      </c>
      <c r="L47" s="94"/>
      <c r="M47" s="94"/>
      <c r="N47" s="94"/>
      <c r="O47" s="94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92D050"/>
  </sheetPr>
  <dimension ref="A1:S37"/>
  <sheetViews>
    <sheetView tabSelected="1" zoomScale="85" zoomScaleNormal="85" workbookViewId="0">
      <selection activeCell="R11" sqref="R11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3.85546875" customWidth="1"/>
    <col min="9" max="9" width="13.42578125" customWidth="1"/>
    <col min="10" max="10" width="12.7109375" customWidth="1"/>
    <col min="11" max="11" width="12.28515625" customWidth="1"/>
    <col min="12" max="12" width="13.28515625" customWidth="1"/>
    <col min="13" max="19" width="9.140625" customWidth="1"/>
    <col min="20" max="16384" width="9.140625" hidden="1"/>
  </cols>
  <sheetData>
    <row r="1" spans="1:19" ht="15.75">
      <c r="A1" s="71"/>
      <c r="B1" s="3" t="str">
        <f>'Input | General'!$B$1</f>
        <v>Directlink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6" t="s">
        <v>15</v>
      </c>
      <c r="Q1" s="140" t="s">
        <v>16</v>
      </c>
      <c r="R1" s="145" t="s">
        <v>17</v>
      </c>
      <c r="S1" s="97"/>
    </row>
    <row r="2" spans="1:19" ht="15.75">
      <c r="A2" s="71"/>
      <c r="B2" s="71"/>
      <c r="C2" s="71"/>
      <c r="D2" s="71"/>
      <c r="E2" s="3"/>
      <c r="F2" s="3"/>
      <c r="G2" s="71"/>
      <c r="H2" s="218"/>
      <c r="I2" s="218"/>
      <c r="J2" s="221"/>
      <c r="K2" s="221"/>
      <c r="L2" s="221"/>
      <c r="M2" s="221"/>
      <c r="N2" s="221"/>
      <c r="O2" s="221"/>
      <c r="P2" s="221"/>
      <c r="Q2" s="218"/>
      <c r="R2" s="221"/>
      <c r="S2" s="71"/>
    </row>
    <row r="3" spans="1:19">
      <c r="A3" s="23"/>
      <c r="B3" s="23" t="s">
        <v>104</v>
      </c>
      <c r="C3" s="8"/>
      <c r="D3" s="23"/>
      <c r="E3" s="8"/>
      <c r="F3" s="8"/>
      <c r="G3" s="8"/>
      <c r="H3" s="215"/>
      <c r="I3" s="215"/>
      <c r="J3" s="215"/>
      <c r="K3" s="215"/>
      <c r="L3" s="215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7"/>
      <c r="D4" s="71"/>
      <c r="E4" s="71"/>
      <c r="F4" s="71"/>
      <c r="G4" s="71"/>
      <c r="H4" s="216"/>
      <c r="I4" s="216"/>
      <c r="J4" s="216"/>
      <c r="K4" s="216"/>
      <c r="L4" s="216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51</v>
      </c>
      <c r="G5" s="178"/>
      <c r="H5" s="179" t="str">
        <f>'Input | General'!D20</f>
        <v>2020-21</v>
      </c>
      <c r="I5" s="179" t="str">
        <f>'Input | General'!E20</f>
        <v>2021–22</v>
      </c>
      <c r="J5" s="179" t="str">
        <f>'Input | General'!F20</f>
        <v>2022–23</v>
      </c>
      <c r="K5" s="179" t="str">
        <f>'Input | General'!G20</f>
        <v>2023–24</v>
      </c>
      <c r="L5" s="179" t="str">
        <f>'Input | General'!H20</f>
        <v>2024–25</v>
      </c>
      <c r="M5" s="179" t="str">
        <f>'Input | General'!D23</f>
        <v>2025–26</v>
      </c>
      <c r="N5" s="179" t="str">
        <f>'Input | General'!E23</f>
        <v>2026–27</v>
      </c>
      <c r="O5" s="179" t="str">
        <f>'Input | General'!F23</f>
        <v>2027–28</v>
      </c>
      <c r="P5" s="179" t="str">
        <f>'Input | General'!G23</f>
        <v>2028–29</v>
      </c>
      <c r="Q5" s="179" t="str">
        <f>'Input | General'!H23</f>
        <v>2029–30</v>
      </c>
      <c r="R5" s="71"/>
      <c r="S5" s="71"/>
    </row>
    <row r="6" spans="1:19">
      <c r="A6" s="71"/>
      <c r="B6" s="71"/>
      <c r="C6" s="180" t="s">
        <v>105</v>
      </c>
      <c r="D6" s="217" t="str">
        <f>"AER FD PTRM "&amp;'Input | General'!$D$9&amp;", latest version"</f>
        <v>AER FD PTRM 2020-25, latest version</v>
      </c>
      <c r="E6" s="70" t="s">
        <v>40</v>
      </c>
      <c r="F6" s="71"/>
      <c r="G6" s="71"/>
      <c r="H6" s="230">
        <v>2.2038537773495601E-2</v>
      </c>
      <c r="I6" s="230">
        <v>2.0769807761376088E-2</v>
      </c>
      <c r="J6" s="230">
        <v>2.0443136046642784E-2</v>
      </c>
      <c r="K6" s="230">
        <v>2.1558627377069772E-2</v>
      </c>
      <c r="L6" s="230">
        <v>2.245936897842573E-2</v>
      </c>
      <c r="M6" s="171"/>
      <c r="N6" s="171"/>
      <c r="O6" s="171"/>
      <c r="P6" s="171"/>
      <c r="Q6" s="171"/>
      <c r="R6" s="71"/>
      <c r="S6" s="71"/>
    </row>
    <row r="7" spans="1:19">
      <c r="A7" s="71"/>
      <c r="B7" s="71"/>
      <c r="C7" s="180" t="s">
        <v>106</v>
      </c>
      <c r="D7" s="180" t="str">
        <f>'Input | General'!$D$6&amp;" "&amp;'Input | General'!$D$11&amp;" PTRM"</f>
        <v>Directlink 2025-30 PTRM</v>
      </c>
      <c r="E7" s="70" t="s">
        <v>40</v>
      </c>
      <c r="F7" s="71"/>
      <c r="G7" s="71"/>
      <c r="H7" s="171"/>
      <c r="I7" s="171"/>
      <c r="J7" s="171"/>
      <c r="K7" s="171"/>
      <c r="L7" s="171"/>
      <c r="M7" s="231">
        <v>3.3055188676612925E-2</v>
      </c>
      <c r="N7" s="231">
        <v>3.3292709032380158E-2</v>
      </c>
      <c r="O7" s="231">
        <v>3.3785766412053997E-2</v>
      </c>
      <c r="P7" s="231">
        <v>3.4606814601468243E-2</v>
      </c>
      <c r="Q7" s="231">
        <v>3.5434890794370191E-2</v>
      </c>
      <c r="R7" s="71"/>
      <c r="S7" s="71"/>
    </row>
    <row r="8" spans="1:19">
      <c r="A8" s="71"/>
      <c r="B8" s="71"/>
      <c r="C8" s="180" t="s">
        <v>107</v>
      </c>
      <c r="D8" s="180" t="str">
        <f>"Actual/estimated inflation from "&amp;'Input | General'!$D$11&amp; " RFM"</f>
        <v>Actual/estimated inflation from 2025-30 RFM</v>
      </c>
      <c r="E8" s="70" t="s">
        <v>40</v>
      </c>
      <c r="F8" s="71"/>
      <c r="G8" s="182"/>
      <c r="H8" s="230">
        <v>8.6058519793459354E-3</v>
      </c>
      <c r="I8" s="230">
        <v>3.4982935153583528E-2</v>
      </c>
      <c r="J8" s="230">
        <v>7.8318219291014096E-2</v>
      </c>
      <c r="K8" s="230">
        <v>4.0519877675840865E-2</v>
      </c>
      <c r="L8" s="231">
        <v>2.4246877296105973E-2</v>
      </c>
      <c r="M8" s="172"/>
      <c r="N8" s="172"/>
      <c r="O8" s="172"/>
      <c r="P8" s="172"/>
      <c r="Q8" s="172"/>
      <c r="R8" s="71"/>
      <c r="S8" s="71"/>
    </row>
    <row r="9" spans="1:19">
      <c r="A9" s="71"/>
      <c r="B9" s="71"/>
      <c r="C9" s="180" t="s">
        <v>108</v>
      </c>
      <c r="D9" s="180"/>
      <c r="E9" s="70" t="s">
        <v>0</v>
      </c>
      <c r="F9" s="71"/>
      <c r="G9" s="183"/>
      <c r="H9" s="173">
        <f>(1+H8)</f>
        <v>1.0086058519793459</v>
      </c>
      <c r="I9" s="173">
        <f>H9*(1+I8)</f>
        <v>1.0438898450946643</v>
      </c>
      <c r="J9" s="173">
        <f t="shared" ref="J9:L9" si="0">I9*(1+J8)</f>
        <v>1.1256454388984509</v>
      </c>
      <c r="K9" s="173">
        <f t="shared" si="0"/>
        <v>1.1712564543889843</v>
      </c>
      <c r="L9" s="173">
        <f t="shared" si="0"/>
        <v>1.1996557659208262</v>
      </c>
      <c r="M9" s="171"/>
      <c r="N9" s="171"/>
      <c r="O9" s="171"/>
      <c r="P9" s="171"/>
      <c r="Q9" s="171"/>
      <c r="R9" s="71"/>
      <c r="S9" s="71"/>
    </row>
    <row r="10" spans="1:19">
      <c r="A10" s="71"/>
      <c r="B10" s="71"/>
      <c r="C10" s="180" t="s">
        <v>109</v>
      </c>
      <c r="D10" s="180"/>
      <c r="E10" s="70" t="s">
        <v>40</v>
      </c>
      <c r="F10" s="71"/>
      <c r="G10" s="71"/>
      <c r="H10" s="174">
        <f>(1+H6)*(1+H8)-1</f>
        <v>3.0834050146761438E-2</v>
      </c>
      <c r="I10" s="174">
        <f t="shared" ref="I10:L10" si="1">(1+I6)*(1+I8)-1</f>
        <v>5.6479331753028106E-2</v>
      </c>
      <c r="J10" s="174">
        <f t="shared" si="1"/>
        <v>0.10036242534955386</v>
      </c>
      <c r="K10" s="174">
        <f t="shared" si="1"/>
        <v>6.2952057997088584E-2</v>
      </c>
      <c r="L10" s="174">
        <f t="shared" si="1"/>
        <v>4.7250815838299598E-2</v>
      </c>
      <c r="M10" s="171"/>
      <c r="N10" s="171"/>
      <c r="O10" s="171"/>
      <c r="P10" s="171"/>
      <c r="Q10" s="171"/>
      <c r="R10" s="71"/>
      <c r="S10" s="71"/>
    </row>
    <row r="11" spans="1:19">
      <c r="A11" s="71"/>
      <c r="B11" s="71"/>
      <c r="C11" s="71"/>
      <c r="D11" s="71"/>
      <c r="E11" s="18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80" t="s">
        <v>103</v>
      </c>
      <c r="D12" s="70" t="str">
        <f>"AER Final Decision ("&amp;'Input | General'!$H$15&amp;" Forecast Capex)"</f>
        <v>AER Final Decision (2019–20 Forecast Capex)</v>
      </c>
      <c r="E12" s="70" t="s">
        <v>53</v>
      </c>
      <c r="F12" s="70" t="str">
        <f>'Input | General'!H15</f>
        <v>2019–20</v>
      </c>
      <c r="G12" s="71"/>
      <c r="H12" s="184">
        <f>'Calc | CESS Revenue Increments'!D42</f>
        <v>-0.26416783609006</v>
      </c>
      <c r="I12" s="184">
        <f>'Calc | CESS Revenue Increments'!E42</f>
        <v>-0.26416783609006</v>
      </c>
      <c r="J12" s="184">
        <f>'Calc | CESS Revenue Increments'!F42</f>
        <v>-0.26416783609006</v>
      </c>
      <c r="K12" s="184">
        <f>'Calc | CESS Revenue Increments'!G42</f>
        <v>-0.26416783609006</v>
      </c>
      <c r="L12" s="184">
        <f>'Calc | CESS Revenue Increments'!H42</f>
        <v>-0.26416783609006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80" t="s">
        <v>103</v>
      </c>
      <c r="D13" s="70" t="str">
        <f>"Adjusted for "&amp;'Input | General'!H15&amp;" Actual Capex"</f>
        <v>Adjusted for 2019–20 Actual Capex</v>
      </c>
      <c r="E13" s="70" t="s">
        <v>53</v>
      </c>
      <c r="F13" s="70" t="str">
        <f>F12</f>
        <v>2019–20</v>
      </c>
      <c r="G13" s="71"/>
      <c r="H13" s="184">
        <f>'Calc | CESS Revenue Increments'!J42</f>
        <v>-0.1562800288361483</v>
      </c>
      <c r="I13" s="184">
        <f>'Calc | CESS Revenue Increments'!K42</f>
        <v>-0.1562800288361483</v>
      </c>
      <c r="J13" s="184">
        <f>'Calc | CESS Revenue Increments'!L42</f>
        <v>-0.1562800288361483</v>
      </c>
      <c r="K13" s="184">
        <f>'Calc | CESS Revenue Increments'!M42</f>
        <v>-0.1562800288361483</v>
      </c>
      <c r="L13" s="184">
        <f>'Calc | CESS Revenue Increments'!N42</f>
        <v>-0.1562800288361483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80"/>
      <c r="D14" s="18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80" t="s">
        <v>110</v>
      </c>
      <c r="D15" s="70"/>
      <c r="E15" s="70" t="s">
        <v>53</v>
      </c>
      <c r="F15" s="70" t="str">
        <f>F13</f>
        <v>2019–20</v>
      </c>
      <c r="G15" s="71"/>
      <c r="H15" s="184">
        <f>H13-H12</f>
        <v>0.1078878072539117</v>
      </c>
      <c r="I15" s="184">
        <f t="shared" ref="I15:L15" si="2">I13-I12</f>
        <v>0.1078878072539117</v>
      </c>
      <c r="J15" s="184">
        <f t="shared" si="2"/>
        <v>0.1078878072539117</v>
      </c>
      <c r="K15" s="184">
        <f t="shared" si="2"/>
        <v>0.1078878072539117</v>
      </c>
      <c r="L15" s="184">
        <f t="shared" si="2"/>
        <v>0.1078878072539117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80" t="s">
        <v>110</v>
      </c>
      <c r="D16" s="70"/>
      <c r="E16" s="185" t="s">
        <v>53</v>
      </c>
      <c r="F16" s="185" t="s">
        <v>54</v>
      </c>
      <c r="G16" s="71"/>
      <c r="H16" s="184">
        <f>H15*H9</f>
        <v>0.10881627375351507</v>
      </c>
      <c r="I16" s="184">
        <f>I15*I9</f>
        <v>0.11262298640188889</v>
      </c>
      <c r="J16" s="184">
        <f>J15*J9</f>
        <v>0.12144341814812092</v>
      </c>
      <c r="K16" s="184">
        <f>K15*K9</f>
        <v>0.12636429059601875</v>
      </c>
      <c r="L16" s="184">
        <f>L15*L9</f>
        <v>0.12942823004470991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80" t="s">
        <v>75</v>
      </c>
      <c r="D17" s="180"/>
      <c r="E17" s="185"/>
      <c r="F17" s="185"/>
      <c r="G17" s="71"/>
      <c r="H17" s="184"/>
      <c r="I17" s="184">
        <f>$H$16*I$6</f>
        <v>2.2600930871697826E-3</v>
      </c>
      <c r="J17" s="184">
        <f>$H$16*I$9/$H$9*J$6</f>
        <v>2.302367032993015E-3</v>
      </c>
      <c r="K17" s="184">
        <f>$H$16*J$9/$H$9*K$6</f>
        <v>2.6181533992530115E-3</v>
      </c>
      <c r="L17" s="184">
        <f>$H$16*K$9/$H$9*L$6</f>
        <v>2.8380622281929976E-3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80" t="s">
        <v>76</v>
      </c>
      <c r="D18" s="180"/>
      <c r="E18" s="185"/>
      <c r="F18" s="185"/>
      <c r="G18" s="71"/>
      <c r="H18" s="184"/>
      <c r="I18" s="184"/>
      <c r="J18" s="184">
        <f>$I$16*J$6</f>
        <v>2.302367032993015E-3</v>
      </c>
      <c r="K18" s="184">
        <f>$I$16*J$9/$I$9*K$6</f>
        <v>2.618153399253012E-3</v>
      </c>
      <c r="L18" s="184">
        <f>$I$16*K$9/$I$9*L$6</f>
        <v>2.8380622281929976E-3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80" t="s">
        <v>77</v>
      </c>
      <c r="D19" s="180"/>
      <c r="E19" s="185"/>
      <c r="F19" s="185"/>
      <c r="G19" s="71"/>
      <c r="H19" s="184"/>
      <c r="I19" s="184"/>
      <c r="J19" s="184"/>
      <c r="K19" s="184">
        <f>$J$16*K$6</f>
        <v>2.6181533992530115E-3</v>
      </c>
      <c r="L19" s="184">
        <f>$J$16*K$9/$J$9*L$6</f>
        <v>2.8380622281929976E-3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80" t="s">
        <v>78</v>
      </c>
      <c r="D20" s="180"/>
      <c r="E20" s="185"/>
      <c r="F20" s="185"/>
      <c r="G20" s="71"/>
      <c r="H20" s="184"/>
      <c r="I20" s="184"/>
      <c r="J20" s="184"/>
      <c r="K20" s="184"/>
      <c r="L20" s="184">
        <f>$K$16*L$6</f>
        <v>2.8380622281929976E-3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80" t="s">
        <v>79</v>
      </c>
      <c r="D21" s="180"/>
      <c r="E21" s="185"/>
      <c r="F21" s="185"/>
      <c r="G21" s="71"/>
      <c r="H21" s="181"/>
      <c r="I21" s="181"/>
      <c r="J21" s="181"/>
      <c r="K21" s="181"/>
      <c r="L21" s="181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80" t="s">
        <v>80</v>
      </c>
      <c r="D22" s="70"/>
      <c r="E22" s="185" t="s">
        <v>53</v>
      </c>
      <c r="F22" s="185"/>
      <c r="G22" s="71"/>
      <c r="H22" s="184">
        <f>SUM(H17:H21)</f>
        <v>0</v>
      </c>
      <c r="I22" s="184">
        <f>SUM(I17:I21)</f>
        <v>2.2600930871697826E-3</v>
      </c>
      <c r="J22" s="184">
        <f t="shared" ref="J22:L22" si="3">SUM(J17:J21)</f>
        <v>4.6047340659860301E-3</v>
      </c>
      <c r="K22" s="184">
        <f t="shared" si="3"/>
        <v>7.8544601977590355E-3</v>
      </c>
      <c r="L22" s="184">
        <f t="shared" si="3"/>
        <v>1.135224891277199E-2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80"/>
      <c r="D23" s="180"/>
      <c r="E23" s="185"/>
      <c r="F23" s="185"/>
      <c r="G23" s="71"/>
      <c r="H23" s="181"/>
      <c r="I23" s="181"/>
      <c r="J23" s="181"/>
      <c r="K23" s="181"/>
      <c r="L23" s="181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80" t="s">
        <v>81</v>
      </c>
      <c r="D24" s="180"/>
      <c r="E24" s="185"/>
      <c r="F24" s="185"/>
      <c r="G24" s="71"/>
      <c r="H24" s="184">
        <f>I24*(1+I10)</f>
        <v>1.2940800487302861</v>
      </c>
      <c r="I24" s="184">
        <f>J24*(1+J10)</f>
        <v>1.2248985946398065</v>
      </c>
      <c r="J24" s="184">
        <f>K24*(1+K10)</f>
        <v>1.1131774099344505</v>
      </c>
      <c r="K24" s="186">
        <f>L24*(1+L10)</f>
        <v>1.0472508158382996</v>
      </c>
      <c r="L24" s="184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80" t="s">
        <v>111</v>
      </c>
      <c r="D25" s="180"/>
      <c r="E25" s="185" t="s">
        <v>53</v>
      </c>
      <c r="F25" s="185"/>
      <c r="G25" s="71"/>
      <c r="H25" s="184">
        <f>H16*H24</f>
        <v>0.14081696884159695</v>
      </c>
      <c r="I25" s="184">
        <f t="shared" ref="I25:L25" si="4">I16*I24</f>
        <v>0.13795173776781175</v>
      </c>
      <c r="J25" s="184">
        <f t="shared" si="4"/>
        <v>0.13518806966771169</v>
      </c>
      <c r="K25" s="184">
        <f t="shared" si="4"/>
        <v>0.1323351064195086</v>
      </c>
      <c r="L25" s="184">
        <f t="shared" si="4"/>
        <v>0.12942823004470991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80" t="s">
        <v>83</v>
      </c>
      <c r="D26" s="180"/>
      <c r="E26" s="185" t="s">
        <v>53</v>
      </c>
      <c r="F26" s="185"/>
      <c r="G26" s="71"/>
      <c r="H26" s="187">
        <f>H22*H24</f>
        <v>0</v>
      </c>
      <c r="I26" s="187">
        <f t="shared" ref="I26:L26" si="5">I22*I24</f>
        <v>2.7683848462294086E-3</v>
      </c>
      <c r="J26" s="187">
        <f t="shared" si="5"/>
        <v>5.1258859410112595E-3</v>
      </c>
      <c r="K26" s="187">
        <f t="shared" si="5"/>
        <v>8.225589850072601E-3</v>
      </c>
      <c r="L26" s="187">
        <f t="shared" si="5"/>
        <v>1.135224891277199E-2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112</v>
      </c>
      <c r="D27" s="188"/>
      <c r="E27" s="189" t="s">
        <v>53</v>
      </c>
      <c r="F27" s="175"/>
      <c r="G27" s="71"/>
      <c r="H27" s="69"/>
      <c r="I27" s="69"/>
      <c r="J27" s="69"/>
      <c r="K27" s="176"/>
      <c r="L27" s="194">
        <f>SUM(H25:L26)</f>
        <v>0.7031922222914242</v>
      </c>
      <c r="M27" s="71"/>
      <c r="N27" s="190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91"/>
      <c r="I28" s="191"/>
      <c r="J28" s="191"/>
      <c r="K28" s="191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5"/>
      <c r="C29" s="196" t="s">
        <v>99</v>
      </c>
      <c r="D29" s="197"/>
      <c r="E29" s="197"/>
      <c r="F29" s="198" t="s">
        <v>100</v>
      </c>
      <c r="G29" s="198"/>
      <c r="H29" s="195"/>
      <c r="I29" s="195"/>
      <c r="J29" s="195"/>
      <c r="K29" s="199"/>
      <c r="L29" s="199"/>
      <c r="M29" s="199"/>
      <c r="N29" s="197"/>
      <c r="O29" s="200"/>
      <c r="P29" s="197"/>
      <c r="Q29" s="197"/>
      <c r="R29" s="197"/>
      <c r="S29" s="54"/>
    </row>
    <row r="30" spans="1:19">
      <c r="A30" s="71"/>
      <c r="B30" s="71"/>
      <c r="C30" s="192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51</v>
      </c>
      <c r="G30" s="71"/>
      <c r="H30" s="179" t="str">
        <f>M5</f>
        <v>2025–26</v>
      </c>
      <c r="I30" s="179" t="str">
        <f t="shared" ref="I30:L30" si="6">N5</f>
        <v>2026–27</v>
      </c>
      <c r="J30" s="179" t="str">
        <f t="shared" si="6"/>
        <v>2027–28</v>
      </c>
      <c r="K30" s="179" t="str">
        <f t="shared" si="6"/>
        <v>2028–29</v>
      </c>
      <c r="L30" s="179" t="str">
        <f t="shared" si="6"/>
        <v>2029–30</v>
      </c>
      <c r="M30" s="179" t="s">
        <v>102</v>
      </c>
      <c r="N30" s="190"/>
      <c r="O30" s="71"/>
      <c r="P30" s="71"/>
      <c r="Q30" s="71"/>
      <c r="R30" s="71"/>
      <c r="S30" s="71"/>
    </row>
    <row r="31" spans="1:19">
      <c r="A31" s="71"/>
      <c r="B31" s="71"/>
      <c r="C31" s="180" t="s">
        <v>97</v>
      </c>
      <c r="D31" s="71"/>
      <c r="E31" s="70"/>
      <c r="F31" s="70"/>
      <c r="G31" s="71"/>
      <c r="H31" s="184">
        <f>1/(1+M7)</f>
        <v>0.96800249489191581</v>
      </c>
      <c r="I31" s="184">
        <f>H31/(1+N7)</f>
        <v>0.93681343769317316</v>
      </c>
      <c r="J31" s="184">
        <f>I31/(1+O7)</f>
        <v>0.90619688153045352</v>
      </c>
      <c r="K31" s="184">
        <f>J31/(1+P7)</f>
        <v>0.87588528196532478</v>
      </c>
      <c r="L31" s="184">
        <f>K31/(1+Q7)</f>
        <v>0.84591053455167875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80"/>
      <c r="D32" s="71"/>
      <c r="E32" s="70"/>
      <c r="F32" s="70"/>
      <c r="G32" s="71"/>
      <c r="H32" s="201"/>
      <c r="I32" s="201"/>
      <c r="J32" s="201"/>
      <c r="K32" s="201"/>
      <c r="L32" s="201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80" t="str">
        <f>CONCATENATE("CESS Payment per year ($", F33," million)")</f>
        <v>CESS Payment per year ($2024–25 million)</v>
      </c>
      <c r="D33" s="71"/>
      <c r="E33" s="70" t="s">
        <v>53</v>
      </c>
      <c r="F33" s="70" t="str">
        <f>'Input | General'!H20</f>
        <v>2024–25</v>
      </c>
      <c r="G33" s="71"/>
      <c r="H33" s="176">
        <f>$L$27/SUM($H$31:$L$31)</f>
        <v>0.15513388708697701</v>
      </c>
      <c r="I33" s="176">
        <f>H33</f>
        <v>0.15513388708697701</v>
      </c>
      <c r="J33" s="176">
        <f t="shared" ref="J33:K33" si="7">I33</f>
        <v>0.15513388708697701</v>
      </c>
      <c r="K33" s="176">
        <f t="shared" si="7"/>
        <v>0.15513388708697701</v>
      </c>
      <c r="L33" s="176">
        <f>K33</f>
        <v>0.15513388708697701</v>
      </c>
      <c r="M33" s="176">
        <f>SUM(H33:L33)</f>
        <v>0.77566943543488498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80"/>
      <c r="D34" s="71"/>
      <c r="E34" s="71"/>
      <c r="F34" s="71"/>
      <c r="G34" s="71"/>
      <c r="H34" s="191"/>
      <c r="I34" s="191"/>
      <c r="J34" s="191"/>
      <c r="K34" s="191"/>
      <c r="L34" s="191"/>
      <c r="M34" s="191"/>
      <c r="N34" s="71"/>
      <c r="O34" s="71"/>
      <c r="P34" s="71"/>
      <c r="Q34" s="71"/>
      <c r="R34" s="71"/>
      <c r="S34" s="71"/>
    </row>
    <row r="35" spans="1:19">
      <c r="A35" s="71"/>
      <c r="B35" s="71"/>
      <c r="C35" s="180"/>
      <c r="D35" s="71"/>
      <c r="E35" s="71"/>
      <c r="F35" s="71"/>
      <c r="G35" s="71"/>
      <c r="H35" s="71"/>
      <c r="I35" s="193"/>
      <c r="J35" s="193"/>
      <c r="K35" s="193"/>
      <c r="L35" s="193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9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O2" sqref="O2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Directlink 2020-25 FY20 True-up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15</v>
      </c>
      <c r="L1" s="140" t="s">
        <v>16</v>
      </c>
      <c r="M1" s="145" t="s">
        <v>17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32"/>
      <c r="K3" s="232"/>
      <c r="L3" s="232"/>
      <c r="M3" s="35"/>
      <c r="N3" s="232"/>
      <c r="O3" s="232"/>
      <c r="P3" s="232"/>
      <c r="Q3" s="232"/>
      <c r="R3" s="232"/>
      <c r="S3" s="232"/>
      <c r="T3" s="232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99</v>
      </c>
      <c r="C4" s="37"/>
      <c r="D4" s="37"/>
      <c r="E4" s="37"/>
      <c r="F4" s="37"/>
      <c r="G4" s="39"/>
      <c r="H4" s="39"/>
      <c r="I4" s="39"/>
      <c r="J4" s="40" t="s">
        <v>100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101</v>
      </c>
      <c r="D6" s="48" t="s">
        <v>37</v>
      </c>
      <c r="E6" s="48" t="s">
        <v>38</v>
      </c>
      <c r="F6" s="48" t="s">
        <v>51</v>
      </c>
      <c r="H6" s="48"/>
      <c r="I6" s="48"/>
      <c r="J6" s="164" t="str">
        <f>'Calc | CESS Revenue Increments'!D40</f>
        <v>2020-21</v>
      </c>
      <c r="K6" s="164" t="str">
        <f>'Calc | CESS Revenue Increments'!E40</f>
        <v>2021–22</v>
      </c>
      <c r="L6" s="164" t="str">
        <f>'Calc | CESS Revenue Increments'!F40</f>
        <v>2022–23</v>
      </c>
      <c r="M6" s="164" t="str">
        <f>'Calc | CESS Revenue Increments'!G40</f>
        <v>2023–24</v>
      </c>
      <c r="N6" s="164" t="str">
        <f>'Calc | CESS Revenue Increments'!H40</f>
        <v>2024–25</v>
      </c>
      <c r="O6" s="49" t="s">
        <v>102</v>
      </c>
      <c r="P6" s="121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103</v>
      </c>
      <c r="D8" s="98" t="s">
        <v>10</v>
      </c>
      <c r="E8" s="45" t="s">
        <v>53</v>
      </c>
      <c r="F8" s="165" t="str">
        <f>IF(LEN(J6)&gt;4,CONCATENATE(LEFT(J6,4)-1&amp;"–"&amp;IF(RIGHT(J6,2)="00","99",IF(RIGHT(J6,2)-1&lt;10,"0","")&amp;RIGHT(J6,2)-1)),J6-1)</f>
        <v>2019–20</v>
      </c>
      <c r="H8" s="48"/>
      <c r="I8" s="48"/>
      <c r="J8" s="119">
        <f>'Calc | CESS Revenue Increments'!D42</f>
        <v>-0.26416783609006</v>
      </c>
      <c r="K8" s="119">
        <f>'Calc | CESS Revenue Increments'!E42</f>
        <v>-0.26416783609006</v>
      </c>
      <c r="L8" s="119">
        <f>'Calc | CESS Revenue Increments'!F42</f>
        <v>-0.26416783609006</v>
      </c>
      <c r="M8" s="119">
        <f>'Calc | CESS Revenue Increments'!G42</f>
        <v>-0.26416783609006</v>
      </c>
      <c r="N8" s="119">
        <f>'Calc | CESS Revenue Increments'!H42</f>
        <v>-0.26416783609006</v>
      </c>
      <c r="O8" s="52">
        <f>SUM(J8:N8)</f>
        <v>-1.3208391804502999</v>
      </c>
      <c r="P8" s="122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20"/>
      <c r="K10" s="120"/>
      <c r="L10" s="120"/>
      <c r="M10" s="120"/>
      <c r="N10" s="120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CESS true-up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2025-04-02T02:31:22Z</dcterms:created>
  <dcterms:modified xsi:type="dcterms:W3CDTF">2025-04-02T02:31:36Z</dcterms:modified>
  <cp:category/>
  <cp:contentStatus/>
</cp:coreProperties>
</file>