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4 Reset RIN\Iteration 8\3 United Energy\"/>
    </mc:Choice>
  </mc:AlternateContent>
  <xr:revisionPtr revIDLastSave="0" documentId="13_ncr:1_{7BAFCD46-8C0E-4BA8-9BD8-600D67A6CA9C}" xr6:coauthVersionLast="47" xr6:coauthVersionMax="47" xr10:uidLastSave="{00000000-0000-0000-0000-000000000000}"/>
  <bookViews>
    <workbookView xWindow="-18570" yWindow="-16320" windowWidth="29040" windowHeight="1572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  <externalReference r:id="rId9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#REF!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P21" i="13"/>
  <c r="O21" i="13"/>
  <c r="N21" i="13"/>
  <c r="M21" i="13"/>
  <c r="L21" i="13"/>
  <c r="D44" i="4" s="1"/>
  <c r="E44" i="4" s="1"/>
  <c r="F44" i="4" s="1"/>
  <c r="G44" i="4" s="1"/>
  <c r="H44" i="4" s="1"/>
  <c r="K20" i="13"/>
  <c r="J20" i="13"/>
  <c r="I20" i="13"/>
  <c r="H20" i="13"/>
  <c r="G20" i="13"/>
  <c r="L14" i="13"/>
  <c r="K13" i="13"/>
  <c r="J13" i="13"/>
  <c r="I13" i="13"/>
  <c r="H13" i="13"/>
  <c r="G13" i="13"/>
  <c r="L9" i="13"/>
  <c r="K8" i="13"/>
  <c r="J8" i="13"/>
  <c r="I8" i="13"/>
  <c r="H8" i="13"/>
  <c r="G8" i="13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I15" i="13" l="1"/>
  <c r="I24" i="3"/>
  <c r="H24" i="3"/>
  <c r="D10" i="4"/>
  <c r="D12" i="4" s="1"/>
  <c r="G10" i="13"/>
  <c r="H10" i="13" s="1"/>
  <c r="I10" i="13" s="1"/>
  <c r="J10" i="13" s="1"/>
  <c r="K10" i="13" s="1"/>
  <c r="L10" i="13" s="1"/>
  <c r="I31" i="3" s="1"/>
  <c r="E10" i="4"/>
  <c r="G11" i="4"/>
  <c r="F11" i="4"/>
  <c r="E11" i="4"/>
  <c r="F19" i="4"/>
  <c r="E19" i="4" s="1"/>
  <c r="D19" i="4" s="1"/>
  <c r="E25" i="4"/>
  <c r="E27" i="4" s="1"/>
  <c r="N14" i="13"/>
  <c r="B1" i="9"/>
  <c r="B1" i="5"/>
  <c r="B1" i="3"/>
  <c r="B1" i="13"/>
  <c r="B1" i="4"/>
  <c r="J15" i="13" l="1"/>
  <c r="J24" i="3"/>
  <c r="F10" i="4"/>
  <c r="F12" i="4" s="1"/>
  <c r="F20" i="4" s="1"/>
  <c r="F13" i="4"/>
  <c r="G13" i="4"/>
  <c r="E13" i="4"/>
  <c r="E18" i="4" s="1"/>
  <c r="E21" i="4" s="1"/>
  <c r="H13" i="4"/>
  <c r="D21" i="4"/>
  <c r="D20" i="4"/>
  <c r="H31" i="3"/>
  <c r="E12" i="4"/>
  <c r="G14" i="4" s="1"/>
  <c r="N22" i="13"/>
  <c r="F25" i="4" s="1"/>
  <c r="F27" i="4" s="1"/>
  <c r="M10" i="13"/>
  <c r="N10" i="13" s="1"/>
  <c r="K31" i="3" s="1"/>
  <c r="O14" i="13"/>
  <c r="O22" i="13" s="1"/>
  <c r="K15" i="13" l="1"/>
  <c r="K24" i="3"/>
  <c r="G10" i="4"/>
  <c r="G12" i="4" s="1"/>
  <c r="G20" i="4" s="1"/>
  <c r="G15" i="4"/>
  <c r="G18" i="4" s="1"/>
  <c r="G21" i="4" s="1"/>
  <c r="H15" i="4"/>
  <c r="H14" i="4"/>
  <c r="E20" i="4"/>
  <c r="F14" i="4"/>
  <c r="F18" i="4" s="1"/>
  <c r="F21" i="4" s="1"/>
  <c r="J31" i="3"/>
  <c r="O10" i="13"/>
  <c r="P10" i="13" s="1"/>
  <c r="P14" i="13"/>
  <c r="G25" i="4"/>
  <c r="G27" i="4" s="1"/>
  <c r="H16" i="4" l="1"/>
  <c r="H18" i="4" s="1"/>
  <c r="H21" i="4" s="1"/>
  <c r="D38" i="4" s="1"/>
  <c r="L24" i="3"/>
  <c r="D32" i="4" s="1"/>
  <c r="D33" i="4" s="1"/>
  <c r="H10" i="4"/>
  <c r="H12" i="4" s="1"/>
  <c r="H20" i="4" s="1"/>
  <c r="L15" i="13"/>
  <c r="H32" i="3"/>
  <c r="D26" i="4" s="1"/>
  <c r="D28" i="4" s="1"/>
  <c r="P22" i="13"/>
  <c r="H25" i="4" s="1"/>
  <c r="H27" i="4" s="1"/>
  <c r="L31" i="3"/>
  <c r="M15" i="13" l="1"/>
  <c r="I32" i="3"/>
  <c r="E26" i="4" s="1"/>
  <c r="E28" i="4" s="1"/>
  <c r="N15" i="13" l="1"/>
  <c r="J32" i="3"/>
  <c r="F26" i="4" s="1"/>
  <c r="F28" i="4" s="1"/>
  <c r="O15" i="13" l="1"/>
  <c r="K32" i="3"/>
  <c r="G26" i="4" s="1"/>
  <c r="G28" i="4" s="1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K8" i="10" l="1"/>
  <c r="F45" i="4"/>
  <c r="G45" i="4" l="1"/>
  <c r="L8" i="10"/>
  <c r="H45" i="4" l="1"/>
  <c r="N8" i="10" s="1"/>
  <c r="M8" i="10"/>
  <c r="O8" i="10" l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<sst xmlns="http://schemas.openxmlformats.org/spreadsheetml/2006/main" count="277" uniqueCount="145">
  <si>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</si>
  <si>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</si>
  <si>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</si>
  <si>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</si>
  <si>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</si>
  <si>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</si>
  <si>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</si>
  <si>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</si>
  <si>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</si>
  <si>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</si>
  <si>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</si>
  <si>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</si>
  <si>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</si>
  <si>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</si>
  <si>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</si>
  <si>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</si>
  <si>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</si>
  <si>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</si>
  <si>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</si>
  <si>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</si>
  <si>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</si>
  <si>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</si>
  <si>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</si>
  <si>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</si>
  <si>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</si>
  <si>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</si>
  <si>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</si>
  <si>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</si>
  <si>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</si>
  <si>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</si>
  <si>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</si>
  <si>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</si>
  <si>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</si>
  <si>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</si>
  <si>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</si>
  <si>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</si>
  <si>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</si>
  <si>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</si>
  <si>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</si>
  <si>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</si>
  <si>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</si>
  <si>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</si>
  <si>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</si>
  <si>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</si>
  <si>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</si>
  <si>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</si>
  <si>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</si>
  <si>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</si>
  <si>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</si>
  <si>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</si>
  <si>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</si>
  <si>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</si>
  <si>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</si>
  <si>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</si>
  <si>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</si>
  <si>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</si>
  <si>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</si>
  <si>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</si>
  <si>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</si>
  <si>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</si>
  <si>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</si>
  <si>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</si>
  <si>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</si>
  <si>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</si>
  <si>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</si>
  <si>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</si>
  <si>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</si>
  <si>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</si>
  <si>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</si>
  <si>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</si>
  <si>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</si>
  <si>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</si>
  <si>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</si>
  <si>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</si>
  <si>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</si>
  <si>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</si>
  <si>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</si>
  <si>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</si>
  <si>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</si>
  <si>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</si>
  <si>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</si>
  <si>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</si>
  <si>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</si>
  <si>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</si>
  <si>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</si>
  <si>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</si>
  <si>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</si>
  <si>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</si>
  <si>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</si>
  <si>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</si>
  <si>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</si>
  <si>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</si>
  <si>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</si>
  <si>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</si>
  <si>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</si>
  <si>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</si>
  <si>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</si>
  <si>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</si>
  <si>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</si>
  <si>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</si>
  <si>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</si>
  <si>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</si>
  <si>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</si>
  <si>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</si>
  <si>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</si>
  <si>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</si>
  <si>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</si>
  <si>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</si>
  <si>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</si>
  <si>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</si>
  <si>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</si>
  <si>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</si>
  <si>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</si>
  <si>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</si>
  <si>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</si>
  <si>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</si>
  <si>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</si>
  <si>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</si>
  <si>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</si>
  <si>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</si>
  <si>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</si>
  <si>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</si>
  <si>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</si>
  <si>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</si>
  <si>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</si>
  <si>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</si>
  <si>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</si>
  <si>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</si>
  <si>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</si>
  <si>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</si>
  <si>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</si>
  <si>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</si>
  <si>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</si>
  <si>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</si>
  <si>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</si>
  <si>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</si>
  <si>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</si>
  <si>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</si>
  <si>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</si>
  <si>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</si>
  <si>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</si>
  <si>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</si>
  <si>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</si>
  <si>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</si>
  <si>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United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</si>
</sst>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3%20Iterations\Iteration%208\3%20United%20Energy\AER%20-%20UE%202026-31%20reset%20-%20Capital%20expenditure%20sharing%20scheme%20module%20-%20Iteration%208.xlsx" TargetMode="External"/><Relationship Id="rId1" Type="http://schemas.openxmlformats.org/officeDocument/2006/relationships/externalLinkPath" Target="/3%20Modelling/03%20Iterations/Iteration%208/3%20United%20Energy/AER%20-%20UE%202026-31%20reset%20-%20Capital%20expenditure%20sharing%20scheme%20module%20-%20Iteratio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 | General"/>
      <sheetName val="Input | Inflation and Disc Rate"/>
      <sheetName val="Input | Reported Capex"/>
      <sheetName val="Calc | CESS Revenue Increments"/>
      <sheetName val="Output | Models"/>
      <sheetName val="Output|Final year true-up"/>
      <sheetName val="Lookup | Tables"/>
    </sheetNames>
    <sheetDataSet>
      <sheetData sheetId="0"/>
      <sheetData sheetId="1"/>
      <sheetData sheetId="2">
        <row r="8">
          <cell r="G8">
            <v>8.6058519793459354E-3</v>
          </cell>
          <cell r="H8">
            <v>3.4982935153583528E-2</v>
          </cell>
          <cell r="I8">
            <v>7.8318219291014124E-2</v>
          </cell>
          <cell r="J8">
            <v>4.0519877675840865E-2</v>
          </cell>
          <cell r="K8">
            <v>2.9999999999999583E-2</v>
          </cell>
        </row>
        <row r="9">
          <cell r="L9">
            <v>2.7498479316033997E-2</v>
          </cell>
        </row>
        <row r="13">
          <cell r="G13">
            <v>8.6058519793459354E-3</v>
          </cell>
          <cell r="H13">
            <v>3.4982935153583528E-2</v>
          </cell>
          <cell r="I13">
            <v>7.8318219291014124E-2</v>
          </cell>
          <cell r="J13">
            <v>4.0519877675840865E-2</v>
          </cell>
          <cell r="K13">
            <v>2.9999999999999583E-2</v>
          </cell>
        </row>
        <row r="14">
          <cell r="L14">
            <v>2.7498479316033997E-2</v>
          </cell>
        </row>
        <row r="20">
          <cell r="G20">
            <v>2.7065292365717752E-2</v>
          </cell>
          <cell r="H20">
            <v>2.6109414504705164E-2</v>
          </cell>
          <cell r="I20">
            <v>2.6532503143013919E-2</v>
          </cell>
          <cell r="J20">
            <v>2.6653232212084044E-2</v>
          </cell>
          <cell r="K20">
            <v>2.7050369435689836E-2</v>
          </cell>
        </row>
        <row r="21">
          <cell r="L21">
            <v>3.0121664957721526E-2</v>
          </cell>
          <cell r="M21">
            <v>3.0707975820935741E-2</v>
          </cell>
          <cell r="N21">
            <v>3.1280597064058432E-2</v>
          </cell>
          <cell r="O21">
            <v>3.2322824478112855E-2</v>
          </cell>
          <cell r="P21">
            <v>3.3996437751275407E-2</v>
          </cell>
        </row>
      </sheetData>
      <sheetData sheetId="3">
        <row r="8">
          <cell r="H8">
            <v>256.23816265428735</v>
          </cell>
          <cell r="I8">
            <v>219.81215106272367</v>
          </cell>
          <cell r="J8">
            <v>209.15672359506573</v>
          </cell>
          <cell r="K8">
            <v>208.5305305384646</v>
          </cell>
          <cell r="L8">
            <v>193.09662254615921</v>
          </cell>
        </row>
        <row r="9">
          <cell r="H9">
            <v>30.64228625373573</v>
          </cell>
          <cell r="I9">
            <v>35.040444966012224</v>
          </cell>
          <cell r="J9">
            <v>35.7471999334579</v>
          </cell>
          <cell r="K9">
            <v>35.34902448838006</v>
          </cell>
          <cell r="L9">
            <v>34.907537900201639</v>
          </cell>
        </row>
        <row r="10">
          <cell r="H10">
            <v>0.87702162884397683</v>
          </cell>
          <cell r="I10">
            <v>0.87702162884397683</v>
          </cell>
          <cell r="J10">
            <v>0.87702162884397683</v>
          </cell>
          <cell r="K10">
            <v>0.87702162884397683</v>
          </cell>
          <cell r="L10">
            <v>0.87702162884397683</v>
          </cell>
        </row>
        <row r="18">
          <cell r="H18">
            <v>259.69374199999999</v>
          </cell>
          <cell r="I18">
            <v>242.97650865000003</v>
          </cell>
          <cell r="J18">
            <v>303.13078007000001</v>
          </cell>
          <cell r="K18">
            <v>262.02225641508886</v>
          </cell>
          <cell r="L18">
            <v>307.54777006109202</v>
          </cell>
        </row>
        <row r="19">
          <cell r="H19">
            <v>34.162399000000001</v>
          </cell>
          <cell r="I19">
            <v>45.247301999999998</v>
          </cell>
          <cell r="J19">
            <v>106.57300848999999</v>
          </cell>
          <cell r="K19">
            <v>44.512280021311206</v>
          </cell>
          <cell r="L19">
            <v>51.857788314714988</v>
          </cell>
        </row>
        <row r="20">
          <cell r="H20">
            <v>72.329340000000002</v>
          </cell>
          <cell r="I20">
            <v>0.57731299999999997</v>
          </cell>
          <cell r="J20">
            <v>10.744272479999999</v>
          </cell>
          <cell r="K20">
            <v>0.34314995314840918</v>
          </cell>
          <cell r="L20">
            <v>0.35524481419835602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>
      <selection activeCell="D10" sqref="D10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United Energy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5"/>
      <c r="B4" s="186"/>
      <c r="C4" s="187" t="s">
        <v>143</v>
      </c>
      <c r="D4" s="187"/>
      <c r="E4" s="187"/>
      <c r="F4" s="188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United Energy 2026-31 Regulatory proposal - Capital expenditure sharing scheme model</v>
      </c>
      <c r="F1" s="99"/>
      <c r="G1" s="100" t="s">
        <v>49</v>
      </c>
      <c r="H1" s="136" t="s">
        <v>50</v>
      </c>
      <c r="I1" s="175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144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6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6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5" t="s">
        <v>142</v>
      </c>
      <c r="J9" s="176" t="s">
        <v>139</v>
      </c>
      <c r="K9" s="80"/>
      <c r="L9" s="80"/>
      <c r="M9" s="80"/>
    </row>
    <row r="10" spans="1:13" s="71" customFormat="1" ht="11.25" customHeight="1">
      <c r="C10" s="70"/>
      <c r="J10" s="176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6" t="str">
        <f>D9</f>
        <v>2026-27</v>
      </c>
      <c r="E18" s="156" t="str">
        <f>IF(LEN(D18)&gt;4,CONCATENATE(LEFT(D18,4)+1&amp;"–"&amp;IF(RIGHT(D18,2)+1&gt;9,"","0")&amp;RIGHT(D18,2)+1),D18+1)</f>
        <v>2027–28</v>
      </c>
      <c r="F18" s="156" t="str">
        <f t="shared" ref="F18:H18" si="1">IF(LEN(E18)&gt;4,CONCATENATE(LEFT(E18,4)+1&amp;"–"&amp;IF(RIGHT(E18,2)+1&gt;9,"","0")&amp;RIGHT(E18,2)+1),E18+1)</f>
        <v>2028–29</v>
      </c>
      <c r="G18" s="156" t="str">
        <f t="shared" si="1"/>
        <v>2029–30</v>
      </c>
      <c r="H18" s="156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P21" sqref="P2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5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2020–21</v>
      </c>
      <c r="G7" s="154" t="str">
        <f>'Input | General'!D13</f>
        <v>2021–22</v>
      </c>
      <c r="H7" s="154" t="str">
        <f>'Input | General'!E13</f>
        <v>2022–23</v>
      </c>
      <c r="I7" s="154" t="str">
        <f>'Input | General'!F13</f>
        <v>2023–24</v>
      </c>
      <c r="J7" s="154" t="str">
        <f>'Input | General'!G13</f>
        <v>2024–25</v>
      </c>
      <c r="K7" s="154" t="str">
        <f>'Input | General'!H13</f>
        <v>2025–26</v>
      </c>
      <c r="L7" s="154" t="str">
        <f>'Input | General'!D18</f>
        <v>2026-27</v>
      </c>
      <c r="M7" s="154" t="str">
        <f>'Input | General'!E18</f>
        <v>2027–28</v>
      </c>
      <c r="N7" s="154" t="str">
        <f>'Input | General'!F18</f>
        <v>2028–29</v>
      </c>
      <c r="O7" s="154" t="str">
        <f>'Input | General'!G18</f>
        <v>2029–30</v>
      </c>
      <c r="P7" s="154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f>'[2]Input | Inflation and Disc Rate'!G8</f>
        <v>8.6058519793459354E-3</v>
      </c>
      <c r="H8" s="138">
        <f>'[2]Input | Inflation and Disc Rate'!H8</f>
        <v>3.4982935153583528E-2</v>
      </c>
      <c r="I8" s="138">
        <f>'[2]Input | Inflation and Disc Rate'!I8</f>
        <v>7.8318219291014124E-2</v>
      </c>
      <c r="J8" s="138">
        <f>'[2]Input | Inflation and Disc Rate'!J8</f>
        <v>4.0519877675840865E-2</v>
      </c>
      <c r="K8" s="138">
        <f>'[2]Input | Inflation and Disc Rate'!K8</f>
        <v>2.9999999999999583E-2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f>'[2]Input | Inflation and Disc Rate'!L9</f>
        <v>2.7498479316033997E-2</v>
      </c>
      <c r="M9" s="157">
        <f t="shared" ref="M9:P9" si="0">L9</f>
        <v>2.7498479316033997E-2</v>
      </c>
      <c r="N9" s="157">
        <f t="shared" si="0"/>
        <v>2.7498479316033997E-2</v>
      </c>
      <c r="O9" s="157">
        <f t="shared" si="0"/>
        <v>2.7498479316033997E-2</v>
      </c>
      <c r="P9" s="157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1.1712564543889843</v>
      </c>
      <c r="K10" s="160">
        <f>IF(K7&lt;&gt;"",(J10*(1+K8)),"")</f>
        <v>1.2063941480206533</v>
      </c>
      <c r="L10" s="160">
        <f t="shared" ref="L10:P10" si="1">IF(L7&lt;&gt;"",(K10*(1+L9)),"")</f>
        <v>1.2395681525469837</v>
      </c>
      <c r="M10" s="160">
        <f t="shared" si="1"/>
        <v>1.2736543917506113</v>
      </c>
      <c r="N10" s="160">
        <f t="shared" si="1"/>
        <v>1.3086779506979414</v>
      </c>
      <c r="O10" s="160">
        <f t="shared" si="1"/>
        <v>1.3446646042565584</v>
      </c>
      <c r="P10" s="160">
        <f t="shared" si="1"/>
        <v>1.3816408360637105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'[2]Input | Inflation and Disc Rate'!G13</f>
        <v>8.6058519793459354E-3</v>
      </c>
      <c r="H13" s="138">
        <f>'[2]Input | Inflation and Disc Rate'!H13</f>
        <v>3.4982935153583528E-2</v>
      </c>
      <c r="I13" s="138">
        <f>'[2]Input | Inflation and Disc Rate'!I13</f>
        <v>7.8318219291014124E-2</v>
      </c>
      <c r="J13" s="138">
        <f>'[2]Input | Inflation and Disc Rate'!J13</f>
        <v>4.0519877675840865E-2</v>
      </c>
      <c r="K13" s="138">
        <f>'[2]Input | Inflation and Disc Rate'!K13</f>
        <v>2.9999999999999583E-2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>'[2]Input | Inflation and Disc Rate'!L14</f>
        <v>2.7498479316033997E-2</v>
      </c>
      <c r="M14" s="157">
        <f t="shared" ref="M14:P14" si="2">L14</f>
        <v>2.7498479316033997E-2</v>
      </c>
      <c r="N14" s="157">
        <f t="shared" si="2"/>
        <v>2.7498479316033997E-2</v>
      </c>
      <c r="O14" s="157">
        <f t="shared" si="2"/>
        <v>2.7498479316033997E-2</v>
      </c>
      <c r="P14" s="157">
        <f t="shared" si="2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1.1712564543889843</v>
      </c>
      <c r="K15" s="160">
        <f>IF(K7&lt;&gt;"",(J15*(1+K13)),"")</f>
        <v>1.2063941480206533</v>
      </c>
      <c r="L15" s="160">
        <f t="shared" ref="L15:P15" si="3">IF(L7&lt;&gt;"",(K15*(1+L14)),"")</f>
        <v>1.2395681525469837</v>
      </c>
      <c r="M15" s="160">
        <f t="shared" si="3"/>
        <v>1.2736543917506113</v>
      </c>
      <c r="N15" s="160">
        <f t="shared" si="3"/>
        <v>1.3086779506979414</v>
      </c>
      <c r="O15" s="160">
        <f t="shared" si="3"/>
        <v>1.3446646042565584</v>
      </c>
      <c r="P15" s="160">
        <f t="shared" si="3"/>
        <v>1.3816408360637105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f>'[2]Input | Inflation and Disc Rate'!G20</f>
        <v>2.7065292365717752E-2</v>
      </c>
      <c r="H20" s="138">
        <f>'[2]Input | Inflation and Disc Rate'!H20</f>
        <v>2.6109414504705164E-2</v>
      </c>
      <c r="I20" s="138">
        <f>'[2]Input | Inflation and Disc Rate'!I20</f>
        <v>2.6532503143013919E-2</v>
      </c>
      <c r="J20" s="138">
        <f>'[2]Input | Inflation and Disc Rate'!J20</f>
        <v>2.6653232212084044E-2</v>
      </c>
      <c r="K20" s="138">
        <f>'[2]Input | Inflation and Disc Rate'!K20</f>
        <v>2.7050369435689836E-2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f>'[2]Input | Inflation and Disc Rate'!L21</f>
        <v>3.0121664957721526E-2</v>
      </c>
      <c r="M21" s="138">
        <f>'[2]Input | Inflation and Disc Rate'!M21</f>
        <v>3.0707975820935741E-2</v>
      </c>
      <c r="N21" s="138">
        <f>'[2]Input | Inflation and Disc Rate'!N21</f>
        <v>3.1280597064058432E-2</v>
      </c>
      <c r="O21" s="138">
        <f>'[2]Input | Inflation and Disc Rate'!O21</f>
        <v>3.2322824478112855E-2</v>
      </c>
      <c r="P21" s="138">
        <f>'[2]Input | Inflation and Disc Rate'!P21</f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8">
        <f>IF(AND(G13&lt;&gt;"",G20&lt;&gt;""),((1+G20)*(1+G13)-1),"")</f>
        <v>3.5904064244940859E-2</v>
      </c>
      <c r="H22" s="158">
        <f>IF(AND(H13&lt;&gt;"",H20&lt;&gt;""),((1+H20)*(1+H13)-1),"")</f>
        <v>6.2005733612804814E-2</v>
      </c>
      <c r="I22" s="158">
        <f>IF(AND(I13&lt;&gt;"",I20&lt;&gt;""),((1+I20)*(1+I13)-1),"")</f>
        <v>0.10692870083352224</v>
      </c>
      <c r="J22" s="158">
        <f>IF(AND(J13&lt;&gt;"",J20&lt;&gt;""),((1+J20)*(1+J13)-1),"")</f>
        <v>6.8253095596824354E-2</v>
      </c>
      <c r="K22" s="158">
        <f>IF(AND(K13&lt;&gt;"",K20&lt;&gt;""),((1+K20)*(1+K13)-1),"")</f>
        <v>5.7861880518760067E-2</v>
      </c>
      <c r="L22" s="158">
        <f>IF(AND(L14&lt;&gt;"",L21&lt;&gt;""),((1+L21)*(1+L14)-1),"")</f>
        <v>5.8448444254560084E-2</v>
      </c>
      <c r="M22" s="158">
        <f t="shared" ref="M22:P22" si="5">IF(AND(M14&lt;&gt;"",M21&lt;&gt;""),((1+M21)*(1+M14)-1),"")</f>
        <v>5.9050877774919019E-2</v>
      </c>
      <c r="N22" s="158">
        <f t="shared" si="5"/>
        <v>5.9639245231451588E-2</v>
      </c>
      <c r="O22" s="158">
        <f t="shared" si="5"/>
        <v>6.071013231449407E-2</v>
      </c>
      <c r="P22" s="158">
        <f t="shared" si="5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L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5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f>'[2]Input | Reported Capex'!H8</f>
        <v>256.23816265428735</v>
      </c>
      <c r="I8" s="139">
        <f>'[2]Input | Reported Capex'!I8</f>
        <v>219.81215106272367</v>
      </c>
      <c r="J8" s="139">
        <f>'[2]Input | Reported Capex'!J8</f>
        <v>209.15672359506573</v>
      </c>
      <c r="K8" s="139">
        <f>'[2]Input | Reported Capex'!K8</f>
        <v>208.5305305384646</v>
      </c>
      <c r="L8" s="139">
        <f>'[2]Input | Reported Capex'!L8</f>
        <v>193.09662254615921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f>'[2]Input | Reported Capex'!H9</f>
        <v>30.64228625373573</v>
      </c>
      <c r="I9" s="139">
        <f>'[2]Input | Reported Capex'!I9</f>
        <v>35.040444966012224</v>
      </c>
      <c r="J9" s="139">
        <f>'[2]Input | Reported Capex'!J9</f>
        <v>35.7471999334579</v>
      </c>
      <c r="K9" s="139">
        <f>'[2]Input | Reported Capex'!K9</f>
        <v>35.34902448838006</v>
      </c>
      <c r="L9" s="139">
        <f>'[2]Input | Reported Capex'!L9</f>
        <v>34.907537900201639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f>'[2]Input | Reported Capex'!H10</f>
        <v>0.87702162884397683</v>
      </c>
      <c r="I10" s="139">
        <f>'[2]Input | Reported Capex'!I10</f>
        <v>0.87702162884397683</v>
      </c>
      <c r="J10" s="139">
        <f>'[2]Input | Reported Capex'!J10</f>
        <v>0.87702162884397683</v>
      </c>
      <c r="K10" s="139">
        <f>'[2]Input | Reported Capex'!K10</f>
        <v>0.87702162884397683</v>
      </c>
      <c r="L10" s="139">
        <f>'[2]Input | Reported Capex'!L10</f>
        <v>0.87702162884397683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4" t="s">
        <v>59</v>
      </c>
      <c r="F12" s="163" t="str">
        <f>'Input | Inflation and Disc Rate'!$F$7</f>
        <v>2020–21</v>
      </c>
      <c r="G12" s="69"/>
      <c r="H12" s="161">
        <f>IF(H6="", "", H8-H9-H10)</f>
        <v>224.71885477170764</v>
      </c>
      <c r="I12" s="161">
        <f t="shared" ref="I12:L12" si="0">IF(I6="", "", I8-I9-I10)</f>
        <v>183.89468446786748</v>
      </c>
      <c r="J12" s="161">
        <f t="shared" si="0"/>
        <v>172.53250203276386</v>
      </c>
      <c r="K12" s="161">
        <f t="shared" si="0"/>
        <v>172.30448442124057</v>
      </c>
      <c r="L12" s="161">
        <f t="shared" si="0"/>
        <v>157.31206301711359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f>'[2]Input | Reported Capex'!H18</f>
        <v>259.69374199999999</v>
      </c>
      <c r="I18" s="139">
        <f>'[2]Input | Reported Capex'!I18</f>
        <v>242.97650865000003</v>
      </c>
      <c r="J18" s="139">
        <f>'[2]Input | Reported Capex'!J18</f>
        <v>303.13078007000001</v>
      </c>
      <c r="K18" s="139">
        <f>'[2]Input | Reported Capex'!K18</f>
        <v>262.02225641508886</v>
      </c>
      <c r="L18" s="139">
        <f>'[2]Input | Reported Capex'!L18</f>
        <v>307.54777006109202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f>'[2]Input | Reported Capex'!H19</f>
        <v>34.162399000000001</v>
      </c>
      <c r="I19" s="139">
        <f>'[2]Input | Reported Capex'!I19</f>
        <v>45.247301999999998</v>
      </c>
      <c r="J19" s="139">
        <f>'[2]Input | Reported Capex'!J19</f>
        <v>106.57300848999999</v>
      </c>
      <c r="K19" s="139">
        <f>'[2]Input | Reported Capex'!K19</f>
        <v>44.512280021311206</v>
      </c>
      <c r="L19" s="139">
        <f>'[2]Input | Reported Capex'!L19</f>
        <v>51.857788314714988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f>'[2]Input | Reported Capex'!H20</f>
        <v>72.329340000000002</v>
      </c>
      <c r="I20" s="139">
        <f>'[2]Input | Reported Capex'!I20</f>
        <v>0.57731299999999997</v>
      </c>
      <c r="J20" s="139">
        <f>'[2]Input | Reported Capex'!J20</f>
        <v>10.744272479999999</v>
      </c>
      <c r="K20" s="139">
        <f>'[2]Input | Reported Capex'!K20</f>
        <v>0.34314995314840918</v>
      </c>
      <c r="L20" s="139">
        <f>'[2]Input | Reported Capex'!L20</f>
        <v>0.35524481419835602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>
        <f>'[2]Input | Reported Capex'!H21</f>
        <v>0</v>
      </c>
      <c r="I21" s="139">
        <f>'[2]Input | Reported Capex'!I21</f>
        <v>0</v>
      </c>
      <c r="J21" s="139">
        <f>'[2]Input | Reported Capex'!J21</f>
        <v>0</v>
      </c>
      <c r="K21" s="139">
        <f>'[2]Input | Reported Capex'!K21</f>
        <v>0</v>
      </c>
      <c r="L21" s="139">
        <f>'[2]Input | Reported Capex'!L21</f>
        <v>0</v>
      </c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4" t="s">
        <v>59</v>
      </c>
      <c r="F23" s="174" t="s">
        <v>63</v>
      </c>
      <c r="G23" s="69"/>
      <c r="H23" s="161">
        <f>IF(H16="", "", H18-H19-H20-H21)</f>
        <v>153.20200299999999</v>
      </c>
      <c r="I23" s="161">
        <f t="shared" ref="I23:L23" si="2">IF(I16="", "", I18-I19-I20-I21)</f>
        <v>197.15189365000003</v>
      </c>
      <c r="J23" s="161">
        <f t="shared" si="2"/>
        <v>185.8134991</v>
      </c>
      <c r="K23" s="161">
        <f t="shared" si="2"/>
        <v>217.16682644062925</v>
      </c>
      <c r="L23" s="161">
        <f t="shared" si="2"/>
        <v>255.33473693217869</v>
      </c>
    </row>
    <row r="24" spans="2:14" ht="10.5" customHeight="1">
      <c r="B24" s="74"/>
      <c r="C24" s="78" t="s">
        <v>103</v>
      </c>
      <c r="D24" s="77" t="s">
        <v>85</v>
      </c>
      <c r="E24" s="174" t="s">
        <v>59</v>
      </c>
      <c r="F24" s="163" t="str">
        <f>'Input | Inflation and Disc Rate'!$F$7</f>
        <v>2020–21</v>
      </c>
      <c r="G24" s="69"/>
      <c r="H24" s="161">
        <f>H23/'Input | Inflation and Disc Rate'!G15</f>
        <v>151.89481867406144</v>
      </c>
      <c r="I24" s="161">
        <f>I23/'Input | Inflation and Disc Rate'!H15</f>
        <v>188.86273736298438</v>
      </c>
      <c r="J24" s="161">
        <f>J23/'Input | Inflation and Disc Rate'!I15</f>
        <v>165.07284858883793</v>
      </c>
      <c r="K24" s="161">
        <f>K23/'Input | Inflation and Disc Rate'!J15</f>
        <v>185.4135579162463</v>
      </c>
      <c r="L24" s="161">
        <f>L23/'Input | Inflation and Disc Rate'!K15</f>
        <v>211.65117333427864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f>'[2]Input | Reported Capex'!H30</f>
        <v>0</v>
      </c>
      <c r="I30" s="139">
        <f>'[2]Input | Reported Capex'!I30</f>
        <v>0</v>
      </c>
      <c r="J30" s="139">
        <f>'[2]Input | Reported Capex'!J30</f>
        <v>0</v>
      </c>
      <c r="K30" s="139">
        <f>'[2]Input | Reported Capex'!K30</f>
        <v>0</v>
      </c>
      <c r="L30" s="139">
        <f>'[2]Input | Reported Capex'!L30</f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3" t="str">
        <f>F24</f>
        <v>2020–21</v>
      </c>
      <c r="G31" s="69"/>
      <c r="H31" s="162">
        <f>IF(H30&lt;&gt;"",H30/('Input | Inflation and Disc Rate'!K10*(1+'Input | Inflation and Disc Rate'!L9)^0.5),"")</f>
        <v>0</v>
      </c>
      <c r="I31" s="162">
        <f>IF(I30&lt;&gt;"",I30/('Input | Inflation and Disc Rate'!L10*(1+'Input | Inflation and Disc Rate'!M9)^0.5),"")</f>
        <v>0</v>
      </c>
      <c r="J31" s="162">
        <f>IF(J30&lt;&gt;"",J30/('Input | Inflation and Disc Rate'!M10*(1+'Input | Inflation and Disc Rate'!N9)^0.5),"")</f>
        <v>0</v>
      </c>
      <c r="K31" s="162">
        <f>IF(K30&lt;&gt;"",K30/('Input | Inflation and Disc Rate'!N10*(1+'Input | Inflation and Disc Rate'!O9)^0.5),"")</f>
        <v>0</v>
      </c>
      <c r="L31" s="162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2">
        <f>IF(H30&lt;&gt;"",H31*'Input | Inflation and Disc Rate'!K15*(1+'Input | Inflation and Disc Rate'!L14)^0.5,"")</f>
        <v>0</v>
      </c>
      <c r="I32" s="162">
        <f>IF(I30&lt;&gt;"",I31*'Input | Inflation and Disc Rate'!L15*(1+'Input | Inflation and Disc Rate'!M14)^0.5,"")</f>
        <v>0</v>
      </c>
      <c r="J32" s="162">
        <f>IF(J30&lt;&gt;"",J31*'Input | Inflation and Disc Rate'!M15*(1+'Input | Inflation and Disc Rate'!N14)^0.5,"")</f>
        <v>0</v>
      </c>
      <c r="K32" s="162">
        <f>IF(K30&lt;&gt;"",K31*'Input | Inflation and Disc Rate'!N15*(1+'Input | Inflation and Disc Rate'!O14)^0.5,"")</f>
        <v>0</v>
      </c>
      <c r="L32" s="162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>
      <selection activeCell="D45" sqref="D45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United Energy 2026-31 Regulatory proposal - Capital expenditure sharing scheme model</v>
      </c>
      <c r="C1" s="2"/>
      <c r="J1" s="117"/>
      <c r="K1" s="100" t="s">
        <v>49</v>
      </c>
      <c r="L1" s="136" t="s">
        <v>50</v>
      </c>
      <c r="M1" s="175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2.7065292365717752E-2</v>
      </c>
      <c r="E8" s="145">
        <f>'Input | Inflation and Disc Rate'!H20</f>
        <v>2.6109414504705164E-2</v>
      </c>
      <c r="F8" s="145">
        <f>'Input | Inflation and Disc Rate'!I20</f>
        <v>2.6532503143013919E-2</v>
      </c>
      <c r="G8" s="145">
        <f>'Input | Inflation and Disc Rate'!J20</f>
        <v>2.6653232212084044E-2</v>
      </c>
      <c r="H8" s="146">
        <f>'Input | Inflation and Disc Rate'!K20</f>
        <v>2.7050369435689836E-2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3.5904064244940859E-2</v>
      </c>
      <c r="E9" s="145">
        <f>'Input | Inflation and Disc Rate'!H22</f>
        <v>6.2005733612804814E-2</v>
      </c>
      <c r="F9" s="145">
        <f>'Input | Inflation and Disc Rate'!I22</f>
        <v>0.10692870083352224</v>
      </c>
      <c r="G9" s="145">
        <f>'Input | Inflation and Disc Rate'!J22</f>
        <v>6.8253095596824354E-2</v>
      </c>
      <c r="H9" s="146">
        <f>'Input | Inflation and Disc Rate'!K22</f>
        <v>5.7861880518760067E-2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229.69948591810709</v>
      </c>
      <c r="E10" s="148">
        <f>'Input | Reported Capex'!I$12*'Input | Inflation and Disc Rate'!H$15*(1+'Input | Inflation and Disc Rate'!H$20)^0.5</f>
        <v>194.45570312567511</v>
      </c>
      <c r="F10" s="148">
        <f>'Input | Reported Capex'!J$12*'Input | Inflation and Disc Rate'!I$15*(1+'Input | Inflation and Disc Rate'!I$20)^0.5</f>
        <v>196.77000146524836</v>
      </c>
      <c r="G10" s="148">
        <f>'Input | Reported Capex'!K$12*'Input | Inflation and Disc Rate'!J$15*(1+'Input | Inflation and Disc Rate'!J$20)^0.5</f>
        <v>204.48453448190719</v>
      </c>
      <c r="H10" s="149">
        <f>'Input | Reported Capex'!L$12*'Input | Inflation and Disc Rate'!K$15*(1+'Input | Inflation and Disc Rate'!K$20)^0.5</f>
        <v>192.33003911674231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155.92803712986907</v>
      </c>
      <c r="E11" s="148">
        <f>'Input | Reported Capex'!I23*(1+E$9)^0.5</f>
        <v>203.17224691712531</v>
      </c>
      <c r="F11" s="148">
        <f>'Input | Reported Capex'!J23*(1+F$9)^0.5</f>
        <v>195.49564436547629</v>
      </c>
      <c r="G11" s="148">
        <f>'Input | Reported Capex'!K23*(1+G$9)^0.5</f>
        <v>224.45566183797524</v>
      </c>
      <c r="H11" s="149">
        <f>'Input | Reported Capex'!L23*(1+H$9)^0.5</f>
        <v>262.61793748254053</v>
      </c>
      <c r="I11" s="93"/>
      <c r="J11" s="80"/>
      <c r="K11" s="80"/>
    </row>
    <row r="12" spans="2:23" s="14" customFormat="1" ht="11.25" customHeight="1">
      <c r="C12" s="109" t="s">
        <v>18</v>
      </c>
      <c r="D12" s="177">
        <f>(D10-D11)</f>
        <v>73.771448788238018</v>
      </c>
      <c r="E12" s="178">
        <f>(E10-E11)</f>
        <v>-8.7165437914501922</v>
      </c>
      <c r="F12" s="178">
        <f t="shared" ref="F12:H12" si="0">(F10-F11)</f>
        <v>1.274357099772061</v>
      </c>
      <c r="G12" s="178">
        <f t="shared" si="0"/>
        <v>-19.971127356068052</v>
      </c>
      <c r="H12" s="179">
        <f t="shared" si="0"/>
        <v>-70.287898365798213</v>
      </c>
      <c r="I12" s="93"/>
      <c r="J12" s="80"/>
      <c r="K12" s="80"/>
    </row>
    <row r="13" spans="2:23" ht="11.25" customHeight="1">
      <c r="C13" s="109" t="s">
        <v>98</v>
      </c>
      <c r="D13" s="89"/>
      <c r="E13" s="178">
        <f>$D$12*$E$8</f>
        <v>1.9261293350247359</v>
      </c>
      <c r="F13" s="178">
        <f>$D$12*$F$8*(1+'Input | Inflation and Disc Rate'!H13)</f>
        <v>2.0258147370010584</v>
      </c>
      <c r="G13" s="178">
        <f>$D$12*$G$8*(1+'Input | Inflation and Disc Rate'!H13)*(1+'Input | Inflation and Disc Rate'!I13)</f>
        <v>2.1944128004851571</v>
      </c>
      <c r="H13" s="179">
        <f>$D$12*$H$8*(1+'Input | Inflation and Disc Rate'!H13)*(1+'Input | Inflation and Disc Rate'!I13)*(1+'Input | Inflation and Disc Rate'!J13)</f>
        <v>2.3173521059227706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8">
        <f>$E$12*F$8</f>
        <v>-0.23127172554287068</v>
      </c>
      <c r="G14" s="178">
        <f>$E$12*G$8*(1+'Input | Inflation and Disc Rate'!I13)</f>
        <v>-0.25051927288911829</v>
      </c>
      <c r="H14" s="179">
        <f>$E$12*H$8*(1+'Input | Inflation and Disc Rate'!I13)*(1+'Input | Inflation and Disc Rate'!J13)</f>
        <v>-0.26455431014414837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8">
        <f>$F$12*G$8</f>
        <v>3.3965735701342696E-2</v>
      </c>
      <c r="H15" s="179">
        <f>$F$12*$H$8*(1+'Input | Inflation and Disc Rate'!J13)</f>
        <v>3.5868624690541737E-2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9">
        <f>$G$12*$H$8</f>
        <v>-0.54022637302885246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80">
        <f>SUM(D13:D17)</f>
        <v>0</v>
      </c>
      <c r="E18" s="181">
        <f>SUM(E13:E17)</f>
        <v>1.9261293350247359</v>
      </c>
      <c r="F18" s="181">
        <f t="shared" ref="F18:H18" si="1">SUM(F13:F17)</f>
        <v>1.7945430114581877</v>
      </c>
      <c r="G18" s="181">
        <f t="shared" si="1"/>
        <v>1.9778592632973815</v>
      </c>
      <c r="H18" s="182">
        <f t="shared" si="1"/>
        <v>1.5484400474403115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80">
        <f>E19*(1+E$9)</f>
        <v>1.3284635333383137</v>
      </c>
      <c r="E19" s="181">
        <f>F19*(1+F$9)</f>
        <v>1.2509005283983301</v>
      </c>
      <c r="F19" s="181">
        <f>G19*(1+G$9)</f>
        <v>1.1300642285780433</v>
      </c>
      <c r="G19" s="181">
        <f>H19*(1+H$9)</f>
        <v>1.0578618805187601</v>
      </c>
      <c r="H19" s="183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7">
        <f>D12*D19</f>
        <v>98.002679516709136</v>
      </c>
      <c r="E20" s="178">
        <f>E12*E19</f>
        <v>-10.903529234532229</v>
      </c>
      <c r="F20" s="178">
        <f t="shared" ref="F20:H20" si="2">F12*F19</f>
        <v>1.4401053728868667</v>
      </c>
      <c r="G20" s="178">
        <f t="shared" si="2"/>
        <v>-21.126694340969802</v>
      </c>
      <c r="H20" s="179">
        <f t="shared" si="2"/>
        <v>-70.287898365798213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80">
        <f>D18*D19</f>
        <v>0</v>
      </c>
      <c r="E21" s="181">
        <f>E18*E19</f>
        <v>2.4093962029459663</v>
      </c>
      <c r="F21" s="181">
        <f t="shared" ref="F21:H21" si="3">F18*F19</f>
        <v>2.0279488638936156</v>
      </c>
      <c r="G21" s="181">
        <f t="shared" si="3"/>
        <v>2.0923019196732175</v>
      </c>
      <c r="H21" s="182">
        <f t="shared" si="3"/>
        <v>1.5484400474403115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5.8448444254560084E-2</v>
      </c>
      <c r="E25" s="151">
        <f>'Input | Inflation and Disc Rate'!M$22</f>
        <v>5.9050877774919019E-2</v>
      </c>
      <c r="F25" s="151">
        <f>'Input | Inflation and Disc Rate'!N$22</f>
        <v>5.9639245231451588E-2</v>
      </c>
      <c r="G25" s="151">
        <f>'Input | Inflation and Disc Rate'!O$22</f>
        <v>6.071013231449407E-2</v>
      </c>
      <c r="H25" s="152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8">
        <f>1/(1+D25)^(0.5)</f>
        <v>0.97199749470077823</v>
      </c>
      <c r="E27" s="178">
        <f>1/((1+E25)^(0.5)*(1+D25))</f>
        <v>0.91806171924220059</v>
      </c>
      <c r="F27" s="178">
        <f>1/((1+F25)^(0.5)*(1+E25)*(1+D25))</f>
        <v>0.8666314574965579</v>
      </c>
      <c r="G27" s="178">
        <f>1/((1+G25)^(0.5)*(1+F25)*(1+E25)*(1+D25))</f>
        <v>0.8174422358911303</v>
      </c>
      <c r="H27" s="179">
        <f>1/((1+H25)^(0.5)*(1+G25)*(1+F25)*(1+E25)*(1+D25))</f>
        <v>0.77003169138917593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81">
        <f>D26*D27</f>
        <v>0</v>
      </c>
      <c r="E28" s="181">
        <f t="shared" ref="E28:G28" si="4">E26*E27</f>
        <v>0</v>
      </c>
      <c r="F28" s="181">
        <f t="shared" si="4"/>
        <v>0</v>
      </c>
      <c r="G28" s="181">
        <f t="shared" si="4"/>
        <v>0</v>
      </c>
      <c r="H28" s="182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4">
        <f>SUM('Input | Reported Capex'!H12:L12)</f>
        <v>910.76258871069308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5">
        <f>SUM('Input | Reported Capex'!H24:L24)</f>
        <v>902.89513587640863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4">
        <f>(D31-D32)/D31</f>
        <v>8.6383135756837436E-3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4">
        <f>SUM(D20:H20)-SUM(D28:H28)</f>
        <v>-2.8753370517042498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5">
        <f>D35-D37</f>
        <v>-2.0127359361929749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5">
        <f>D34*D35</f>
        <v>-0.86260111551127494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5">
        <f>SUM(D21:H21)</f>
        <v>8.0780870339531106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6">
        <f>D37-D38</f>
        <v>-8.9406881494643855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2">
        <f>1/(1+'Input | Inflation and Disc Rate'!L21)</f>
        <v>0.97075911906099177</v>
      </c>
      <c r="E44" s="171">
        <f>D44/(1+'Input | Inflation and Disc Rate'!M21)</f>
        <v>0.94183720494430445</v>
      </c>
      <c r="F44" s="171">
        <f>E44/(1+'Input | Inflation and Disc Rate'!N21)</f>
        <v>0.91326958698302929</v>
      </c>
      <c r="G44" s="171">
        <f>F44/(1+'Input | Inflation and Disc Rate'!O21)</f>
        <v>0.88467441126735669</v>
      </c>
      <c r="H44" s="171">
        <f>G44/(1+'Input | Inflation and Disc Rate'!P21)</f>
        <v>0.85558748460617262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-1.9580459697226518</v>
      </c>
      <c r="E45" s="167">
        <f>D45</f>
        <v>-1.9580459697226518</v>
      </c>
      <c r="F45" s="167">
        <f t="shared" ref="F45:H45" si="5">E45</f>
        <v>-1.9580459697226518</v>
      </c>
      <c r="G45" s="167">
        <f t="shared" si="5"/>
        <v>-1.9580459697226518</v>
      </c>
      <c r="H45" s="168">
        <f t="shared" si="5"/>
        <v>-1.9580459697226518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9">
        <f>SUM(D45:H45)</f>
        <v>-9.790229848613258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>
      <selection activeCell="F8" sqref="F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United Energy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5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89"/>
      <c r="K3" s="189"/>
      <c r="L3" s="189"/>
      <c r="M3" s="54"/>
      <c r="N3" s="189"/>
      <c r="O3" s="189"/>
      <c r="P3" s="189"/>
      <c r="Q3" s="189"/>
      <c r="R3" s="189"/>
      <c r="S3" s="189"/>
      <c r="T3" s="189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124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-1.9580459697226518</v>
      </c>
      <c r="K8" s="162">
        <f>'Calc | CESS Revenue Increments'!E45</f>
        <v>-1.9580459697226518</v>
      </c>
      <c r="L8" s="162">
        <f>'Calc | CESS Revenue Increments'!F45</f>
        <v>-1.9580459697226518</v>
      </c>
      <c r="M8" s="162">
        <f>'Calc | CESS Revenue Increments'!G45</f>
        <v>-1.9580459697226518</v>
      </c>
      <c r="N8" s="162">
        <f>'Calc | CESS Revenue Increments'!H45</f>
        <v>-1.9580459697226518</v>
      </c>
      <c r="O8" s="170">
        <f>SUM(J8:N8)</f>
        <v>-9.790229848613258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United Energy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3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2024-12-22T22:45:59Z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