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8_{ED186A43-1DAA-4680-8C34-04BE48AE22F0}" xr6:coauthVersionLast="47" xr6:coauthVersionMax="47" xr10:uidLastSave="{00000000-0000-0000-0000-000000000000}"/>
  <bookViews>
    <workbookView xWindow="-110" yWindow="-110" windowWidth="19420" windowHeight="10300" xr2:uid="{9EC9C79A-E60E-4F01-8080-AD0E83CF1C50}"/>
  </bookViews>
  <sheets>
    <sheet name="Cover" sheetId="24" r:id="rId1"/>
    <sheet name="Summary" sheetId="9" r:id="rId2"/>
    <sheet name="Fleet schedule" sheetId="1" r:id="rId3"/>
    <sheet name="Benefits" sheetId="5" r:id="rId4"/>
    <sheet name="Costs" sheetId="4" r:id="rId5"/>
    <sheet name="Assumptions" sheetId="2" r:id="rId6"/>
    <sheet name="Reset RIN" sheetId="23" r:id="rId7"/>
  </sheets>
  <definedNames>
    <definedName name="_xlnm._FilterDatabase" localSheetId="2" hidden="1">'Fleet schedule'!$A$5:$O$462</definedName>
    <definedName name="anscount" hidden="1">1</definedName>
    <definedName name="augex_owners_count" hidden="1">#REF!</definedName>
    <definedName name="augex_owners_start" hidden="1">#REF!</definedName>
    <definedName name="ptrm_categ" hidden="1">#REF!</definedName>
    <definedName name="repex_owners_count" hidden="1">#REF!</definedName>
    <definedName name="repex_owners_start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3" l="1"/>
  <c r="G44" i="23"/>
  <c r="H44" i="23"/>
  <c r="I44" i="23"/>
  <c r="E44" i="23"/>
  <c r="D6" i="24" a="1"/>
  <c r="D6" i="24" s="1"/>
  <c r="C5" i="24" a="1"/>
  <c r="C5" i="24" s="1"/>
  <c r="K10" i="9"/>
  <c r="I10" i="9"/>
  <c r="H10" i="9"/>
  <c r="G10" i="9"/>
  <c r="F10" i="9"/>
  <c r="E10" i="9"/>
  <c r="K9" i="9"/>
  <c r="I9" i="9"/>
  <c r="H9" i="9"/>
  <c r="G9" i="9"/>
  <c r="F9" i="9"/>
  <c r="E9" i="9"/>
  <c r="K8" i="9"/>
  <c r="I8" i="9"/>
  <c r="H8" i="9"/>
  <c r="G8" i="9"/>
  <c r="F8" i="9"/>
  <c r="E8" i="9"/>
  <c r="O460" i="1" a="1"/>
  <c r="O460" i="1" s="1"/>
  <c r="U460" i="1" s="1"/>
  <c r="O459" i="1" a="1"/>
  <c r="O459" i="1" s="1"/>
  <c r="O458" i="1" a="1"/>
  <c r="O458" i="1" s="1"/>
  <c r="O457" i="1" a="1"/>
  <c r="O457" i="1" s="1"/>
  <c r="O456" i="1" a="1"/>
  <c r="O456" i="1" s="1"/>
  <c r="O455" i="1" a="1"/>
  <c r="O455" i="1" s="1"/>
  <c r="O454" i="1" a="1"/>
  <c r="O454" i="1" s="1"/>
  <c r="O453" i="1" a="1"/>
  <c r="O453" i="1" s="1"/>
  <c r="O452" i="1" a="1"/>
  <c r="O452" i="1" s="1"/>
  <c r="O451" i="1" a="1"/>
  <c r="O451" i="1" s="1"/>
  <c r="O450" i="1" a="1"/>
  <c r="O450" i="1" s="1"/>
  <c r="O449" i="1" a="1"/>
  <c r="O449" i="1" s="1"/>
  <c r="O448" i="1" a="1"/>
  <c r="O448" i="1" s="1"/>
  <c r="O447" i="1" a="1"/>
  <c r="O447" i="1" s="1"/>
  <c r="O446" i="1" a="1"/>
  <c r="O446" i="1" s="1"/>
  <c r="O445" i="1" a="1"/>
  <c r="O445" i="1" s="1"/>
  <c r="O444" i="1" a="1"/>
  <c r="O444" i="1" s="1"/>
  <c r="O443" i="1" a="1"/>
  <c r="O443" i="1" s="1"/>
  <c r="O442" i="1" a="1"/>
  <c r="O442" i="1" s="1"/>
  <c r="O441" i="1" a="1"/>
  <c r="O441" i="1" s="1"/>
  <c r="O440" i="1" a="1"/>
  <c r="O440" i="1" s="1"/>
  <c r="O439" i="1" a="1"/>
  <c r="O439" i="1" s="1"/>
  <c r="O438" i="1" a="1"/>
  <c r="O438" i="1" s="1"/>
  <c r="O437" i="1" a="1"/>
  <c r="O437" i="1" s="1"/>
  <c r="O436" i="1" a="1"/>
  <c r="O436" i="1" s="1"/>
  <c r="O435" i="1" a="1"/>
  <c r="O435" i="1" s="1"/>
  <c r="O434" i="1" a="1"/>
  <c r="O434" i="1" s="1"/>
  <c r="O433" i="1" a="1"/>
  <c r="O433" i="1" s="1"/>
  <c r="O432" i="1" a="1"/>
  <c r="O432" i="1" s="1"/>
  <c r="O431" i="1" a="1"/>
  <c r="O431" i="1" s="1"/>
  <c r="O430" i="1" a="1"/>
  <c r="O430" i="1" s="1"/>
  <c r="O429" i="1" a="1"/>
  <c r="O429" i="1" s="1"/>
  <c r="O428" i="1" a="1"/>
  <c r="O428" i="1" s="1"/>
  <c r="O427" i="1" a="1"/>
  <c r="O427" i="1" s="1"/>
  <c r="U427" i="1" s="1"/>
  <c r="O426" i="1" a="1"/>
  <c r="O426" i="1" s="1"/>
  <c r="O425" i="1" a="1"/>
  <c r="O425" i="1" s="1"/>
  <c r="O424" i="1" a="1"/>
  <c r="O424" i="1" s="1"/>
  <c r="O423" i="1" a="1"/>
  <c r="O423" i="1" s="1"/>
  <c r="O422" i="1" a="1"/>
  <c r="O422" i="1" s="1"/>
  <c r="O421" i="1" a="1"/>
  <c r="O421" i="1" s="1"/>
  <c r="O420" i="1" a="1"/>
  <c r="O420" i="1" s="1"/>
  <c r="O419" i="1" a="1"/>
  <c r="O419" i="1" s="1"/>
  <c r="O418" i="1" a="1"/>
  <c r="O418" i="1" s="1"/>
  <c r="O417" i="1" a="1"/>
  <c r="O417" i="1" s="1"/>
  <c r="O416" i="1" a="1"/>
  <c r="O416" i="1" s="1"/>
  <c r="O415" i="1" a="1"/>
  <c r="O415" i="1" s="1"/>
  <c r="O414" i="1" a="1"/>
  <c r="O414" i="1" s="1"/>
  <c r="O413" i="1" a="1"/>
  <c r="O413" i="1" s="1"/>
  <c r="O412" i="1" a="1"/>
  <c r="O412" i="1" s="1"/>
  <c r="O411" i="1" a="1"/>
  <c r="O411" i="1" s="1"/>
  <c r="O410" i="1" a="1"/>
  <c r="O410" i="1" s="1"/>
  <c r="O409" i="1" a="1"/>
  <c r="O409" i="1" s="1"/>
  <c r="O408" i="1" a="1"/>
  <c r="O408" i="1" s="1"/>
  <c r="V408" i="1" s="1"/>
  <c r="O407" i="1" a="1"/>
  <c r="O407" i="1" s="1"/>
  <c r="O406" i="1" a="1"/>
  <c r="O406" i="1" s="1"/>
  <c r="O405" i="1" a="1"/>
  <c r="O405" i="1" s="1"/>
  <c r="O404" i="1" a="1"/>
  <c r="O404" i="1" s="1"/>
  <c r="O403" i="1" a="1"/>
  <c r="O403" i="1" s="1"/>
  <c r="O402" i="1" a="1"/>
  <c r="O402" i="1" s="1"/>
  <c r="O401" i="1" a="1"/>
  <c r="O401" i="1" s="1"/>
  <c r="O400" i="1" a="1"/>
  <c r="O400" i="1" s="1"/>
  <c r="O399" i="1" a="1"/>
  <c r="O399" i="1" s="1"/>
  <c r="O398" i="1" a="1"/>
  <c r="O398" i="1" s="1"/>
  <c r="O397" i="1" a="1"/>
  <c r="O397" i="1" s="1"/>
  <c r="O396" i="1" a="1"/>
  <c r="O396" i="1" s="1"/>
  <c r="O395" i="1" a="1"/>
  <c r="O395" i="1" s="1"/>
  <c r="O394" i="1" a="1"/>
  <c r="O394" i="1" s="1"/>
  <c r="O393" i="1" a="1"/>
  <c r="O393" i="1" s="1"/>
  <c r="O392" i="1" a="1"/>
  <c r="O392" i="1" s="1"/>
  <c r="O391" i="1" a="1"/>
  <c r="O391" i="1" s="1"/>
  <c r="O390" i="1" a="1"/>
  <c r="O390" i="1" s="1"/>
  <c r="O389" i="1" a="1"/>
  <c r="O389" i="1" s="1"/>
  <c r="O388" i="1" a="1"/>
  <c r="O388" i="1" s="1"/>
  <c r="O387" i="1" a="1"/>
  <c r="O387" i="1" s="1"/>
  <c r="O386" i="1" a="1"/>
  <c r="O386" i="1" s="1"/>
  <c r="O385" i="1" a="1"/>
  <c r="O385" i="1" s="1"/>
  <c r="O384" i="1" a="1"/>
  <c r="O384" i="1" s="1"/>
  <c r="R384" i="1" s="1"/>
  <c r="O383" i="1" a="1"/>
  <c r="O383" i="1" s="1"/>
  <c r="O382" i="1" a="1"/>
  <c r="O382" i="1" s="1"/>
  <c r="O381" i="1" a="1"/>
  <c r="O381" i="1" s="1"/>
  <c r="O380" i="1" a="1"/>
  <c r="O380" i="1" s="1"/>
  <c r="O379" i="1" a="1"/>
  <c r="O379" i="1" s="1"/>
  <c r="O378" i="1" a="1"/>
  <c r="O378" i="1" s="1"/>
  <c r="O377" i="1" a="1"/>
  <c r="O377" i="1" s="1"/>
  <c r="O376" i="1" a="1"/>
  <c r="O376" i="1" s="1"/>
  <c r="O375" i="1" a="1"/>
  <c r="O375" i="1" s="1"/>
  <c r="O374" i="1" a="1"/>
  <c r="O374" i="1" s="1"/>
  <c r="O373" i="1" a="1"/>
  <c r="O373" i="1" s="1"/>
  <c r="O372" i="1" a="1"/>
  <c r="O372" i="1" s="1"/>
  <c r="O371" i="1" a="1"/>
  <c r="O371" i="1" s="1"/>
  <c r="O370" i="1" a="1"/>
  <c r="O370" i="1" s="1"/>
  <c r="O369" i="1" a="1"/>
  <c r="O369" i="1" s="1"/>
  <c r="O368" i="1" a="1"/>
  <c r="O368" i="1" s="1"/>
  <c r="O367" i="1" a="1"/>
  <c r="O367" i="1" s="1"/>
  <c r="O366" i="1" a="1"/>
  <c r="O366" i="1" s="1"/>
  <c r="O365" i="1" a="1"/>
  <c r="O365" i="1" s="1"/>
  <c r="O364" i="1" a="1"/>
  <c r="O364" i="1" s="1"/>
  <c r="O363" i="1" a="1"/>
  <c r="O363" i="1" s="1"/>
  <c r="O362" i="1" a="1"/>
  <c r="O362" i="1" s="1"/>
  <c r="O361" i="1" a="1"/>
  <c r="O361" i="1" s="1"/>
  <c r="O360" i="1" a="1"/>
  <c r="O360" i="1" s="1"/>
  <c r="O359" i="1" a="1"/>
  <c r="O359" i="1" s="1"/>
  <c r="O358" i="1" a="1"/>
  <c r="O358" i="1" s="1"/>
  <c r="O357" i="1" a="1"/>
  <c r="O357" i="1" s="1"/>
  <c r="O356" i="1" a="1"/>
  <c r="O356" i="1" s="1"/>
  <c r="O355" i="1" a="1"/>
  <c r="O355" i="1" s="1"/>
  <c r="O354" i="1" a="1"/>
  <c r="O354" i="1" s="1"/>
  <c r="O353" i="1" a="1"/>
  <c r="O353" i="1" s="1"/>
  <c r="O352" i="1" a="1"/>
  <c r="O352" i="1" s="1"/>
  <c r="O351" i="1" a="1"/>
  <c r="O351" i="1" s="1"/>
  <c r="O350" i="1" a="1"/>
  <c r="O350" i="1" s="1"/>
  <c r="O349" i="1" a="1"/>
  <c r="O349" i="1" s="1"/>
  <c r="O348" i="1" a="1"/>
  <c r="O348" i="1" s="1"/>
  <c r="O347" i="1" a="1"/>
  <c r="O347" i="1" s="1"/>
  <c r="O346" i="1" a="1"/>
  <c r="O346" i="1" s="1"/>
  <c r="O345" i="1" a="1"/>
  <c r="O345" i="1" s="1"/>
  <c r="O344" i="1" a="1"/>
  <c r="O344" i="1" s="1"/>
  <c r="O343" i="1" a="1"/>
  <c r="O343" i="1" s="1"/>
  <c r="O342" i="1" a="1"/>
  <c r="O342" i="1" s="1"/>
  <c r="O341" i="1" a="1"/>
  <c r="O341" i="1" s="1"/>
  <c r="O340" i="1" a="1"/>
  <c r="O340" i="1" s="1"/>
  <c r="O339" i="1" a="1"/>
  <c r="O339" i="1" s="1"/>
  <c r="O338" i="1" a="1"/>
  <c r="O338" i="1" s="1"/>
  <c r="O337" i="1" a="1"/>
  <c r="O337" i="1" s="1"/>
  <c r="O336" i="1" a="1"/>
  <c r="O336" i="1" s="1"/>
  <c r="O335" i="1" a="1"/>
  <c r="O335" i="1" s="1"/>
  <c r="O334" i="1" a="1"/>
  <c r="O334" i="1" s="1"/>
  <c r="O333" i="1" a="1"/>
  <c r="O333" i="1" s="1"/>
  <c r="O332" i="1" a="1"/>
  <c r="O332" i="1" s="1"/>
  <c r="O331" i="1" a="1"/>
  <c r="O331" i="1" s="1"/>
  <c r="T331" i="1" s="1"/>
  <c r="O330" i="1" a="1"/>
  <c r="O330" i="1" s="1"/>
  <c r="O329" i="1" a="1"/>
  <c r="O329" i="1" s="1"/>
  <c r="O328" i="1" a="1"/>
  <c r="O328" i="1" s="1"/>
  <c r="O327" i="1" a="1"/>
  <c r="O327" i="1" s="1"/>
  <c r="O326" i="1" a="1"/>
  <c r="O326" i="1" s="1"/>
  <c r="O325" i="1" a="1"/>
  <c r="O325" i="1" s="1"/>
  <c r="O324" i="1" a="1"/>
  <c r="O324" i="1" s="1"/>
  <c r="O323" i="1" a="1"/>
  <c r="O323" i="1" s="1"/>
  <c r="O322" i="1" a="1"/>
  <c r="O322" i="1" s="1"/>
  <c r="O321" i="1" a="1"/>
  <c r="O321" i="1" s="1"/>
  <c r="O320" i="1" a="1"/>
  <c r="O320" i="1" s="1"/>
  <c r="O319" i="1" a="1"/>
  <c r="O319" i="1" s="1"/>
  <c r="O318" i="1" a="1"/>
  <c r="O318" i="1" s="1"/>
  <c r="O317" i="1" a="1"/>
  <c r="O317" i="1" s="1"/>
  <c r="O316" i="1" a="1"/>
  <c r="O316" i="1" s="1"/>
  <c r="O315" i="1" a="1"/>
  <c r="O315" i="1" s="1"/>
  <c r="O314" i="1" a="1"/>
  <c r="O314" i="1" s="1"/>
  <c r="O313" i="1" a="1"/>
  <c r="O313" i="1" s="1"/>
  <c r="O312" i="1" a="1"/>
  <c r="O312" i="1" s="1"/>
  <c r="O311" i="1" a="1"/>
  <c r="O311" i="1" s="1"/>
  <c r="O310" i="1" a="1"/>
  <c r="O310" i="1" s="1"/>
  <c r="O309" i="1" a="1"/>
  <c r="O309" i="1" s="1"/>
  <c r="O308" i="1" a="1"/>
  <c r="O308" i="1" s="1"/>
  <c r="O307" i="1" a="1"/>
  <c r="O307" i="1" s="1"/>
  <c r="O306" i="1" a="1"/>
  <c r="O306" i="1" s="1"/>
  <c r="O305" i="1" a="1"/>
  <c r="O305" i="1" s="1"/>
  <c r="O304" i="1" a="1"/>
  <c r="O304" i="1" s="1"/>
  <c r="O303" i="1" a="1"/>
  <c r="O303" i="1" s="1"/>
  <c r="O302" i="1" a="1"/>
  <c r="O302" i="1" s="1"/>
  <c r="O301" i="1" a="1"/>
  <c r="O301" i="1" s="1"/>
  <c r="O300" i="1" a="1"/>
  <c r="O300" i="1" s="1"/>
  <c r="O299" i="1" a="1"/>
  <c r="O299" i="1" s="1"/>
  <c r="O298" i="1" a="1"/>
  <c r="O298" i="1" s="1"/>
  <c r="O297" i="1" a="1"/>
  <c r="O297" i="1" s="1"/>
  <c r="O296" i="1" a="1"/>
  <c r="O296" i="1" s="1"/>
  <c r="O295" i="1" a="1"/>
  <c r="O295" i="1" s="1"/>
  <c r="O294" i="1" a="1"/>
  <c r="O294" i="1" s="1"/>
  <c r="O293" i="1" a="1"/>
  <c r="O293" i="1" s="1"/>
  <c r="O292" i="1" a="1"/>
  <c r="O292" i="1" s="1"/>
  <c r="O291" i="1" a="1"/>
  <c r="O291" i="1" s="1"/>
  <c r="O290" i="1" a="1"/>
  <c r="O290" i="1" s="1"/>
  <c r="O289" i="1" a="1"/>
  <c r="O289" i="1" s="1"/>
  <c r="O288" i="1" a="1"/>
  <c r="O288" i="1" s="1"/>
  <c r="O287" i="1" a="1"/>
  <c r="O287" i="1" s="1"/>
  <c r="S287" i="1" s="1"/>
  <c r="O286" i="1" a="1"/>
  <c r="O286" i="1" s="1"/>
  <c r="O285" i="1" a="1"/>
  <c r="O285" i="1" s="1"/>
  <c r="O284" i="1" a="1"/>
  <c r="O284" i="1" s="1"/>
  <c r="O283" i="1" a="1"/>
  <c r="O283" i="1" s="1"/>
  <c r="O282" i="1" a="1"/>
  <c r="O282" i="1" s="1"/>
  <c r="O281" i="1" a="1"/>
  <c r="O281" i="1" s="1"/>
  <c r="O280" i="1" a="1"/>
  <c r="O280" i="1" s="1"/>
  <c r="O279" i="1" a="1"/>
  <c r="O279" i="1" s="1"/>
  <c r="O278" i="1" a="1"/>
  <c r="O278" i="1" s="1"/>
  <c r="O277" i="1" a="1"/>
  <c r="O277" i="1" s="1"/>
  <c r="O276" i="1" a="1"/>
  <c r="O276" i="1" s="1"/>
  <c r="O275" i="1" a="1"/>
  <c r="O275" i="1" s="1"/>
  <c r="O274" i="1" a="1"/>
  <c r="O274" i="1" s="1"/>
  <c r="O273" i="1" a="1"/>
  <c r="O273" i="1" s="1"/>
  <c r="O272" i="1" a="1"/>
  <c r="O272" i="1" s="1"/>
  <c r="O271" i="1" a="1"/>
  <c r="O271" i="1" s="1"/>
  <c r="O270" i="1" a="1"/>
  <c r="O270" i="1" s="1"/>
  <c r="O269" i="1" a="1"/>
  <c r="O269" i="1" s="1"/>
  <c r="O268" i="1" a="1"/>
  <c r="O268" i="1" s="1"/>
  <c r="O267" i="1" a="1"/>
  <c r="O267" i="1" s="1"/>
  <c r="O266" i="1" a="1"/>
  <c r="O266" i="1" s="1"/>
  <c r="O265" i="1" a="1"/>
  <c r="O265" i="1" s="1"/>
  <c r="O264" i="1" a="1"/>
  <c r="O264" i="1" s="1"/>
  <c r="O263" i="1" a="1"/>
  <c r="O263" i="1" s="1"/>
  <c r="R263" i="1" s="1"/>
  <c r="O262" i="1" a="1"/>
  <c r="O262" i="1" s="1"/>
  <c r="O261" i="1" a="1"/>
  <c r="O261" i="1" s="1"/>
  <c r="O260" i="1" a="1"/>
  <c r="O260" i="1" s="1"/>
  <c r="O259" i="1" a="1"/>
  <c r="O259" i="1" s="1"/>
  <c r="O258" i="1" a="1"/>
  <c r="O258" i="1" s="1"/>
  <c r="O257" i="1" a="1"/>
  <c r="O257" i="1" s="1"/>
  <c r="O256" i="1" a="1"/>
  <c r="O256" i="1" s="1"/>
  <c r="O255" i="1" a="1"/>
  <c r="O255" i="1" s="1"/>
  <c r="R255" i="1" s="1"/>
  <c r="O254" i="1" a="1"/>
  <c r="O254" i="1" s="1"/>
  <c r="O253" i="1" a="1"/>
  <c r="O253" i="1" s="1"/>
  <c r="O252" i="1" a="1"/>
  <c r="O252" i="1" s="1"/>
  <c r="O251" i="1" a="1"/>
  <c r="O251" i="1" s="1"/>
  <c r="O250" i="1" a="1"/>
  <c r="O250" i="1" s="1"/>
  <c r="O249" i="1" a="1"/>
  <c r="O249" i="1" s="1"/>
  <c r="O248" i="1" a="1"/>
  <c r="O248" i="1" s="1"/>
  <c r="O247" i="1" a="1"/>
  <c r="O247" i="1" s="1"/>
  <c r="O246" i="1" a="1"/>
  <c r="O246" i="1" s="1"/>
  <c r="O245" i="1" a="1"/>
  <c r="O245" i="1" s="1"/>
  <c r="O244" i="1" a="1"/>
  <c r="O244" i="1" s="1"/>
  <c r="O243" i="1" a="1"/>
  <c r="O243" i="1" s="1"/>
  <c r="O242" i="1" a="1"/>
  <c r="O242" i="1" s="1"/>
  <c r="O241" i="1" a="1"/>
  <c r="O241" i="1" s="1"/>
  <c r="S241" i="1" s="1"/>
  <c r="O240" i="1" a="1"/>
  <c r="O240" i="1" s="1"/>
  <c r="O239" i="1" a="1"/>
  <c r="O239" i="1" s="1"/>
  <c r="O238" i="1" a="1"/>
  <c r="O238" i="1" s="1"/>
  <c r="O237" i="1" a="1"/>
  <c r="O237" i="1" s="1"/>
  <c r="O236" i="1" a="1"/>
  <c r="O236" i="1" s="1"/>
  <c r="O235" i="1" a="1"/>
  <c r="O235" i="1" s="1"/>
  <c r="O234" i="1" a="1"/>
  <c r="O234" i="1" s="1"/>
  <c r="O233" i="1" a="1"/>
  <c r="O233" i="1" s="1"/>
  <c r="O232" i="1" a="1"/>
  <c r="O232" i="1" s="1"/>
  <c r="O231" i="1" a="1"/>
  <c r="O231" i="1" s="1"/>
  <c r="O230" i="1" a="1"/>
  <c r="O230" i="1" s="1"/>
  <c r="O229" i="1" a="1"/>
  <c r="O229" i="1" s="1"/>
  <c r="O228" i="1" a="1"/>
  <c r="O228" i="1" s="1"/>
  <c r="O227" i="1" a="1"/>
  <c r="O227" i="1" s="1"/>
  <c r="O226" i="1" a="1"/>
  <c r="O226" i="1" s="1"/>
  <c r="O225" i="1" a="1"/>
  <c r="O225" i="1" s="1"/>
  <c r="O224" i="1" a="1"/>
  <c r="O224" i="1" s="1"/>
  <c r="O223" i="1" a="1"/>
  <c r="O223" i="1" s="1"/>
  <c r="O222" i="1" a="1"/>
  <c r="O222" i="1" s="1"/>
  <c r="O221" i="1" a="1"/>
  <c r="O221" i="1" s="1"/>
  <c r="O220" i="1" a="1"/>
  <c r="O220" i="1" s="1"/>
  <c r="O219" i="1" a="1"/>
  <c r="O219" i="1" s="1"/>
  <c r="O218" i="1" a="1"/>
  <c r="O218" i="1" s="1"/>
  <c r="R218" i="1" s="1"/>
  <c r="O217" i="1" a="1"/>
  <c r="O217" i="1" s="1"/>
  <c r="O216" i="1" a="1"/>
  <c r="O216" i="1" s="1"/>
  <c r="O215" i="1" a="1"/>
  <c r="O215" i="1" s="1"/>
  <c r="O214" i="1" a="1"/>
  <c r="O214" i="1" s="1"/>
  <c r="O213" i="1" a="1"/>
  <c r="O213" i="1" s="1"/>
  <c r="O212" i="1" a="1"/>
  <c r="O212" i="1" s="1"/>
  <c r="O211" i="1" a="1"/>
  <c r="O211" i="1" s="1"/>
  <c r="O210" i="1" a="1"/>
  <c r="O210" i="1" s="1"/>
  <c r="O209" i="1" a="1"/>
  <c r="O209" i="1" s="1"/>
  <c r="O208" i="1" a="1"/>
  <c r="O208" i="1" s="1"/>
  <c r="O207" i="1" a="1"/>
  <c r="O207" i="1" s="1"/>
  <c r="O206" i="1" a="1"/>
  <c r="O206" i="1" s="1"/>
  <c r="O205" i="1" a="1"/>
  <c r="O205" i="1" s="1"/>
  <c r="O204" i="1" a="1"/>
  <c r="O204" i="1" s="1"/>
  <c r="O203" i="1" a="1"/>
  <c r="O203" i="1" s="1"/>
  <c r="O202" i="1" a="1"/>
  <c r="O202" i="1" s="1"/>
  <c r="O201" i="1" a="1"/>
  <c r="O201" i="1" s="1"/>
  <c r="O200" i="1" a="1"/>
  <c r="O200" i="1" s="1"/>
  <c r="O199" i="1" a="1"/>
  <c r="O199" i="1" s="1"/>
  <c r="O198" i="1" a="1"/>
  <c r="O198" i="1" s="1"/>
  <c r="O197" i="1" a="1"/>
  <c r="O197" i="1" s="1"/>
  <c r="O196" i="1" a="1"/>
  <c r="O196" i="1" s="1"/>
  <c r="O195" i="1" a="1"/>
  <c r="O195" i="1" s="1"/>
  <c r="O194" i="1" a="1"/>
  <c r="O194" i="1" s="1"/>
  <c r="O193" i="1" a="1"/>
  <c r="O193" i="1" s="1"/>
  <c r="O192" i="1" a="1"/>
  <c r="O192" i="1" s="1"/>
  <c r="O191" i="1" a="1"/>
  <c r="O191" i="1" s="1"/>
  <c r="O190" i="1" a="1"/>
  <c r="O190" i="1" s="1"/>
  <c r="O189" i="1" a="1"/>
  <c r="O189" i="1" s="1"/>
  <c r="O188" i="1" a="1"/>
  <c r="O188" i="1" s="1"/>
  <c r="O187" i="1" a="1"/>
  <c r="O187" i="1" s="1"/>
  <c r="O186" i="1" a="1"/>
  <c r="O186" i="1" s="1"/>
  <c r="O185" i="1" a="1"/>
  <c r="O185" i="1" s="1"/>
  <c r="O184" i="1" a="1"/>
  <c r="O184" i="1" s="1"/>
  <c r="O183" i="1" a="1"/>
  <c r="O183" i="1" s="1"/>
  <c r="O182" i="1" a="1"/>
  <c r="O182" i="1" s="1"/>
  <c r="O181" i="1" a="1"/>
  <c r="O181" i="1" s="1"/>
  <c r="O180" i="1" a="1"/>
  <c r="O180" i="1" s="1"/>
  <c r="O179" i="1" a="1"/>
  <c r="O179" i="1" s="1"/>
  <c r="R179" i="1" s="1"/>
  <c r="O178" i="1" a="1"/>
  <c r="O178" i="1" s="1"/>
  <c r="O177" i="1" a="1"/>
  <c r="O177" i="1" s="1"/>
  <c r="O176" i="1" a="1"/>
  <c r="O176" i="1" s="1"/>
  <c r="O175" i="1" a="1"/>
  <c r="O175" i="1" s="1"/>
  <c r="O174" i="1" a="1"/>
  <c r="O174" i="1" s="1"/>
  <c r="O173" i="1" a="1"/>
  <c r="O173" i="1" s="1"/>
  <c r="O172" i="1" a="1"/>
  <c r="O172" i="1" s="1"/>
  <c r="O171" i="1" a="1"/>
  <c r="O171" i="1" s="1"/>
  <c r="O170" i="1" a="1"/>
  <c r="O170" i="1" s="1"/>
  <c r="O169" i="1" a="1"/>
  <c r="O169" i="1" s="1"/>
  <c r="O168" i="1" a="1"/>
  <c r="O168" i="1" s="1"/>
  <c r="O167" i="1" a="1"/>
  <c r="O167" i="1" s="1"/>
  <c r="O166" i="1" a="1"/>
  <c r="O166" i="1" s="1"/>
  <c r="O165" i="1" a="1"/>
  <c r="O165" i="1" s="1"/>
  <c r="O164" i="1" a="1"/>
  <c r="O164" i="1" s="1"/>
  <c r="O163" i="1" a="1"/>
  <c r="O163" i="1" s="1"/>
  <c r="O162" i="1" a="1"/>
  <c r="O162" i="1" s="1"/>
  <c r="O161" i="1" a="1"/>
  <c r="O161" i="1" s="1"/>
  <c r="O160" i="1" a="1"/>
  <c r="O160" i="1" s="1"/>
  <c r="O159" i="1" a="1"/>
  <c r="O159" i="1" s="1"/>
  <c r="O158" i="1" a="1"/>
  <c r="O158" i="1" s="1"/>
  <c r="O157" i="1" a="1"/>
  <c r="O157" i="1" s="1"/>
  <c r="O156" i="1" a="1"/>
  <c r="O156" i="1" s="1"/>
  <c r="O155" i="1" a="1"/>
  <c r="O155" i="1" s="1"/>
  <c r="O154" i="1" a="1"/>
  <c r="O154" i="1" s="1"/>
  <c r="O153" i="1" a="1"/>
  <c r="O153" i="1" s="1"/>
  <c r="O152" i="1" a="1"/>
  <c r="O152" i="1" s="1"/>
  <c r="O151" i="1" a="1"/>
  <c r="O151" i="1" s="1"/>
  <c r="O150" i="1" a="1"/>
  <c r="O150" i="1" s="1"/>
  <c r="O149" i="1" a="1"/>
  <c r="O149" i="1" s="1"/>
  <c r="O148" i="1" a="1"/>
  <c r="O148" i="1" s="1"/>
  <c r="O147" i="1" a="1"/>
  <c r="O147" i="1" s="1"/>
  <c r="O146" i="1" a="1"/>
  <c r="O146" i="1" s="1"/>
  <c r="O145" i="1" a="1"/>
  <c r="O145" i="1" s="1"/>
  <c r="O144" i="1" a="1"/>
  <c r="O144" i="1" s="1"/>
  <c r="O143" i="1" a="1"/>
  <c r="O143" i="1" s="1"/>
  <c r="O142" i="1" a="1"/>
  <c r="O142" i="1" s="1"/>
  <c r="O141" i="1" a="1"/>
  <c r="O141" i="1" s="1"/>
  <c r="O140" i="1" a="1"/>
  <c r="O140" i="1" s="1"/>
  <c r="O139" i="1" a="1"/>
  <c r="O139" i="1" s="1"/>
  <c r="O138" i="1" a="1"/>
  <c r="O138" i="1" s="1"/>
  <c r="O137" i="1" a="1"/>
  <c r="O137" i="1" s="1"/>
  <c r="O136" i="1" a="1"/>
  <c r="O136" i="1" s="1"/>
  <c r="O135" i="1" a="1"/>
  <c r="O135" i="1" s="1"/>
  <c r="O134" i="1" a="1"/>
  <c r="O134" i="1" s="1"/>
  <c r="O133" i="1" a="1"/>
  <c r="O133" i="1" s="1"/>
  <c r="O132" i="1" a="1"/>
  <c r="O132" i="1" s="1"/>
  <c r="O131" i="1" a="1"/>
  <c r="O131" i="1" s="1"/>
  <c r="O130" i="1" a="1"/>
  <c r="O130" i="1" s="1"/>
  <c r="O129" i="1" a="1"/>
  <c r="O129" i="1" s="1"/>
  <c r="O128" i="1" a="1"/>
  <c r="O128" i="1" s="1"/>
  <c r="O127" i="1" a="1"/>
  <c r="O127" i="1" s="1"/>
  <c r="O126" i="1" a="1"/>
  <c r="O126" i="1" s="1"/>
  <c r="O125" i="1" a="1"/>
  <c r="O125" i="1" s="1"/>
  <c r="O124" i="1" a="1"/>
  <c r="O124" i="1" s="1"/>
  <c r="R124" i="1" s="1"/>
  <c r="O123" i="1" a="1"/>
  <c r="O123" i="1" s="1"/>
  <c r="R123" i="1" s="1"/>
  <c r="O122" i="1" a="1"/>
  <c r="O122" i="1" s="1"/>
  <c r="O121" i="1" a="1"/>
  <c r="O121" i="1" s="1"/>
  <c r="O120" i="1" a="1"/>
  <c r="O120" i="1" s="1"/>
  <c r="O119" i="1" a="1"/>
  <c r="O119" i="1" s="1"/>
  <c r="O118" i="1" a="1"/>
  <c r="O118" i="1" s="1"/>
  <c r="O117" i="1" a="1"/>
  <c r="O117" i="1" s="1"/>
  <c r="O116" i="1" a="1"/>
  <c r="O116" i="1" s="1"/>
  <c r="O115" i="1" a="1"/>
  <c r="O115" i="1" s="1"/>
  <c r="O114" i="1" a="1"/>
  <c r="O114" i="1" s="1"/>
  <c r="O113" i="1" a="1"/>
  <c r="O113" i="1" s="1"/>
  <c r="O112" i="1" a="1"/>
  <c r="O112" i="1" s="1"/>
  <c r="O111" i="1" a="1"/>
  <c r="O111" i="1" s="1"/>
  <c r="O110" i="1" a="1"/>
  <c r="O110" i="1" s="1"/>
  <c r="O109" i="1" a="1"/>
  <c r="O109" i="1" s="1"/>
  <c r="O108" i="1" a="1"/>
  <c r="O108" i="1" s="1"/>
  <c r="O107" i="1" a="1"/>
  <c r="O107" i="1" s="1"/>
  <c r="O106" i="1" a="1"/>
  <c r="O106" i="1" s="1"/>
  <c r="O105" i="1" a="1"/>
  <c r="O105" i="1" s="1"/>
  <c r="O104" i="1" a="1"/>
  <c r="O104" i="1" s="1"/>
  <c r="O103" i="1" a="1"/>
  <c r="O103" i="1" s="1"/>
  <c r="O102" i="1" a="1"/>
  <c r="O102" i="1" s="1"/>
  <c r="O101" i="1" a="1"/>
  <c r="O101" i="1" s="1"/>
  <c r="O100" i="1" a="1"/>
  <c r="O100" i="1" s="1"/>
  <c r="O99" i="1" a="1"/>
  <c r="O99" i="1" s="1"/>
  <c r="O98" i="1" a="1"/>
  <c r="O98" i="1" s="1"/>
  <c r="O97" i="1" a="1"/>
  <c r="O97" i="1" s="1"/>
  <c r="O96" i="1" a="1"/>
  <c r="O96" i="1" s="1"/>
  <c r="O95" i="1" a="1"/>
  <c r="O95" i="1" s="1"/>
  <c r="O94" i="1" a="1"/>
  <c r="O94" i="1" s="1"/>
  <c r="O93" i="1" a="1"/>
  <c r="O93" i="1" s="1"/>
  <c r="O92" i="1" a="1"/>
  <c r="O92" i="1" s="1"/>
  <c r="O91" i="1" a="1"/>
  <c r="O91" i="1" s="1"/>
  <c r="O90" i="1" a="1"/>
  <c r="O90" i="1" s="1"/>
  <c r="O89" i="1" a="1"/>
  <c r="O89" i="1" s="1"/>
  <c r="O88" i="1" a="1"/>
  <c r="O88" i="1" s="1"/>
  <c r="O87" i="1" a="1"/>
  <c r="O87" i="1" s="1"/>
  <c r="O86" i="1" a="1"/>
  <c r="O86" i="1" s="1"/>
  <c r="O85" i="1" a="1"/>
  <c r="O85" i="1" s="1"/>
  <c r="O84" i="1" a="1"/>
  <c r="O84" i="1" s="1"/>
  <c r="O83" i="1" a="1"/>
  <c r="O83" i="1" s="1"/>
  <c r="O82" i="1" a="1"/>
  <c r="O82" i="1" s="1"/>
  <c r="O81" i="1" a="1"/>
  <c r="O81" i="1" s="1"/>
  <c r="O80" i="1" a="1"/>
  <c r="O80" i="1" s="1"/>
  <c r="O79" i="1" a="1"/>
  <c r="O79" i="1" s="1"/>
  <c r="O78" i="1" a="1"/>
  <c r="O78" i="1" s="1"/>
  <c r="O77" i="1" a="1"/>
  <c r="O77" i="1" s="1"/>
  <c r="O76" i="1" a="1"/>
  <c r="O76" i="1" s="1"/>
  <c r="O75" i="1" a="1"/>
  <c r="O75" i="1" s="1"/>
  <c r="O74" i="1" a="1"/>
  <c r="O74" i="1" s="1"/>
  <c r="O73" i="1" a="1"/>
  <c r="O73" i="1" s="1"/>
  <c r="O72" i="1" a="1"/>
  <c r="O72" i="1" s="1"/>
  <c r="O71" i="1" a="1"/>
  <c r="O71" i="1" s="1"/>
  <c r="O70" i="1" a="1"/>
  <c r="O70" i="1" s="1"/>
  <c r="O69" i="1" a="1"/>
  <c r="O69" i="1" s="1"/>
  <c r="O68" i="1" a="1"/>
  <c r="O68" i="1" s="1"/>
  <c r="O67" i="1" a="1"/>
  <c r="O67" i="1" s="1"/>
  <c r="O66" i="1" a="1"/>
  <c r="O66" i="1" s="1"/>
  <c r="O65" i="1" a="1"/>
  <c r="O65" i="1" s="1"/>
  <c r="O64" i="1" a="1"/>
  <c r="O64" i="1" s="1"/>
  <c r="O63" i="1" a="1"/>
  <c r="O63" i="1" s="1"/>
  <c r="O62" i="1" a="1"/>
  <c r="O62" i="1" s="1"/>
  <c r="O61" i="1" a="1"/>
  <c r="O61" i="1" s="1"/>
  <c r="O60" i="1" a="1"/>
  <c r="O60" i="1" s="1"/>
  <c r="O59" i="1" a="1"/>
  <c r="O59" i="1" s="1"/>
  <c r="O58" i="1" a="1"/>
  <c r="O58" i="1" s="1"/>
  <c r="O57" i="1" a="1"/>
  <c r="O57" i="1" s="1"/>
  <c r="O56" i="1" a="1"/>
  <c r="O56" i="1" s="1"/>
  <c r="O55" i="1" a="1"/>
  <c r="O55" i="1" s="1"/>
  <c r="O54" i="1" a="1"/>
  <c r="O54" i="1" s="1"/>
  <c r="O53" i="1" a="1"/>
  <c r="O53" i="1" s="1"/>
  <c r="O52" i="1" a="1"/>
  <c r="O52" i="1" s="1"/>
  <c r="O51" i="1" a="1"/>
  <c r="O51" i="1" s="1"/>
  <c r="O50" i="1" a="1"/>
  <c r="O50" i="1" s="1"/>
  <c r="O49" i="1" a="1"/>
  <c r="O49" i="1" s="1"/>
  <c r="O48" i="1" a="1"/>
  <c r="O48" i="1" s="1"/>
  <c r="O47" i="1" a="1"/>
  <c r="O47" i="1" s="1"/>
  <c r="O46" i="1" a="1"/>
  <c r="O46" i="1" s="1"/>
  <c r="O45" i="1" a="1"/>
  <c r="O45" i="1" s="1"/>
  <c r="O44" i="1" a="1"/>
  <c r="O44" i="1" s="1"/>
  <c r="O43" i="1" a="1"/>
  <c r="O43" i="1" s="1"/>
  <c r="O42" i="1" a="1"/>
  <c r="O42" i="1" s="1"/>
  <c r="O41" i="1" a="1"/>
  <c r="O41" i="1" s="1"/>
  <c r="O40" i="1" a="1"/>
  <c r="O40" i="1" s="1"/>
  <c r="O39" i="1" a="1"/>
  <c r="O39" i="1" s="1"/>
  <c r="O38" i="1" a="1"/>
  <c r="O38" i="1" s="1"/>
  <c r="O37" i="1" a="1"/>
  <c r="O37" i="1" s="1"/>
  <c r="O36" i="1" a="1"/>
  <c r="O36" i="1" s="1"/>
  <c r="O35" i="1" a="1"/>
  <c r="O35" i="1" s="1"/>
  <c r="O34" i="1" a="1"/>
  <c r="O34" i="1" s="1"/>
  <c r="O33" i="1" a="1"/>
  <c r="O33" i="1" s="1"/>
  <c r="O32" i="1" a="1"/>
  <c r="O32" i="1" s="1"/>
  <c r="O31" i="1" a="1"/>
  <c r="O31" i="1" s="1"/>
  <c r="O30" i="1" a="1"/>
  <c r="O30" i="1" s="1"/>
  <c r="O29" i="1" a="1"/>
  <c r="O29" i="1" s="1"/>
  <c r="S29" i="1" s="1"/>
  <c r="O28" i="1" a="1"/>
  <c r="O28" i="1" s="1"/>
  <c r="O27" i="1" a="1"/>
  <c r="O27" i="1" s="1"/>
  <c r="O26" i="1" a="1"/>
  <c r="O26" i="1" s="1"/>
  <c r="O25" i="1" a="1"/>
  <c r="O25" i="1" s="1"/>
  <c r="O24" i="1" a="1"/>
  <c r="O24" i="1" s="1"/>
  <c r="O23" i="1" a="1"/>
  <c r="O23" i="1" s="1"/>
  <c r="O22" i="1" a="1"/>
  <c r="O22" i="1" s="1"/>
  <c r="O21" i="1" a="1"/>
  <c r="O21" i="1" s="1"/>
  <c r="O20" i="1" a="1"/>
  <c r="O20" i="1" s="1"/>
  <c r="O19" i="1" a="1"/>
  <c r="O19" i="1" s="1"/>
  <c r="O18" i="1" a="1"/>
  <c r="O18" i="1" s="1"/>
  <c r="O17" i="1" a="1"/>
  <c r="O17" i="1" s="1"/>
  <c r="O16" i="1" a="1"/>
  <c r="O16" i="1" s="1"/>
  <c r="O15" i="1" a="1"/>
  <c r="O15" i="1" s="1"/>
  <c r="O14" i="1" a="1"/>
  <c r="O14" i="1" s="1"/>
  <c r="O13" i="1" a="1"/>
  <c r="O13" i="1" s="1"/>
  <c r="O12" i="1" a="1"/>
  <c r="O12" i="1" s="1"/>
  <c r="O11" i="1" a="1"/>
  <c r="O11" i="1" s="1"/>
  <c r="O10" i="1" a="1"/>
  <c r="O10" i="1" s="1"/>
  <c r="O9" i="1" a="1"/>
  <c r="O9" i="1" s="1"/>
  <c r="O8" i="1" a="1"/>
  <c r="O8" i="1" s="1"/>
  <c r="O7" i="1" a="1"/>
  <c r="O7" i="1" s="1"/>
  <c r="O6" i="1" a="1"/>
  <c r="O6" i="1" s="1"/>
  <c r="U456" i="1" l="1"/>
  <c r="V199" i="1"/>
  <c r="R61" i="1"/>
  <c r="T362" i="1"/>
  <c r="T395" i="1"/>
  <c r="R361" i="1"/>
  <c r="R428" i="1"/>
  <c r="U82" i="1"/>
  <c r="R342" i="1"/>
  <c r="R267" i="1"/>
  <c r="U27" i="1"/>
  <c r="R120" i="1"/>
  <c r="R431" i="1"/>
  <c r="R401" i="1"/>
  <c r="S250" i="1"/>
  <c r="R107" i="1"/>
  <c r="U359" i="1"/>
  <c r="T109" i="1"/>
  <c r="U347" i="1"/>
  <c r="V400" i="1"/>
  <c r="R391" i="1"/>
  <c r="R237" i="1"/>
  <c r="V128" i="1"/>
  <c r="R74" i="1"/>
  <c r="S310" i="1"/>
  <c r="V453" i="1"/>
  <c r="T419" i="1"/>
  <c r="R418" i="1"/>
  <c r="R441" i="1"/>
  <c r="R455" i="1"/>
  <c r="U457" i="1"/>
  <c r="S457" i="1"/>
  <c r="V443" i="1"/>
  <c r="S407" i="1"/>
  <c r="R397" i="1"/>
  <c r="U120" i="1"/>
  <c r="S429" i="1"/>
  <c r="R429" i="1"/>
  <c r="V381" i="1"/>
  <c r="V455" i="1"/>
  <c r="T383" i="1"/>
  <c r="V348" i="1"/>
  <c r="U395" i="1"/>
  <c r="S383" i="1"/>
  <c r="S444" i="1"/>
  <c r="U442" i="1"/>
  <c r="S435" i="1"/>
  <c r="S237" i="1"/>
  <c r="S393" i="1"/>
  <c r="T442" i="1"/>
  <c r="V404" i="1"/>
  <c r="V394" i="1"/>
  <c r="S382" i="1"/>
  <c r="S456" i="1"/>
  <c r="S442" i="1"/>
  <c r="T418" i="1"/>
  <c r="U459" i="1"/>
  <c r="R456" i="1"/>
  <c r="S459" i="1"/>
  <c r="V430" i="1"/>
  <c r="T421" i="1"/>
  <c r="R386" i="1"/>
  <c r="S422" i="1"/>
  <c r="T422" i="1"/>
  <c r="U436" i="1"/>
  <c r="S38" i="1"/>
  <c r="S410" i="1"/>
  <c r="T410" i="1"/>
  <c r="U410" i="1"/>
  <c r="U412" i="1"/>
  <c r="S412" i="1"/>
  <c r="T412" i="1"/>
  <c r="R185" i="1"/>
  <c r="R209" i="1"/>
  <c r="R269" i="1"/>
  <c r="R317" i="1"/>
  <c r="V317" i="1"/>
  <c r="S341" i="1"/>
  <c r="S353" i="1"/>
  <c r="R365" i="1"/>
  <c r="V365" i="1"/>
  <c r="S377" i="1"/>
  <c r="U377" i="1"/>
  <c r="R377" i="1"/>
  <c r="T389" i="1"/>
  <c r="S389" i="1"/>
  <c r="S401" i="1"/>
  <c r="T401" i="1"/>
  <c r="S425" i="1"/>
  <c r="U425" i="1"/>
  <c r="T437" i="1"/>
  <c r="U437" i="1"/>
  <c r="R437" i="1"/>
  <c r="R254" i="1"/>
  <c r="S254" i="1"/>
  <c r="T254" i="1"/>
  <c r="R268" i="1"/>
  <c r="U364" i="1"/>
  <c r="S388" i="1"/>
  <c r="S448" i="1"/>
  <c r="U448" i="1"/>
  <c r="T17" i="1"/>
  <c r="U17" i="1"/>
  <c r="V17" i="1"/>
  <c r="T374" i="1"/>
  <c r="R308" i="1"/>
  <c r="S320" i="1"/>
  <c r="T380" i="1"/>
  <c r="U33" i="1"/>
  <c r="V33" i="1"/>
  <c r="V45" i="1"/>
  <c r="V184" i="1"/>
  <c r="R292" i="1"/>
  <c r="V292" i="1"/>
  <c r="S352" i="1"/>
  <c r="T352" i="1"/>
  <c r="U352" i="1"/>
  <c r="R424" i="1"/>
  <c r="S318" i="1"/>
  <c r="R318" i="1"/>
  <c r="R354" i="1"/>
  <c r="S450" i="1"/>
  <c r="R450" i="1"/>
  <c r="T450" i="1"/>
  <c r="R392" i="1"/>
  <c r="V398" i="1"/>
  <c r="T402" i="1"/>
  <c r="T448" i="1"/>
  <c r="V436" i="1"/>
  <c r="S384" i="1"/>
  <c r="S314" i="1"/>
  <c r="R314" i="1"/>
  <c r="T100" i="1"/>
  <c r="S340" i="1"/>
  <c r="U340" i="1"/>
  <c r="S376" i="1"/>
  <c r="T376" i="1"/>
  <c r="U376" i="1"/>
  <c r="S460" i="1"/>
  <c r="R422" i="1"/>
  <c r="S437" i="1"/>
  <c r="S72" i="1"/>
  <c r="T72" i="1"/>
  <c r="U108" i="1"/>
  <c r="R132" i="1"/>
  <c r="R168" i="1"/>
  <c r="S216" i="1"/>
  <c r="S252" i="1"/>
  <c r="V252" i="1"/>
  <c r="T252" i="1"/>
  <c r="S276" i="1"/>
  <c r="T276" i="1"/>
  <c r="V276" i="1"/>
  <c r="V324" i="1"/>
  <c r="R372" i="1"/>
  <c r="S396" i="1"/>
  <c r="T396" i="1"/>
  <c r="R420" i="1"/>
  <c r="S420" i="1"/>
  <c r="T420" i="1"/>
  <c r="T456" i="1"/>
  <c r="T460" i="1"/>
  <c r="S364" i="1"/>
  <c r="S146" i="1"/>
  <c r="T146" i="1"/>
  <c r="R410" i="1"/>
  <c r="T208" i="1"/>
  <c r="S66" i="1"/>
  <c r="R66" i="1"/>
  <c r="U246" i="1"/>
  <c r="S144" i="1"/>
  <c r="T144" i="1"/>
  <c r="U144" i="1"/>
  <c r="S156" i="1"/>
  <c r="U180" i="1"/>
  <c r="R180" i="1"/>
  <c r="V204" i="1"/>
  <c r="R204" i="1"/>
  <c r="R228" i="1"/>
  <c r="S228" i="1"/>
  <c r="T228" i="1"/>
  <c r="U228" i="1"/>
  <c r="R240" i="1"/>
  <c r="R264" i="1"/>
  <c r="S264" i="1"/>
  <c r="T288" i="1"/>
  <c r="U288" i="1"/>
  <c r="R312" i="1"/>
  <c r="S312" i="1"/>
  <c r="T312" i="1"/>
  <c r="U312" i="1"/>
  <c r="R336" i="1"/>
  <c r="V336" i="1"/>
  <c r="R360" i="1"/>
  <c r="T384" i="1"/>
  <c r="T408" i="1"/>
  <c r="S408" i="1"/>
  <c r="S432" i="1"/>
  <c r="T432" i="1"/>
  <c r="V444" i="1"/>
  <c r="T444" i="1"/>
  <c r="U444" i="1"/>
  <c r="S97" i="1"/>
  <c r="S109" i="1"/>
  <c r="R121" i="1"/>
  <c r="S121" i="1"/>
  <c r="S133" i="1"/>
  <c r="R145" i="1"/>
  <c r="S157" i="1"/>
  <c r="V157" i="1"/>
  <c r="V169" i="1"/>
  <c r="T181" i="1"/>
  <c r="U181" i="1"/>
  <c r="V181" i="1"/>
  <c r="S205" i="1"/>
  <c r="V205" i="1"/>
  <c r="T205" i="1"/>
  <c r="S229" i="1"/>
  <c r="U229" i="1"/>
  <c r="T229" i="1"/>
  <c r="T241" i="1"/>
  <c r="S265" i="1"/>
  <c r="T265" i="1"/>
  <c r="R265" i="1"/>
  <c r="S277" i="1"/>
  <c r="T289" i="1"/>
  <c r="U289" i="1"/>
  <c r="R289" i="1"/>
  <c r="S289" i="1"/>
  <c r="U301" i="1"/>
  <c r="S313" i="1"/>
  <c r="T313" i="1"/>
  <c r="T325" i="1"/>
  <c r="R325" i="1"/>
  <c r="V325" i="1"/>
  <c r="U337" i="1"/>
  <c r="V337" i="1"/>
  <c r="R337" i="1"/>
  <c r="T337" i="1"/>
  <c r="S349" i="1"/>
  <c r="T349" i="1"/>
  <c r="U349" i="1"/>
  <c r="S361" i="1"/>
  <c r="T361" i="1"/>
  <c r="V361" i="1"/>
  <c r="S373" i="1"/>
  <c r="T373" i="1"/>
  <c r="U373" i="1"/>
  <c r="R373" i="1"/>
  <c r="T385" i="1"/>
  <c r="U385" i="1"/>
  <c r="R385" i="1"/>
  <c r="S385" i="1"/>
  <c r="S397" i="1"/>
  <c r="T397" i="1"/>
  <c r="U397" i="1"/>
  <c r="T409" i="1"/>
  <c r="V409" i="1"/>
  <c r="R421" i="1"/>
  <c r="V421" i="1"/>
  <c r="U421" i="1"/>
  <c r="S433" i="1"/>
  <c r="T433" i="1"/>
  <c r="U433" i="1"/>
  <c r="S445" i="1"/>
  <c r="T445" i="1"/>
  <c r="U445" i="1"/>
  <c r="V445" i="1"/>
  <c r="R457" i="1"/>
  <c r="T457" i="1"/>
  <c r="S317" i="1"/>
  <c r="T459" i="1"/>
  <c r="T435" i="1"/>
  <c r="V406" i="1"/>
  <c r="R382" i="1"/>
  <c r="R369" i="1"/>
  <c r="V135" i="1"/>
  <c r="T171" i="1"/>
  <c r="U171" i="1"/>
  <c r="V171" i="1"/>
  <c r="R195" i="1"/>
  <c r="V195" i="1"/>
  <c r="R231" i="1"/>
  <c r="S231" i="1"/>
  <c r="V267" i="1"/>
  <c r="T267" i="1"/>
  <c r="S267" i="1"/>
  <c r="R291" i="1"/>
  <c r="T291" i="1"/>
  <c r="U291" i="1"/>
  <c r="R315" i="1"/>
  <c r="S315" i="1"/>
  <c r="T315" i="1"/>
  <c r="U315" i="1"/>
  <c r="T423" i="1"/>
  <c r="R459" i="1"/>
  <c r="U443" i="1"/>
  <c r="S441" i="1"/>
  <c r="T429" i="1"/>
  <c r="V417" i="1"/>
  <c r="R406" i="1"/>
  <c r="U383" i="1"/>
  <c r="U379" i="1"/>
  <c r="V454" i="1"/>
  <c r="U453" i="1"/>
  <c r="R442" i="1"/>
  <c r="U431" i="1"/>
  <c r="S418" i="1"/>
  <c r="S395" i="1"/>
  <c r="T255" i="1"/>
  <c r="U454" i="1"/>
  <c r="T431" i="1"/>
  <c r="V393" i="1"/>
  <c r="T387" i="1"/>
  <c r="S255" i="1"/>
  <c r="R201" i="1"/>
  <c r="T201" i="1"/>
  <c r="T309" i="1"/>
  <c r="U309" i="1"/>
  <c r="R357" i="1"/>
  <c r="V405" i="1"/>
  <c r="S453" i="1"/>
  <c r="U447" i="1"/>
  <c r="S431" i="1"/>
  <c r="U419" i="1"/>
  <c r="T399" i="1"/>
  <c r="T393" i="1"/>
  <c r="S387" i="1"/>
  <c r="T165" i="1"/>
  <c r="U165" i="1"/>
  <c r="V165" i="1"/>
  <c r="U225" i="1"/>
  <c r="T237" i="1"/>
  <c r="S273" i="1"/>
  <c r="U297" i="1"/>
  <c r="R297" i="1"/>
  <c r="V333" i="1"/>
  <c r="U58" i="1"/>
  <c r="S70" i="1"/>
  <c r="R118" i="1"/>
  <c r="S118" i="1"/>
  <c r="T130" i="1"/>
  <c r="R130" i="1"/>
  <c r="S130" i="1"/>
  <c r="S142" i="1"/>
  <c r="U202" i="1"/>
  <c r="S214" i="1"/>
  <c r="T214" i="1"/>
  <c r="S226" i="1"/>
  <c r="T226" i="1"/>
  <c r="U226" i="1"/>
  <c r="V238" i="1"/>
  <c r="T250" i="1"/>
  <c r="V262" i="1"/>
  <c r="S286" i="1"/>
  <c r="R298" i="1"/>
  <c r="U310" i="1"/>
  <c r="V310" i="1"/>
  <c r="R310" i="1"/>
  <c r="S322" i="1"/>
  <c r="T322" i="1"/>
  <c r="V334" i="1"/>
  <c r="S334" i="1"/>
  <c r="S346" i="1"/>
  <c r="R370" i="1"/>
  <c r="S370" i="1"/>
  <c r="T394" i="1"/>
  <c r="S406" i="1"/>
  <c r="T406" i="1"/>
  <c r="U418" i="1"/>
  <c r="T430" i="1"/>
  <c r="S454" i="1"/>
  <c r="R453" i="1"/>
  <c r="S447" i="1"/>
  <c r="S405" i="1"/>
  <c r="R399" i="1"/>
  <c r="U382" i="1"/>
  <c r="S358" i="1"/>
  <c r="R346" i="1"/>
  <c r="U286" i="1"/>
  <c r="S153" i="1"/>
  <c r="U153" i="1"/>
  <c r="R177" i="1"/>
  <c r="S213" i="1"/>
  <c r="U213" i="1"/>
  <c r="R213" i="1"/>
  <c r="S249" i="1"/>
  <c r="T249" i="1"/>
  <c r="R285" i="1"/>
  <c r="V345" i="1"/>
  <c r="U11" i="1"/>
  <c r="V11" i="1"/>
  <c r="T23" i="1"/>
  <c r="U23" i="1"/>
  <c r="V23" i="1"/>
  <c r="V47" i="1"/>
  <c r="S155" i="1"/>
  <c r="T155" i="1"/>
  <c r="T179" i="1"/>
  <c r="S179" i="1"/>
  <c r="R203" i="1"/>
  <c r="S203" i="1"/>
  <c r="T215" i="1"/>
  <c r="R215" i="1"/>
  <c r="S215" i="1"/>
  <c r="R227" i="1"/>
  <c r="R251" i="1"/>
  <c r="S251" i="1"/>
  <c r="T251" i="1"/>
  <c r="R287" i="1"/>
  <c r="R299" i="1"/>
  <c r="V335" i="1"/>
  <c r="U335" i="1"/>
  <c r="U371" i="1"/>
  <c r="R395" i="1"/>
  <c r="R407" i="1"/>
  <c r="R454" i="1"/>
  <c r="R427" i="1"/>
  <c r="S419" i="1"/>
  <c r="R405" i="1"/>
  <c r="R393" i="1"/>
  <c r="T382" i="1"/>
  <c r="R358" i="1"/>
  <c r="T286" i="1"/>
  <c r="V402" i="1"/>
  <c r="T318" i="1"/>
  <c r="R6" i="1"/>
  <c r="S6" i="1"/>
  <c r="T6" i="1"/>
  <c r="U6" i="1"/>
  <c r="V6" i="1"/>
  <c r="R54" i="1"/>
  <c r="T54" i="1"/>
  <c r="V54" i="1"/>
  <c r="S54" i="1"/>
  <c r="U54" i="1"/>
  <c r="U90" i="1"/>
  <c r="S90" i="1"/>
  <c r="T90" i="1"/>
  <c r="V90" i="1"/>
  <c r="T126" i="1"/>
  <c r="R126" i="1"/>
  <c r="S126" i="1"/>
  <c r="U126" i="1"/>
  <c r="V126" i="1"/>
  <c r="U162" i="1"/>
  <c r="V162" i="1"/>
  <c r="R162" i="1"/>
  <c r="S162" i="1"/>
  <c r="T162" i="1"/>
  <c r="R198" i="1"/>
  <c r="T198" i="1"/>
  <c r="U198" i="1"/>
  <c r="V198" i="1"/>
  <c r="T234" i="1"/>
  <c r="R234" i="1"/>
  <c r="V234" i="1"/>
  <c r="S234" i="1"/>
  <c r="U282" i="1"/>
  <c r="S282" i="1"/>
  <c r="R282" i="1"/>
  <c r="T282" i="1"/>
  <c r="T330" i="1"/>
  <c r="R330" i="1"/>
  <c r="S330" i="1"/>
  <c r="U330" i="1"/>
  <c r="S366" i="1"/>
  <c r="T366" i="1"/>
  <c r="U366" i="1"/>
  <c r="V366" i="1"/>
  <c r="S402" i="1"/>
  <c r="R402" i="1"/>
  <c r="U438" i="1"/>
  <c r="R438" i="1"/>
  <c r="S438" i="1"/>
  <c r="T438" i="1"/>
  <c r="V19" i="1"/>
  <c r="R19" i="1"/>
  <c r="S19" i="1"/>
  <c r="T19" i="1"/>
  <c r="U19" i="1"/>
  <c r="V55" i="1"/>
  <c r="S55" i="1"/>
  <c r="U55" i="1"/>
  <c r="R55" i="1"/>
  <c r="V91" i="1"/>
  <c r="S91" i="1"/>
  <c r="T91" i="1"/>
  <c r="U91" i="1"/>
  <c r="R127" i="1"/>
  <c r="S127" i="1"/>
  <c r="T127" i="1"/>
  <c r="V127" i="1"/>
  <c r="U127" i="1"/>
  <c r="T139" i="1"/>
  <c r="U139" i="1"/>
  <c r="V139" i="1"/>
  <c r="S139" i="1"/>
  <c r="R175" i="1"/>
  <c r="S175" i="1"/>
  <c r="T175" i="1"/>
  <c r="U175" i="1"/>
  <c r="V175" i="1"/>
  <c r="R211" i="1"/>
  <c r="V211" i="1"/>
  <c r="T211" i="1"/>
  <c r="S211" i="1"/>
  <c r="R247" i="1"/>
  <c r="S247" i="1"/>
  <c r="T247" i="1"/>
  <c r="U247" i="1"/>
  <c r="R283" i="1"/>
  <c r="S283" i="1"/>
  <c r="T283" i="1"/>
  <c r="U283" i="1"/>
  <c r="R319" i="1"/>
  <c r="S319" i="1"/>
  <c r="T319" i="1"/>
  <c r="U319" i="1"/>
  <c r="R355" i="1"/>
  <c r="T355" i="1"/>
  <c r="U355" i="1"/>
  <c r="S355" i="1"/>
  <c r="T391" i="1"/>
  <c r="V391" i="1"/>
  <c r="V403" i="1"/>
  <c r="T415" i="1"/>
  <c r="U415" i="1"/>
  <c r="S415" i="1"/>
  <c r="V415" i="1"/>
  <c r="U439" i="1"/>
  <c r="S439" i="1"/>
  <c r="R439" i="1"/>
  <c r="V451" i="1"/>
  <c r="R8" i="1"/>
  <c r="S8" i="1"/>
  <c r="T8" i="1"/>
  <c r="U8" i="1"/>
  <c r="V8" i="1"/>
  <c r="T20" i="1"/>
  <c r="U20" i="1"/>
  <c r="V20" i="1"/>
  <c r="S20" i="1"/>
  <c r="R20" i="1"/>
  <c r="R32" i="1"/>
  <c r="S32" i="1"/>
  <c r="U32" i="1"/>
  <c r="V32" i="1"/>
  <c r="R44" i="1"/>
  <c r="S44" i="1"/>
  <c r="T44" i="1"/>
  <c r="U44" i="1"/>
  <c r="V44" i="1"/>
  <c r="U56" i="1"/>
  <c r="V56" i="1"/>
  <c r="S56" i="1"/>
  <c r="T56" i="1"/>
  <c r="R68" i="1"/>
  <c r="S68" i="1"/>
  <c r="U68" i="1"/>
  <c r="V68" i="1"/>
  <c r="T68" i="1"/>
  <c r="S80" i="1"/>
  <c r="V80" i="1"/>
  <c r="R80" i="1"/>
  <c r="T80" i="1"/>
  <c r="U80" i="1"/>
  <c r="S92" i="1"/>
  <c r="T92" i="1"/>
  <c r="U92" i="1"/>
  <c r="R92" i="1"/>
  <c r="S104" i="1"/>
  <c r="T104" i="1"/>
  <c r="U104" i="1"/>
  <c r="R104" i="1"/>
  <c r="S116" i="1"/>
  <c r="T116" i="1"/>
  <c r="U116" i="1"/>
  <c r="R116" i="1"/>
  <c r="S128" i="1"/>
  <c r="R128" i="1"/>
  <c r="T128" i="1"/>
  <c r="U128" i="1"/>
  <c r="U140" i="1"/>
  <c r="V140" i="1"/>
  <c r="S140" i="1"/>
  <c r="T140" i="1"/>
  <c r="S152" i="1"/>
  <c r="U152" i="1"/>
  <c r="T152" i="1"/>
  <c r="V152" i="1"/>
  <c r="T164" i="1"/>
  <c r="U164" i="1"/>
  <c r="V164" i="1"/>
  <c r="R164" i="1"/>
  <c r="S164" i="1"/>
  <c r="U176" i="1"/>
  <c r="V176" i="1"/>
  <c r="R176" i="1"/>
  <c r="S176" i="1"/>
  <c r="T176" i="1"/>
  <c r="U188" i="1"/>
  <c r="V188" i="1"/>
  <c r="S188" i="1"/>
  <c r="R188" i="1"/>
  <c r="U200" i="1"/>
  <c r="V200" i="1"/>
  <c r="R200" i="1"/>
  <c r="S200" i="1"/>
  <c r="V212" i="1"/>
  <c r="R212" i="1"/>
  <c r="S212" i="1"/>
  <c r="T212" i="1"/>
  <c r="U224" i="1"/>
  <c r="R224" i="1"/>
  <c r="S224" i="1"/>
  <c r="T224" i="1"/>
  <c r="V236" i="1"/>
  <c r="R236" i="1"/>
  <c r="S236" i="1"/>
  <c r="T236" i="1"/>
  <c r="U248" i="1"/>
  <c r="R248" i="1"/>
  <c r="S248" i="1"/>
  <c r="T248" i="1"/>
  <c r="S260" i="1"/>
  <c r="T260" i="1"/>
  <c r="R260" i="1"/>
  <c r="V260" i="1"/>
  <c r="S272" i="1"/>
  <c r="T272" i="1"/>
  <c r="U272" i="1"/>
  <c r="R272" i="1"/>
  <c r="T284" i="1"/>
  <c r="R284" i="1"/>
  <c r="S284" i="1"/>
  <c r="V284" i="1"/>
  <c r="T296" i="1"/>
  <c r="U296" i="1"/>
  <c r="R296" i="1"/>
  <c r="V296" i="1"/>
  <c r="T308" i="1"/>
  <c r="U308" i="1"/>
  <c r="S308" i="1"/>
  <c r="T320" i="1"/>
  <c r="U320" i="1"/>
  <c r="S332" i="1"/>
  <c r="T332" i="1"/>
  <c r="V332" i="1"/>
  <c r="U332" i="1"/>
  <c r="S344" i="1"/>
  <c r="V344" i="1"/>
  <c r="T344" i="1"/>
  <c r="U344" i="1"/>
  <c r="R356" i="1"/>
  <c r="S356" i="1"/>
  <c r="T356" i="1"/>
  <c r="U356" i="1"/>
  <c r="S368" i="1"/>
  <c r="V368" i="1"/>
  <c r="T368" i="1"/>
  <c r="U368" i="1"/>
  <c r="R380" i="1"/>
  <c r="S380" i="1"/>
  <c r="S392" i="1"/>
  <c r="T392" i="1"/>
  <c r="U392" i="1"/>
  <c r="S404" i="1"/>
  <c r="R404" i="1"/>
  <c r="T404" i="1"/>
  <c r="R416" i="1"/>
  <c r="T416" i="1"/>
  <c r="U416" i="1"/>
  <c r="V416" i="1"/>
  <c r="S428" i="1"/>
  <c r="T428" i="1"/>
  <c r="U428" i="1"/>
  <c r="S440" i="1"/>
  <c r="R440" i="1"/>
  <c r="T440" i="1"/>
  <c r="U440" i="1"/>
  <c r="R452" i="1"/>
  <c r="U452" i="1"/>
  <c r="V452" i="1"/>
  <c r="S452" i="1"/>
  <c r="U451" i="1"/>
  <c r="S403" i="1"/>
  <c r="U380" i="1"/>
  <c r="R30" i="1"/>
  <c r="S30" i="1"/>
  <c r="T30" i="1"/>
  <c r="U30" i="1"/>
  <c r="V30" i="1"/>
  <c r="U66" i="1"/>
  <c r="V66" i="1"/>
  <c r="T66" i="1"/>
  <c r="R102" i="1"/>
  <c r="S102" i="1"/>
  <c r="T102" i="1"/>
  <c r="V102" i="1"/>
  <c r="V138" i="1"/>
  <c r="S138" i="1"/>
  <c r="T138" i="1"/>
  <c r="U138" i="1"/>
  <c r="S174" i="1"/>
  <c r="T174" i="1"/>
  <c r="U174" i="1"/>
  <c r="R174" i="1"/>
  <c r="V174" i="1"/>
  <c r="R210" i="1"/>
  <c r="S210" i="1"/>
  <c r="T210" i="1"/>
  <c r="V210" i="1"/>
  <c r="R246" i="1"/>
  <c r="S246" i="1"/>
  <c r="T246" i="1"/>
  <c r="R270" i="1"/>
  <c r="S270" i="1"/>
  <c r="T270" i="1"/>
  <c r="U270" i="1"/>
  <c r="R306" i="1"/>
  <c r="S306" i="1"/>
  <c r="U306" i="1"/>
  <c r="T306" i="1"/>
  <c r="S342" i="1"/>
  <c r="T342" i="1"/>
  <c r="U342" i="1"/>
  <c r="S378" i="1"/>
  <c r="T378" i="1"/>
  <c r="U378" i="1"/>
  <c r="R378" i="1"/>
  <c r="U414" i="1"/>
  <c r="T414" i="1"/>
  <c r="S414" i="1"/>
  <c r="V450" i="1"/>
  <c r="V43" i="1"/>
  <c r="R43" i="1"/>
  <c r="S43" i="1"/>
  <c r="T43" i="1"/>
  <c r="U43" i="1"/>
  <c r="T79" i="1"/>
  <c r="U79" i="1"/>
  <c r="V79" i="1"/>
  <c r="S79" i="1"/>
  <c r="R115" i="1"/>
  <c r="S115" i="1"/>
  <c r="T115" i="1"/>
  <c r="U115" i="1"/>
  <c r="T151" i="1"/>
  <c r="U151" i="1"/>
  <c r="V151" i="1"/>
  <c r="R151" i="1"/>
  <c r="S151" i="1"/>
  <c r="R187" i="1"/>
  <c r="S187" i="1"/>
  <c r="T187" i="1"/>
  <c r="V187" i="1"/>
  <c r="R223" i="1"/>
  <c r="S223" i="1"/>
  <c r="U223" i="1"/>
  <c r="V223" i="1"/>
  <c r="R259" i="1"/>
  <c r="V259" i="1"/>
  <c r="S259" i="1"/>
  <c r="T259" i="1"/>
  <c r="U295" i="1"/>
  <c r="V295" i="1"/>
  <c r="R295" i="1"/>
  <c r="U331" i="1"/>
  <c r="V331" i="1"/>
  <c r="S331" i="1"/>
  <c r="U367" i="1"/>
  <c r="T367" i="1"/>
  <c r="S367" i="1"/>
  <c r="V367" i="1"/>
  <c r="T439" i="1"/>
  <c r="T427" i="1"/>
  <c r="R403" i="1"/>
  <c r="S18" i="1"/>
  <c r="T18" i="1"/>
  <c r="U18" i="1"/>
  <c r="V18" i="1"/>
  <c r="R42" i="1"/>
  <c r="S42" i="1"/>
  <c r="T42" i="1"/>
  <c r="U42" i="1"/>
  <c r="V42" i="1"/>
  <c r="U78" i="1"/>
  <c r="S78" i="1"/>
  <c r="T78" i="1"/>
  <c r="V78" i="1"/>
  <c r="R114" i="1"/>
  <c r="S114" i="1"/>
  <c r="V114" i="1"/>
  <c r="T114" i="1"/>
  <c r="U114" i="1"/>
  <c r="R150" i="1"/>
  <c r="V150" i="1"/>
  <c r="S150" i="1"/>
  <c r="T150" i="1"/>
  <c r="U150" i="1"/>
  <c r="S186" i="1"/>
  <c r="T186" i="1"/>
  <c r="U186" i="1"/>
  <c r="V186" i="1"/>
  <c r="R186" i="1"/>
  <c r="S222" i="1"/>
  <c r="T222" i="1"/>
  <c r="U222" i="1"/>
  <c r="R222" i="1"/>
  <c r="R258" i="1"/>
  <c r="S258" i="1"/>
  <c r="V258" i="1"/>
  <c r="T258" i="1"/>
  <c r="V294" i="1"/>
  <c r="R294" i="1"/>
  <c r="S294" i="1"/>
  <c r="T294" i="1"/>
  <c r="U318" i="1"/>
  <c r="S354" i="1"/>
  <c r="T354" i="1"/>
  <c r="U354" i="1"/>
  <c r="S390" i="1"/>
  <c r="T390" i="1"/>
  <c r="V390" i="1"/>
  <c r="R390" i="1"/>
  <c r="U426" i="1"/>
  <c r="S426" i="1"/>
  <c r="T426" i="1"/>
  <c r="R426" i="1"/>
  <c r="V7" i="1"/>
  <c r="R7" i="1"/>
  <c r="S7" i="1"/>
  <c r="T7" i="1"/>
  <c r="U7" i="1"/>
  <c r="V31" i="1"/>
  <c r="R31" i="1"/>
  <c r="U31" i="1"/>
  <c r="S31" i="1"/>
  <c r="T31" i="1"/>
  <c r="S67" i="1"/>
  <c r="T67" i="1"/>
  <c r="U67" i="1"/>
  <c r="R67" i="1"/>
  <c r="V67" i="1"/>
  <c r="V103" i="1"/>
  <c r="R103" i="1"/>
  <c r="S103" i="1"/>
  <c r="T103" i="1"/>
  <c r="T163" i="1"/>
  <c r="R163" i="1"/>
  <c r="S163" i="1"/>
  <c r="U163" i="1"/>
  <c r="V163" i="1"/>
  <c r="R199" i="1"/>
  <c r="T199" i="1"/>
  <c r="U199" i="1"/>
  <c r="R235" i="1"/>
  <c r="S235" i="1"/>
  <c r="T235" i="1"/>
  <c r="V235" i="1"/>
  <c r="R271" i="1"/>
  <c r="S271" i="1"/>
  <c r="T271" i="1"/>
  <c r="U271" i="1"/>
  <c r="S307" i="1"/>
  <c r="R307" i="1"/>
  <c r="T307" i="1"/>
  <c r="U307" i="1"/>
  <c r="R343" i="1"/>
  <c r="U343" i="1"/>
  <c r="S343" i="1"/>
  <c r="T343" i="1"/>
  <c r="R379" i="1"/>
  <c r="S379" i="1"/>
  <c r="T379" i="1"/>
  <c r="R451" i="1"/>
  <c r="T403" i="1"/>
  <c r="S451" i="1"/>
  <c r="S427" i="1"/>
  <c r="V414" i="1"/>
  <c r="S391" i="1"/>
  <c r="S295" i="1"/>
  <c r="U184" i="1"/>
  <c r="T14" i="1"/>
  <c r="U14" i="1"/>
  <c r="V14" i="1"/>
  <c r="R14" i="1"/>
  <c r="S14" i="1"/>
  <c r="T38" i="1"/>
  <c r="U38" i="1"/>
  <c r="V38" i="1"/>
  <c r="S74" i="1"/>
  <c r="V74" i="1"/>
  <c r="S98" i="1"/>
  <c r="T98" i="1"/>
  <c r="U98" i="1"/>
  <c r="R98" i="1"/>
  <c r="V98" i="1"/>
  <c r="S134" i="1"/>
  <c r="V134" i="1"/>
  <c r="R134" i="1"/>
  <c r="T134" i="1"/>
  <c r="U134" i="1"/>
  <c r="V158" i="1"/>
  <c r="T158" i="1"/>
  <c r="U158" i="1"/>
  <c r="S158" i="1"/>
  <c r="U182" i="1"/>
  <c r="V182" i="1"/>
  <c r="R182" i="1"/>
  <c r="S182" i="1"/>
  <c r="V206" i="1"/>
  <c r="S206" i="1"/>
  <c r="T206" i="1"/>
  <c r="R206" i="1"/>
  <c r="U230" i="1"/>
  <c r="R230" i="1"/>
  <c r="S230" i="1"/>
  <c r="T230" i="1"/>
  <c r="U242" i="1"/>
  <c r="R242" i="1"/>
  <c r="S242" i="1"/>
  <c r="T242" i="1"/>
  <c r="S266" i="1"/>
  <c r="T266" i="1"/>
  <c r="U266" i="1"/>
  <c r="R266" i="1"/>
  <c r="T278" i="1"/>
  <c r="R278" i="1"/>
  <c r="S278" i="1"/>
  <c r="V278" i="1"/>
  <c r="T290" i="1"/>
  <c r="U290" i="1"/>
  <c r="V290" i="1"/>
  <c r="R290" i="1"/>
  <c r="T302" i="1"/>
  <c r="U302" i="1"/>
  <c r="R302" i="1"/>
  <c r="S302" i="1"/>
  <c r="T314" i="1"/>
  <c r="U314" i="1"/>
  <c r="T326" i="1"/>
  <c r="S326" i="1"/>
  <c r="V326" i="1"/>
  <c r="R326" i="1"/>
  <c r="U338" i="1"/>
  <c r="V338" i="1"/>
  <c r="V350" i="1"/>
  <c r="R350" i="1"/>
  <c r="U362" i="1"/>
  <c r="V362" i="1"/>
  <c r="U374" i="1"/>
  <c r="R374" i="1"/>
  <c r="U386" i="1"/>
  <c r="V386" i="1"/>
  <c r="T386" i="1"/>
  <c r="R398" i="1"/>
  <c r="T398" i="1"/>
  <c r="S398" i="1"/>
  <c r="U422" i="1"/>
  <c r="T434" i="1"/>
  <c r="U434" i="1"/>
  <c r="R434" i="1"/>
  <c r="S434" i="1"/>
  <c r="U446" i="1"/>
  <c r="V446" i="1"/>
  <c r="S446" i="1"/>
  <c r="T446" i="1"/>
  <c r="R458" i="1"/>
  <c r="S458" i="1"/>
  <c r="T458" i="1"/>
  <c r="U458" i="1"/>
  <c r="S424" i="1"/>
  <c r="U389" i="1"/>
  <c r="T377" i="1"/>
  <c r="S374" i="1"/>
  <c r="T365" i="1"/>
  <c r="S362" i="1"/>
  <c r="U353" i="1"/>
  <c r="T350" i="1"/>
  <c r="U341" i="1"/>
  <c r="T338" i="1"/>
  <c r="T292" i="1"/>
  <c r="U292" i="1"/>
  <c r="T26" i="1"/>
  <c r="U26" i="1"/>
  <c r="V26" i="1"/>
  <c r="R26" i="1"/>
  <c r="S26" i="1"/>
  <c r="S50" i="1"/>
  <c r="T50" i="1"/>
  <c r="U50" i="1"/>
  <c r="V50" i="1"/>
  <c r="R62" i="1"/>
  <c r="S62" i="1"/>
  <c r="T62" i="1"/>
  <c r="U62" i="1"/>
  <c r="V62" i="1"/>
  <c r="U86" i="1"/>
  <c r="V86" i="1"/>
  <c r="R86" i="1"/>
  <c r="T86" i="1"/>
  <c r="S110" i="1"/>
  <c r="T110" i="1"/>
  <c r="U110" i="1"/>
  <c r="R110" i="1"/>
  <c r="S122" i="1"/>
  <c r="T122" i="1"/>
  <c r="U122" i="1"/>
  <c r="R122" i="1"/>
  <c r="U146" i="1"/>
  <c r="V146" i="1"/>
  <c r="R170" i="1"/>
  <c r="S170" i="1"/>
  <c r="T170" i="1"/>
  <c r="U170" i="1"/>
  <c r="V170" i="1"/>
  <c r="V194" i="1"/>
  <c r="R194" i="1"/>
  <c r="S194" i="1"/>
  <c r="T194" i="1"/>
  <c r="U218" i="1"/>
  <c r="S218" i="1"/>
  <c r="T218" i="1"/>
  <c r="V254" i="1"/>
  <c r="R15" i="1"/>
  <c r="T15" i="1"/>
  <c r="U15" i="1"/>
  <c r="V15" i="1"/>
  <c r="R27" i="1"/>
  <c r="S27" i="1"/>
  <c r="T27" i="1"/>
  <c r="V27" i="1"/>
  <c r="R39" i="1"/>
  <c r="T39" i="1"/>
  <c r="U39" i="1"/>
  <c r="V39" i="1"/>
  <c r="T51" i="1"/>
  <c r="S51" i="1"/>
  <c r="U51" i="1"/>
  <c r="V51" i="1"/>
  <c r="U63" i="1"/>
  <c r="V63" i="1"/>
  <c r="R63" i="1"/>
  <c r="T63" i="1"/>
  <c r="U75" i="1"/>
  <c r="T75" i="1"/>
  <c r="V75" i="1"/>
  <c r="R75" i="1"/>
  <c r="S75" i="1"/>
  <c r="U87" i="1"/>
  <c r="T87" i="1"/>
  <c r="V87" i="1"/>
  <c r="R87" i="1"/>
  <c r="V99" i="1"/>
  <c r="S99" i="1"/>
  <c r="T99" i="1"/>
  <c r="R99" i="1"/>
  <c r="S111" i="1"/>
  <c r="T111" i="1"/>
  <c r="R111" i="1"/>
  <c r="U111" i="1"/>
  <c r="S123" i="1"/>
  <c r="T123" i="1"/>
  <c r="U123" i="1"/>
  <c r="V123" i="1"/>
  <c r="R135" i="1"/>
  <c r="S135" i="1"/>
  <c r="T135" i="1"/>
  <c r="U135" i="1"/>
  <c r="R147" i="1"/>
  <c r="S147" i="1"/>
  <c r="T147" i="1"/>
  <c r="U147" i="1"/>
  <c r="V147" i="1"/>
  <c r="S159" i="1"/>
  <c r="T159" i="1"/>
  <c r="U159" i="1"/>
  <c r="V159" i="1"/>
  <c r="R171" i="1"/>
  <c r="R183" i="1"/>
  <c r="S183" i="1"/>
  <c r="V183" i="1"/>
  <c r="U183" i="1"/>
  <c r="S195" i="1"/>
  <c r="T195" i="1"/>
  <c r="R207" i="1"/>
  <c r="S207" i="1"/>
  <c r="T207" i="1"/>
  <c r="V207" i="1"/>
  <c r="U219" i="1"/>
  <c r="R219" i="1"/>
  <c r="S219" i="1"/>
  <c r="T219" i="1"/>
  <c r="R243" i="1"/>
  <c r="S243" i="1"/>
  <c r="T243" i="1"/>
  <c r="U243" i="1"/>
  <c r="V255" i="1"/>
  <c r="R279" i="1"/>
  <c r="S279" i="1"/>
  <c r="T279" i="1"/>
  <c r="S303" i="1"/>
  <c r="T303" i="1"/>
  <c r="U303" i="1"/>
  <c r="R303" i="1"/>
  <c r="R327" i="1"/>
  <c r="S327" i="1"/>
  <c r="V327" i="1"/>
  <c r="T327" i="1"/>
  <c r="S339" i="1"/>
  <c r="T339" i="1"/>
  <c r="U339" i="1"/>
  <c r="R339" i="1"/>
  <c r="S351" i="1"/>
  <c r="T351" i="1"/>
  <c r="V351" i="1"/>
  <c r="R351" i="1"/>
  <c r="S363" i="1"/>
  <c r="T363" i="1"/>
  <c r="V363" i="1"/>
  <c r="R363" i="1"/>
  <c r="S375" i="1"/>
  <c r="T375" i="1"/>
  <c r="U375" i="1"/>
  <c r="R375" i="1"/>
  <c r="U387" i="1"/>
  <c r="R387" i="1"/>
  <c r="U399" i="1"/>
  <c r="U411" i="1"/>
  <c r="R411" i="1"/>
  <c r="S411" i="1"/>
  <c r="T411" i="1"/>
  <c r="U423" i="1"/>
  <c r="R423" i="1"/>
  <c r="U435" i="1"/>
  <c r="V447" i="1"/>
  <c r="S423" i="1"/>
  <c r="S365" i="1"/>
  <c r="T353" i="1"/>
  <c r="S350" i="1"/>
  <c r="T341" i="1"/>
  <c r="S338" i="1"/>
  <c r="V28" i="1"/>
  <c r="R28" i="1"/>
  <c r="S28" i="1"/>
  <c r="T28" i="1"/>
  <c r="U28" i="1"/>
  <c r="R76" i="1"/>
  <c r="V76" i="1"/>
  <c r="U76" i="1"/>
  <c r="S76" i="1"/>
  <c r="S124" i="1"/>
  <c r="T124" i="1"/>
  <c r="U124" i="1"/>
  <c r="V124" i="1"/>
  <c r="R172" i="1"/>
  <c r="S172" i="1"/>
  <c r="V172" i="1"/>
  <c r="T172" i="1"/>
  <c r="U172" i="1"/>
  <c r="R220" i="1"/>
  <c r="S220" i="1"/>
  <c r="T220" i="1"/>
  <c r="U220" i="1"/>
  <c r="T256" i="1"/>
  <c r="R256" i="1"/>
  <c r="S256" i="1"/>
  <c r="R304" i="1"/>
  <c r="S304" i="1"/>
  <c r="U304" i="1"/>
  <c r="T304" i="1"/>
  <c r="R364" i="1"/>
  <c r="T364" i="1"/>
  <c r="U231" i="1"/>
  <c r="U74" i="1"/>
  <c r="V16" i="1"/>
  <c r="R16" i="1"/>
  <c r="U16" i="1"/>
  <c r="T16" i="1"/>
  <c r="V40" i="1"/>
  <c r="S40" i="1"/>
  <c r="T40" i="1"/>
  <c r="U40" i="1"/>
  <c r="R40" i="1"/>
  <c r="V52" i="1"/>
  <c r="U52" i="1"/>
  <c r="T52" i="1"/>
  <c r="R52" i="1"/>
  <c r="R64" i="1"/>
  <c r="V64" i="1"/>
  <c r="U64" i="1"/>
  <c r="T64" i="1"/>
  <c r="S64" i="1"/>
  <c r="T88" i="1"/>
  <c r="U88" i="1"/>
  <c r="V88" i="1"/>
  <c r="R88" i="1"/>
  <c r="V100" i="1"/>
  <c r="R100" i="1"/>
  <c r="S100" i="1"/>
  <c r="T112" i="1"/>
  <c r="U112" i="1"/>
  <c r="V112" i="1"/>
  <c r="R112" i="1"/>
  <c r="S112" i="1"/>
  <c r="T136" i="1"/>
  <c r="U136" i="1"/>
  <c r="V136" i="1"/>
  <c r="R136" i="1"/>
  <c r="S136" i="1"/>
  <c r="T148" i="1"/>
  <c r="U148" i="1"/>
  <c r="V148" i="1"/>
  <c r="R148" i="1"/>
  <c r="S148" i="1"/>
  <c r="T160" i="1"/>
  <c r="V160" i="1"/>
  <c r="R160" i="1"/>
  <c r="U160" i="1"/>
  <c r="R184" i="1"/>
  <c r="S184" i="1"/>
  <c r="U196" i="1"/>
  <c r="S196" i="1"/>
  <c r="T196" i="1"/>
  <c r="R208" i="1"/>
  <c r="V208" i="1"/>
  <c r="S208" i="1"/>
  <c r="R232" i="1"/>
  <c r="V232" i="1"/>
  <c r="S232" i="1"/>
  <c r="T232" i="1"/>
  <c r="R244" i="1"/>
  <c r="S244" i="1"/>
  <c r="T244" i="1"/>
  <c r="U244" i="1"/>
  <c r="S268" i="1"/>
  <c r="T268" i="1"/>
  <c r="U268" i="1"/>
  <c r="S280" i="1"/>
  <c r="T280" i="1"/>
  <c r="R280" i="1"/>
  <c r="V280" i="1"/>
  <c r="S316" i="1"/>
  <c r="T316" i="1"/>
  <c r="U316" i="1"/>
  <c r="R316" i="1"/>
  <c r="T328" i="1"/>
  <c r="R328" i="1"/>
  <c r="S328" i="1"/>
  <c r="U328" i="1"/>
  <c r="R340" i="1"/>
  <c r="T340" i="1"/>
  <c r="R352" i="1"/>
  <c r="R376" i="1"/>
  <c r="T388" i="1"/>
  <c r="U388" i="1"/>
  <c r="T400" i="1"/>
  <c r="R400" i="1"/>
  <c r="S400" i="1"/>
  <c r="T424" i="1"/>
  <c r="U424" i="1"/>
  <c r="S436" i="1"/>
  <c r="T436" i="1"/>
  <c r="R460" i="1"/>
  <c r="S17" i="1"/>
  <c r="T29" i="1"/>
  <c r="U29" i="1"/>
  <c r="V29" i="1"/>
  <c r="S41" i="1"/>
  <c r="T41" i="1"/>
  <c r="U41" i="1"/>
  <c r="V41" i="1"/>
  <c r="S53" i="1"/>
  <c r="T53" i="1"/>
  <c r="U53" i="1"/>
  <c r="V53" i="1"/>
  <c r="R65" i="1"/>
  <c r="S65" i="1"/>
  <c r="U65" i="1"/>
  <c r="V65" i="1"/>
  <c r="S77" i="1"/>
  <c r="U77" i="1"/>
  <c r="V77" i="1"/>
  <c r="R77" i="1"/>
  <c r="T77" i="1"/>
  <c r="R89" i="1"/>
  <c r="S89" i="1"/>
  <c r="T89" i="1"/>
  <c r="U89" i="1"/>
  <c r="V89" i="1"/>
  <c r="S101" i="1"/>
  <c r="T101" i="1"/>
  <c r="V101" i="1"/>
  <c r="R101" i="1"/>
  <c r="S113" i="1"/>
  <c r="T113" i="1"/>
  <c r="U113" i="1"/>
  <c r="V113" i="1"/>
  <c r="R113" i="1"/>
  <c r="S125" i="1"/>
  <c r="R125" i="1"/>
  <c r="T125" i="1"/>
  <c r="U125" i="1"/>
  <c r="V125" i="1"/>
  <c r="S137" i="1"/>
  <c r="T137" i="1"/>
  <c r="U137" i="1"/>
  <c r="V137" i="1"/>
  <c r="R149" i="1"/>
  <c r="S149" i="1"/>
  <c r="U149" i="1"/>
  <c r="T149" i="1"/>
  <c r="V149" i="1"/>
  <c r="U161" i="1"/>
  <c r="V161" i="1"/>
  <c r="S161" i="1"/>
  <c r="T161" i="1"/>
  <c r="R161" i="1"/>
  <c r="U173" i="1"/>
  <c r="V173" i="1"/>
  <c r="R173" i="1"/>
  <c r="S173" i="1"/>
  <c r="T173" i="1"/>
  <c r="U185" i="1"/>
  <c r="V185" i="1"/>
  <c r="S185" i="1"/>
  <c r="U197" i="1"/>
  <c r="S197" i="1"/>
  <c r="T197" i="1"/>
  <c r="V209" i="1"/>
  <c r="S209" i="1"/>
  <c r="T209" i="1"/>
  <c r="U221" i="1"/>
  <c r="R221" i="1"/>
  <c r="S221" i="1"/>
  <c r="T221" i="1"/>
  <c r="V233" i="1"/>
  <c r="S233" i="1"/>
  <c r="T233" i="1"/>
  <c r="R233" i="1"/>
  <c r="U245" i="1"/>
  <c r="S245" i="1"/>
  <c r="T245" i="1"/>
  <c r="R245" i="1"/>
  <c r="S257" i="1"/>
  <c r="T257" i="1"/>
  <c r="V257" i="1"/>
  <c r="R257" i="1"/>
  <c r="S269" i="1"/>
  <c r="T269" i="1"/>
  <c r="U269" i="1"/>
  <c r="T281" i="1"/>
  <c r="U281" i="1"/>
  <c r="R281" i="1"/>
  <c r="S281" i="1"/>
  <c r="T293" i="1"/>
  <c r="R293" i="1"/>
  <c r="S293" i="1"/>
  <c r="V293" i="1"/>
  <c r="T305" i="1"/>
  <c r="U305" i="1"/>
  <c r="R305" i="1"/>
  <c r="S305" i="1"/>
  <c r="T317" i="1"/>
  <c r="T329" i="1"/>
  <c r="U329" i="1"/>
  <c r="R329" i="1"/>
  <c r="S329" i="1"/>
  <c r="R389" i="1"/>
  <c r="V401" i="1"/>
  <c r="R413" i="1"/>
  <c r="V413" i="1"/>
  <c r="T413" i="1"/>
  <c r="U413" i="1"/>
  <c r="R425" i="1"/>
  <c r="R449" i="1"/>
  <c r="S449" i="1"/>
  <c r="U449" i="1"/>
  <c r="T449" i="1"/>
  <c r="V448" i="1"/>
  <c r="T447" i="1"/>
  <c r="T425" i="1"/>
  <c r="S399" i="1"/>
  <c r="R353" i="1"/>
  <c r="R341" i="1"/>
  <c r="V291" i="1"/>
  <c r="V279" i="1"/>
  <c r="V256" i="1"/>
  <c r="T231" i="1"/>
  <c r="R29" i="1"/>
  <c r="R9" i="1"/>
  <c r="S9" i="1"/>
  <c r="T9" i="1"/>
  <c r="U9" i="1"/>
  <c r="V9" i="1"/>
  <c r="R33" i="1"/>
  <c r="S33" i="1"/>
  <c r="T33" i="1"/>
  <c r="U57" i="1"/>
  <c r="V57" i="1"/>
  <c r="T57" i="1"/>
  <c r="T93" i="1"/>
  <c r="U93" i="1"/>
  <c r="V93" i="1"/>
  <c r="S93" i="1"/>
  <c r="R117" i="1"/>
  <c r="U117" i="1"/>
  <c r="S117" i="1"/>
  <c r="T117" i="1"/>
  <c r="V141" i="1"/>
  <c r="R165" i="1"/>
  <c r="S165" i="1"/>
  <c r="V189" i="1"/>
  <c r="R189" i="1"/>
  <c r="V213" i="1"/>
  <c r="V237" i="1"/>
  <c r="T261" i="1"/>
  <c r="V261" i="1"/>
  <c r="S285" i="1"/>
  <c r="T285" i="1"/>
  <c r="U285" i="1"/>
  <c r="S333" i="1"/>
  <c r="T333" i="1"/>
  <c r="U333" i="1"/>
  <c r="S369" i="1"/>
  <c r="T369" i="1"/>
  <c r="U369" i="1"/>
  <c r="U417" i="1"/>
  <c r="T153" i="1"/>
  <c r="V22" i="1"/>
  <c r="S22" i="1"/>
  <c r="T22" i="1"/>
  <c r="U22" i="1"/>
  <c r="R22" i="1"/>
  <c r="V82" i="1"/>
  <c r="R82" i="1"/>
  <c r="S82" i="1"/>
  <c r="T82" i="1"/>
  <c r="T118" i="1"/>
  <c r="U118" i="1"/>
  <c r="T154" i="1"/>
  <c r="U154" i="1"/>
  <c r="S154" i="1"/>
  <c r="V154" i="1"/>
  <c r="R190" i="1"/>
  <c r="S190" i="1"/>
  <c r="U190" i="1"/>
  <c r="V190" i="1"/>
  <c r="R238" i="1"/>
  <c r="S238" i="1"/>
  <c r="S381" i="1"/>
  <c r="R286" i="1"/>
  <c r="R35" i="1"/>
  <c r="T35" i="1"/>
  <c r="U35" i="1"/>
  <c r="V35" i="1"/>
  <c r="S71" i="1"/>
  <c r="U71" i="1"/>
  <c r="V71" i="1"/>
  <c r="R71" i="1"/>
  <c r="T71" i="1"/>
  <c r="R83" i="1"/>
  <c r="T83" i="1"/>
  <c r="U83" i="1"/>
  <c r="V83" i="1"/>
  <c r="T95" i="1"/>
  <c r="U95" i="1"/>
  <c r="R95" i="1"/>
  <c r="V95" i="1"/>
  <c r="S107" i="1"/>
  <c r="T107" i="1"/>
  <c r="U107" i="1"/>
  <c r="S119" i="1"/>
  <c r="T119" i="1"/>
  <c r="R119" i="1"/>
  <c r="U119" i="1"/>
  <c r="S131" i="1"/>
  <c r="R131" i="1"/>
  <c r="V131" i="1"/>
  <c r="T131" i="1"/>
  <c r="U131" i="1"/>
  <c r="S143" i="1"/>
  <c r="T143" i="1"/>
  <c r="U155" i="1"/>
  <c r="V155" i="1"/>
  <c r="V167" i="1"/>
  <c r="S167" i="1"/>
  <c r="T167" i="1"/>
  <c r="U167" i="1"/>
  <c r="U179" i="1"/>
  <c r="V179" i="1"/>
  <c r="U191" i="1"/>
  <c r="S191" i="1"/>
  <c r="T191" i="1"/>
  <c r="V203" i="1"/>
  <c r="U215" i="1"/>
  <c r="U227" i="1"/>
  <c r="S227" i="1"/>
  <c r="T227" i="1"/>
  <c r="U239" i="1"/>
  <c r="T239" i="1"/>
  <c r="U251" i="1"/>
  <c r="S263" i="1"/>
  <c r="T263" i="1"/>
  <c r="S275" i="1"/>
  <c r="T275" i="1"/>
  <c r="U275" i="1"/>
  <c r="T287" i="1"/>
  <c r="U287" i="1"/>
  <c r="U299" i="1"/>
  <c r="T311" i="1"/>
  <c r="U311" i="1"/>
  <c r="R311" i="1"/>
  <c r="S311" i="1"/>
  <c r="T323" i="1"/>
  <c r="U323" i="1"/>
  <c r="T455" i="1"/>
  <c r="T443" i="1"/>
  <c r="R419" i="1"/>
  <c r="R417" i="1"/>
  <c r="U409" i="1"/>
  <c r="R383" i="1"/>
  <c r="R381" i="1"/>
  <c r="T371" i="1"/>
  <c r="T359" i="1"/>
  <c r="T347" i="1"/>
  <c r="V297" i="1"/>
  <c r="T277" i="1"/>
  <c r="R275" i="1"/>
  <c r="S261" i="1"/>
  <c r="S239" i="1"/>
  <c r="R167" i="1"/>
  <c r="S145" i="1"/>
  <c r="U141" i="1"/>
  <c r="R105" i="1"/>
  <c r="S83" i="1"/>
  <c r="U69" i="1"/>
  <c r="R69" i="1"/>
  <c r="S69" i="1"/>
  <c r="T69" i="1"/>
  <c r="U429" i="1"/>
  <c r="S309" i="1"/>
  <c r="V34" i="1"/>
  <c r="S34" i="1"/>
  <c r="T34" i="1"/>
  <c r="U34" i="1"/>
  <c r="R34" i="1"/>
  <c r="T70" i="1"/>
  <c r="U70" i="1"/>
  <c r="V70" i="1"/>
  <c r="R70" i="1"/>
  <c r="R106" i="1"/>
  <c r="S106" i="1"/>
  <c r="T106" i="1"/>
  <c r="U106" i="1"/>
  <c r="T142" i="1"/>
  <c r="U142" i="1"/>
  <c r="V142" i="1"/>
  <c r="R178" i="1"/>
  <c r="S178" i="1"/>
  <c r="U178" i="1"/>
  <c r="V178" i="1"/>
  <c r="R214" i="1"/>
  <c r="U214" i="1"/>
  <c r="R250" i="1"/>
  <c r="V250" i="1"/>
  <c r="R274" i="1"/>
  <c r="S274" i="1"/>
  <c r="T274" i="1"/>
  <c r="R309" i="1"/>
  <c r="U274" i="1"/>
  <c r="S189" i="1"/>
  <c r="V69" i="1"/>
  <c r="R11" i="1"/>
  <c r="S11" i="1"/>
  <c r="T11" i="1"/>
  <c r="S47" i="1"/>
  <c r="T47" i="1"/>
  <c r="U47" i="1"/>
  <c r="R12" i="1"/>
  <c r="S12" i="1"/>
  <c r="T12" i="1"/>
  <c r="U12" i="1"/>
  <c r="V12" i="1"/>
  <c r="R24" i="1"/>
  <c r="S24" i="1"/>
  <c r="T24" i="1"/>
  <c r="U24" i="1"/>
  <c r="V24" i="1"/>
  <c r="R36" i="1"/>
  <c r="S36" i="1"/>
  <c r="T36" i="1"/>
  <c r="U36" i="1"/>
  <c r="V36" i="1"/>
  <c r="S48" i="1"/>
  <c r="T48" i="1"/>
  <c r="U48" i="1"/>
  <c r="V48" i="1"/>
  <c r="U60" i="1"/>
  <c r="V60" i="1"/>
  <c r="R60" i="1"/>
  <c r="S60" i="1"/>
  <c r="T60" i="1"/>
  <c r="U72" i="1"/>
  <c r="V72" i="1"/>
  <c r="U84" i="1"/>
  <c r="V84" i="1"/>
  <c r="R84" i="1"/>
  <c r="S84" i="1"/>
  <c r="T84" i="1"/>
  <c r="T96" i="1"/>
  <c r="R96" i="1"/>
  <c r="U96" i="1"/>
  <c r="V96" i="1"/>
  <c r="R108" i="1"/>
  <c r="S120" i="1"/>
  <c r="T120" i="1"/>
  <c r="V132" i="1"/>
  <c r="U132" i="1"/>
  <c r="S132" i="1"/>
  <c r="T132" i="1"/>
  <c r="R144" i="1"/>
  <c r="T156" i="1"/>
  <c r="U156" i="1"/>
  <c r="V156" i="1"/>
  <c r="S168" i="1"/>
  <c r="T168" i="1"/>
  <c r="U168" i="1"/>
  <c r="V168" i="1"/>
  <c r="V180" i="1"/>
  <c r="S192" i="1"/>
  <c r="T192" i="1"/>
  <c r="U192" i="1"/>
  <c r="S204" i="1"/>
  <c r="T204" i="1"/>
  <c r="T216" i="1"/>
  <c r="U216" i="1"/>
  <c r="S240" i="1"/>
  <c r="T240" i="1"/>
  <c r="U240" i="1"/>
  <c r="R288" i="1"/>
  <c r="S288" i="1"/>
  <c r="U300" i="1"/>
  <c r="V300" i="1"/>
  <c r="R324" i="1"/>
  <c r="S324" i="1"/>
  <c r="S336" i="1"/>
  <c r="U336" i="1"/>
  <c r="S348" i="1"/>
  <c r="T348" i="1"/>
  <c r="U348" i="1"/>
  <c r="S360" i="1"/>
  <c r="T360" i="1"/>
  <c r="U360" i="1"/>
  <c r="S372" i="1"/>
  <c r="T372" i="1"/>
  <c r="U372" i="1"/>
  <c r="U384" i="1"/>
  <c r="U396" i="1"/>
  <c r="U408" i="1"/>
  <c r="U420" i="1"/>
  <c r="U432" i="1"/>
  <c r="S455" i="1"/>
  <c r="S443" i="1"/>
  <c r="R432" i="1"/>
  <c r="S430" i="1"/>
  <c r="U407" i="1"/>
  <c r="R396" i="1"/>
  <c r="S394" i="1"/>
  <c r="S371" i="1"/>
  <c r="U370" i="1"/>
  <c r="S359" i="1"/>
  <c r="U358" i="1"/>
  <c r="S347" i="1"/>
  <c r="U346" i="1"/>
  <c r="S335" i="1"/>
  <c r="U334" i="1"/>
  <c r="S323" i="1"/>
  <c r="S300" i="1"/>
  <c r="V299" i="1"/>
  <c r="R276" i="1"/>
  <c r="U264" i="1"/>
  <c r="R261" i="1"/>
  <c r="R252" i="1"/>
  <c r="R239" i="1"/>
  <c r="R216" i="1"/>
  <c r="T180" i="1"/>
  <c r="V143" i="1"/>
  <c r="T141" i="1"/>
  <c r="T108" i="1"/>
  <c r="R72" i="1"/>
  <c r="R21" i="1"/>
  <c r="S21" i="1"/>
  <c r="U21" i="1"/>
  <c r="V21" i="1"/>
  <c r="S45" i="1"/>
  <c r="T45" i="1"/>
  <c r="U45" i="1"/>
  <c r="U81" i="1"/>
  <c r="R81" i="1"/>
  <c r="S81" i="1"/>
  <c r="T81" i="1"/>
  <c r="V81" i="1"/>
  <c r="T105" i="1"/>
  <c r="U105" i="1"/>
  <c r="S105" i="1"/>
  <c r="R129" i="1"/>
  <c r="S129" i="1"/>
  <c r="T129" i="1"/>
  <c r="U129" i="1"/>
  <c r="V129" i="1"/>
  <c r="V153" i="1"/>
  <c r="V177" i="1"/>
  <c r="S177" i="1"/>
  <c r="T177" i="1"/>
  <c r="U177" i="1"/>
  <c r="U201" i="1"/>
  <c r="V201" i="1"/>
  <c r="R225" i="1"/>
  <c r="S225" i="1"/>
  <c r="R249" i="1"/>
  <c r="T273" i="1"/>
  <c r="U273" i="1"/>
  <c r="S321" i="1"/>
  <c r="T321" i="1"/>
  <c r="U321" i="1"/>
  <c r="S345" i="1"/>
  <c r="T345" i="1"/>
  <c r="U345" i="1"/>
  <c r="S357" i="1"/>
  <c r="T357" i="1"/>
  <c r="U357" i="1"/>
  <c r="U381" i="1"/>
  <c r="U441" i="1"/>
  <c r="T417" i="1"/>
  <c r="R273" i="1"/>
  <c r="T189" i="1"/>
  <c r="S57" i="1"/>
  <c r="V10" i="1"/>
  <c r="T10" i="1"/>
  <c r="U10" i="1"/>
  <c r="R10" i="1"/>
  <c r="V46" i="1"/>
  <c r="S46" i="1"/>
  <c r="T46" i="1"/>
  <c r="U46" i="1"/>
  <c r="V58" i="1"/>
  <c r="R58" i="1"/>
  <c r="S58" i="1"/>
  <c r="T58" i="1"/>
  <c r="S94" i="1"/>
  <c r="T94" i="1"/>
  <c r="U94" i="1"/>
  <c r="V94" i="1"/>
  <c r="U130" i="1"/>
  <c r="V130" i="1"/>
  <c r="T166" i="1"/>
  <c r="S166" i="1"/>
  <c r="U166" i="1"/>
  <c r="V166" i="1"/>
  <c r="R166" i="1"/>
  <c r="R202" i="1"/>
  <c r="S202" i="1"/>
  <c r="R226" i="1"/>
  <c r="R262" i="1"/>
  <c r="S262" i="1"/>
  <c r="T262" i="1"/>
  <c r="T298" i="1"/>
  <c r="U298" i="1"/>
  <c r="T238" i="1"/>
  <c r="R57" i="1"/>
  <c r="R23" i="1"/>
  <c r="S23" i="1"/>
  <c r="R59" i="1"/>
  <c r="S59" i="1"/>
  <c r="T59" i="1"/>
  <c r="U59" i="1"/>
  <c r="V59" i="1"/>
  <c r="V13" i="1"/>
  <c r="R13" i="1"/>
  <c r="S13" i="1"/>
  <c r="T13" i="1"/>
  <c r="V25" i="1"/>
  <c r="R25" i="1"/>
  <c r="S25" i="1"/>
  <c r="T25" i="1"/>
  <c r="U25" i="1"/>
  <c r="V37" i="1"/>
  <c r="S37" i="1"/>
  <c r="T37" i="1"/>
  <c r="U37" i="1"/>
  <c r="R37" i="1"/>
  <c r="V49" i="1"/>
  <c r="S49" i="1"/>
  <c r="T49" i="1"/>
  <c r="U49" i="1"/>
  <c r="S61" i="1"/>
  <c r="U61" i="1"/>
  <c r="V61" i="1"/>
  <c r="R73" i="1"/>
  <c r="T73" i="1"/>
  <c r="U73" i="1"/>
  <c r="V73" i="1"/>
  <c r="S85" i="1"/>
  <c r="T85" i="1"/>
  <c r="U85" i="1"/>
  <c r="V85" i="1"/>
  <c r="U97" i="1"/>
  <c r="V97" i="1"/>
  <c r="T97" i="1"/>
  <c r="R97" i="1"/>
  <c r="U109" i="1"/>
  <c r="R109" i="1"/>
  <c r="T121" i="1"/>
  <c r="U121" i="1"/>
  <c r="R133" i="1"/>
  <c r="U133" i="1"/>
  <c r="T133" i="1"/>
  <c r="V133" i="1"/>
  <c r="T145" i="1"/>
  <c r="U145" i="1"/>
  <c r="V145" i="1"/>
  <c r="T157" i="1"/>
  <c r="U157" i="1"/>
  <c r="T169" i="1"/>
  <c r="R169" i="1"/>
  <c r="U169" i="1"/>
  <c r="R181" i="1"/>
  <c r="S181" i="1"/>
  <c r="S193" i="1"/>
  <c r="T193" i="1"/>
  <c r="U193" i="1"/>
  <c r="R205" i="1"/>
  <c r="R217" i="1"/>
  <c r="S217" i="1"/>
  <c r="T217" i="1"/>
  <c r="U217" i="1"/>
  <c r="R229" i="1"/>
  <c r="R241" i="1"/>
  <c r="U241" i="1"/>
  <c r="R253" i="1"/>
  <c r="S253" i="1"/>
  <c r="T253" i="1"/>
  <c r="U253" i="1"/>
  <c r="U265" i="1"/>
  <c r="V277" i="1"/>
  <c r="R301" i="1"/>
  <c r="S301" i="1"/>
  <c r="U313" i="1"/>
  <c r="V313" i="1"/>
  <c r="T441" i="1"/>
  <c r="R430" i="1"/>
  <c r="S409" i="1"/>
  <c r="T407" i="1"/>
  <c r="T405" i="1"/>
  <c r="R394" i="1"/>
  <c r="R371" i="1"/>
  <c r="T370" i="1"/>
  <c r="R359" i="1"/>
  <c r="T358" i="1"/>
  <c r="R347" i="1"/>
  <c r="T346" i="1"/>
  <c r="R335" i="1"/>
  <c r="T334" i="1"/>
  <c r="S325" i="1"/>
  <c r="T324" i="1"/>
  <c r="U322" i="1"/>
  <c r="T301" i="1"/>
  <c r="R300" i="1"/>
  <c r="S299" i="1"/>
  <c r="V298" i="1"/>
  <c r="T297" i="1"/>
  <c r="R277" i="1"/>
  <c r="T264" i="1"/>
  <c r="V263" i="1"/>
  <c r="V249" i="1"/>
  <c r="T225" i="1"/>
  <c r="T203" i="1"/>
  <c r="T202" i="1"/>
  <c r="S180" i="1"/>
  <c r="U143" i="1"/>
  <c r="S141" i="1"/>
  <c r="S108" i="1"/>
  <c r="F53" i="5"/>
  <c r="F52" i="5"/>
  <c r="F51" i="5"/>
  <c r="E15" i="23"/>
  <c r="E36" i="23" s="1"/>
  <c r="F15" i="23"/>
  <c r="G15" i="23"/>
  <c r="H15" i="23"/>
  <c r="I15" i="23"/>
  <c r="E8" i="23"/>
  <c r="F8" i="23"/>
  <c r="G8" i="23"/>
  <c r="H8" i="23"/>
  <c r="I8" i="23"/>
  <c r="N6" i="1"/>
  <c r="N7" i="1"/>
  <c r="N8" i="1"/>
  <c r="N9" i="1"/>
  <c r="N10" i="1"/>
  <c r="S10" i="1" s="1"/>
  <c r="N11" i="1"/>
  <c r="N12" i="1"/>
  <c r="N13" i="1"/>
  <c r="N14" i="1"/>
  <c r="N15" i="1"/>
  <c r="N16" i="1"/>
  <c r="N17" i="1"/>
  <c r="N18" i="1"/>
  <c r="R18" i="1" s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T32" i="1" s="1"/>
  <c r="N33" i="1"/>
  <c r="N34" i="1"/>
  <c r="N35" i="1"/>
  <c r="S35" i="1" s="1"/>
  <c r="N36" i="1"/>
  <c r="N37" i="1"/>
  <c r="N38" i="1"/>
  <c r="N39" i="1"/>
  <c r="S39" i="1" s="1"/>
  <c r="N40" i="1"/>
  <c r="N41" i="1"/>
  <c r="R41" i="1" s="1"/>
  <c r="N42" i="1"/>
  <c r="N43" i="1"/>
  <c r="N44" i="1"/>
  <c r="N45" i="1"/>
  <c r="N46" i="1"/>
  <c r="N47" i="1"/>
  <c r="N48" i="1"/>
  <c r="R48" i="1" s="1"/>
  <c r="N49" i="1"/>
  <c r="R49" i="1" s="1"/>
  <c r="N50" i="1"/>
  <c r="R50" i="1" s="1"/>
  <c r="N51" i="1"/>
  <c r="N52" i="1"/>
  <c r="N53" i="1"/>
  <c r="R53" i="1" s="1"/>
  <c r="N54" i="1"/>
  <c r="N55" i="1"/>
  <c r="N56" i="1"/>
  <c r="N57" i="1"/>
  <c r="N58" i="1"/>
  <c r="N59" i="1"/>
  <c r="N60" i="1"/>
  <c r="N61" i="1"/>
  <c r="T61" i="1" s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T76" i="1" s="1"/>
  <c r="N77" i="1"/>
  <c r="N78" i="1"/>
  <c r="N79" i="1"/>
  <c r="R79" i="1" s="1"/>
  <c r="N80" i="1"/>
  <c r="N81" i="1"/>
  <c r="N82" i="1"/>
  <c r="N83" i="1"/>
  <c r="N84" i="1"/>
  <c r="N85" i="1"/>
  <c r="N86" i="1"/>
  <c r="S86" i="1" s="1"/>
  <c r="N87" i="1"/>
  <c r="N88" i="1"/>
  <c r="N89" i="1"/>
  <c r="N90" i="1"/>
  <c r="R90" i="1" s="1"/>
  <c r="N91" i="1"/>
  <c r="N92" i="1"/>
  <c r="N93" i="1"/>
  <c r="N94" i="1"/>
  <c r="N95" i="1"/>
  <c r="N96" i="1"/>
  <c r="N97" i="1"/>
  <c r="N98" i="1"/>
  <c r="N99" i="1"/>
  <c r="U99" i="1" s="1"/>
  <c r="N100" i="1"/>
  <c r="U100" i="1" s="1"/>
  <c r="N101" i="1"/>
  <c r="U101" i="1" s="1"/>
  <c r="N102" i="1"/>
  <c r="U102" i="1" s="1"/>
  <c r="N103" i="1"/>
  <c r="U103" i="1" s="1"/>
  <c r="N104" i="1"/>
  <c r="V104" i="1" s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V117" i="1" s="1"/>
  <c r="N118" i="1"/>
  <c r="N119" i="1"/>
  <c r="N120" i="1"/>
  <c r="V120" i="1" s="1"/>
  <c r="N121" i="1"/>
  <c r="V121" i="1" s="1"/>
  <c r="N122" i="1"/>
  <c r="V122" i="1" s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R140" i="1" s="1"/>
  <c r="N141" i="1"/>
  <c r="N142" i="1"/>
  <c r="N143" i="1"/>
  <c r="N144" i="1"/>
  <c r="V144" i="1" s="1"/>
  <c r="N145" i="1"/>
  <c r="N146" i="1"/>
  <c r="N147" i="1"/>
  <c r="N148" i="1"/>
  <c r="N149" i="1"/>
  <c r="N150" i="1"/>
  <c r="N151" i="1"/>
  <c r="N152" i="1"/>
  <c r="N153" i="1"/>
  <c r="N154" i="1"/>
  <c r="N155" i="1"/>
  <c r="N156" i="1"/>
  <c r="R156" i="1" s="1"/>
  <c r="N157" i="1"/>
  <c r="R157" i="1" s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T178" i="1" s="1"/>
  <c r="N179" i="1"/>
  <c r="N180" i="1"/>
  <c r="N181" i="1"/>
  <c r="N182" i="1"/>
  <c r="T182" i="1" s="1"/>
  <c r="N183" i="1"/>
  <c r="N184" i="1"/>
  <c r="T184" i="1" s="1"/>
  <c r="N185" i="1"/>
  <c r="T185" i="1" s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S199" i="1" s="1"/>
  <c r="N200" i="1"/>
  <c r="N201" i="1"/>
  <c r="N202" i="1"/>
  <c r="N203" i="1"/>
  <c r="N204" i="1"/>
  <c r="N205" i="1"/>
  <c r="U205" i="1" s="1"/>
  <c r="N206" i="1"/>
  <c r="N207" i="1"/>
  <c r="N208" i="1"/>
  <c r="N209" i="1"/>
  <c r="N210" i="1"/>
  <c r="U210" i="1" s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T223" i="1" s="1"/>
  <c r="N224" i="1"/>
  <c r="N225" i="1"/>
  <c r="N226" i="1"/>
  <c r="V226" i="1" s="1"/>
  <c r="N227" i="1"/>
  <c r="N228" i="1"/>
  <c r="N229" i="1"/>
  <c r="N230" i="1"/>
  <c r="N231" i="1"/>
  <c r="N232" i="1"/>
  <c r="U232" i="1" s="1"/>
  <c r="N233" i="1"/>
  <c r="N234" i="1"/>
  <c r="N235" i="1"/>
  <c r="U235" i="1" s="1"/>
  <c r="N236" i="1"/>
  <c r="N237" i="1"/>
  <c r="N238" i="1"/>
  <c r="U238" i="1" s="1"/>
  <c r="N239" i="1"/>
  <c r="N240" i="1"/>
  <c r="N241" i="1"/>
  <c r="N242" i="1"/>
  <c r="N243" i="1"/>
  <c r="N244" i="1"/>
  <c r="N245" i="1"/>
  <c r="V245" i="1" s="1"/>
  <c r="N246" i="1"/>
  <c r="N247" i="1"/>
  <c r="N248" i="1"/>
  <c r="V248" i="1" s="1"/>
  <c r="N249" i="1"/>
  <c r="N250" i="1"/>
  <c r="U250" i="1" s="1"/>
  <c r="N251" i="1"/>
  <c r="N252" i="1"/>
  <c r="N253" i="1"/>
  <c r="N254" i="1"/>
  <c r="N255" i="1"/>
  <c r="N256" i="1"/>
  <c r="U256" i="1" s="1"/>
  <c r="N257" i="1"/>
  <c r="U257" i="1" s="1"/>
  <c r="N258" i="1"/>
  <c r="N259" i="1"/>
  <c r="U259" i="1" s="1"/>
  <c r="N260" i="1"/>
  <c r="N261" i="1"/>
  <c r="N262" i="1"/>
  <c r="N263" i="1"/>
  <c r="N264" i="1"/>
  <c r="N265" i="1"/>
  <c r="V265" i="1" s="1"/>
  <c r="N266" i="1"/>
  <c r="N267" i="1"/>
  <c r="N268" i="1"/>
  <c r="N269" i="1"/>
  <c r="V269" i="1" s="1"/>
  <c r="N270" i="1"/>
  <c r="N271" i="1"/>
  <c r="N272" i="1"/>
  <c r="N273" i="1"/>
  <c r="V273" i="1" s="1"/>
  <c r="N274" i="1"/>
  <c r="N275" i="1"/>
  <c r="V275" i="1" s="1"/>
  <c r="N276" i="1"/>
  <c r="N277" i="1"/>
  <c r="N278" i="1"/>
  <c r="N279" i="1"/>
  <c r="N280" i="1"/>
  <c r="U280" i="1" s="1"/>
  <c r="N281" i="1"/>
  <c r="N282" i="1"/>
  <c r="N283" i="1"/>
  <c r="V283" i="1" s="1"/>
  <c r="N284" i="1"/>
  <c r="U284" i="1" s="1"/>
  <c r="N285" i="1"/>
  <c r="N286" i="1"/>
  <c r="N287" i="1"/>
  <c r="N288" i="1"/>
  <c r="V288" i="1" s="1"/>
  <c r="N289" i="1"/>
  <c r="N290" i="1"/>
  <c r="S290" i="1" s="1"/>
  <c r="N291" i="1"/>
  <c r="S291" i="1" s="1"/>
  <c r="N292" i="1"/>
  <c r="S292" i="1" s="1"/>
  <c r="N293" i="1"/>
  <c r="U293" i="1" s="1"/>
  <c r="N294" i="1"/>
  <c r="U294" i="1" s="1"/>
  <c r="N295" i="1"/>
  <c r="T295" i="1" s="1"/>
  <c r="N296" i="1"/>
  <c r="S296" i="1" s="1"/>
  <c r="N297" i="1"/>
  <c r="N298" i="1"/>
  <c r="N299" i="1"/>
  <c r="T299" i="1" s="1"/>
  <c r="N300" i="1"/>
  <c r="N301" i="1"/>
  <c r="V301" i="1" s="1"/>
  <c r="N302" i="1"/>
  <c r="V302" i="1" s="1"/>
  <c r="N303" i="1"/>
  <c r="V303" i="1" s="1"/>
  <c r="N304" i="1"/>
  <c r="N305" i="1"/>
  <c r="V305" i="1" s="1"/>
  <c r="N306" i="1"/>
  <c r="V306" i="1" s="1"/>
  <c r="N307" i="1"/>
  <c r="V307" i="1" s="1"/>
  <c r="N308" i="1"/>
  <c r="V308" i="1" s="1"/>
  <c r="N309" i="1"/>
  <c r="V309" i="1" s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V323" i="1" s="1"/>
  <c r="N324" i="1"/>
  <c r="N325" i="1"/>
  <c r="N326" i="1"/>
  <c r="N327" i="1"/>
  <c r="N328" i="1"/>
  <c r="N329" i="1"/>
  <c r="N330" i="1"/>
  <c r="N331" i="1"/>
  <c r="N332" i="1"/>
  <c r="R332" i="1" s="1"/>
  <c r="N333" i="1"/>
  <c r="N334" i="1"/>
  <c r="N335" i="1"/>
  <c r="T335" i="1" s="1"/>
  <c r="N336" i="1"/>
  <c r="N337" i="1"/>
  <c r="S337" i="1" s="1"/>
  <c r="N338" i="1"/>
  <c r="R338" i="1" s="1"/>
  <c r="N339" i="1"/>
  <c r="V339" i="1" s="1"/>
  <c r="N340" i="1"/>
  <c r="V340" i="1" s="1"/>
  <c r="N341" i="1"/>
  <c r="V341" i="1" s="1"/>
  <c r="N342" i="1"/>
  <c r="V342" i="1" s="1"/>
  <c r="N343" i="1"/>
  <c r="V343" i="1" s="1"/>
  <c r="N344" i="1"/>
  <c r="N345" i="1"/>
  <c r="R345" i="1" s="1"/>
  <c r="N346" i="1"/>
  <c r="V346" i="1" s="1"/>
  <c r="N347" i="1"/>
  <c r="N348" i="1"/>
  <c r="N349" i="1"/>
  <c r="N350" i="1"/>
  <c r="N351" i="1"/>
  <c r="N352" i="1"/>
  <c r="N353" i="1"/>
  <c r="V353" i="1" s="1"/>
  <c r="N354" i="1"/>
  <c r="V354" i="1" s="1"/>
  <c r="N355" i="1"/>
  <c r="V355" i="1" s="1"/>
  <c r="N356" i="1"/>
  <c r="N357" i="1"/>
  <c r="V357" i="1" s="1"/>
  <c r="N358" i="1"/>
  <c r="N359" i="1"/>
  <c r="V359" i="1" s="1"/>
  <c r="N360" i="1"/>
  <c r="N361" i="1"/>
  <c r="N362" i="1"/>
  <c r="N363" i="1"/>
  <c r="N364" i="1"/>
  <c r="V364" i="1" s="1"/>
  <c r="N365" i="1"/>
  <c r="U365" i="1" s="1"/>
  <c r="N366" i="1"/>
  <c r="N367" i="1"/>
  <c r="N368" i="1"/>
  <c r="R368" i="1" s="1"/>
  <c r="N369" i="1"/>
  <c r="N370" i="1"/>
  <c r="N371" i="1"/>
  <c r="N372" i="1"/>
  <c r="N373" i="1"/>
  <c r="V373" i="1" s="1"/>
  <c r="N374" i="1"/>
  <c r="V374" i="1" s="1"/>
  <c r="N375" i="1"/>
  <c r="N376" i="1"/>
  <c r="N377" i="1"/>
  <c r="V377" i="1" s="1"/>
  <c r="N378" i="1"/>
  <c r="N379" i="1"/>
  <c r="N380" i="1"/>
  <c r="N381" i="1"/>
  <c r="N382" i="1"/>
  <c r="N383" i="1"/>
  <c r="N384" i="1"/>
  <c r="V384" i="1" s="1"/>
  <c r="N385" i="1"/>
  <c r="V385" i="1" s="1"/>
  <c r="N386" i="1"/>
  <c r="N387" i="1"/>
  <c r="N388" i="1"/>
  <c r="R388" i="1" s="1"/>
  <c r="N389" i="1"/>
  <c r="V389" i="1" s="1"/>
  <c r="N390" i="1"/>
  <c r="N391" i="1"/>
  <c r="N392" i="1"/>
  <c r="N393" i="1"/>
  <c r="N394" i="1"/>
  <c r="N395" i="1"/>
  <c r="N396" i="1"/>
  <c r="N397" i="1"/>
  <c r="N398" i="1"/>
  <c r="N399" i="1"/>
  <c r="N400" i="1"/>
  <c r="N401" i="1"/>
  <c r="U401" i="1" s="1"/>
  <c r="N402" i="1"/>
  <c r="N403" i="1"/>
  <c r="U403" i="1" s="1"/>
  <c r="N404" i="1"/>
  <c r="U404" i="1" s="1"/>
  <c r="N405" i="1"/>
  <c r="N406" i="1"/>
  <c r="N407" i="1"/>
  <c r="N408" i="1"/>
  <c r="N409" i="1"/>
  <c r="R409" i="1" s="1"/>
  <c r="N410" i="1"/>
  <c r="V410" i="1" s="1"/>
  <c r="N411" i="1"/>
  <c r="N412" i="1"/>
  <c r="R412" i="1" s="1"/>
  <c r="N413" i="1"/>
  <c r="S413" i="1" s="1"/>
  <c r="N414" i="1"/>
  <c r="R414" i="1" s="1"/>
  <c r="N415" i="1"/>
  <c r="R415" i="1" s="1"/>
  <c r="N416" i="1"/>
  <c r="S416" i="1" s="1"/>
  <c r="N417" i="1"/>
  <c r="S417" i="1" s="1"/>
  <c r="N418" i="1"/>
  <c r="N419" i="1"/>
  <c r="V419" i="1" s="1"/>
  <c r="N420" i="1"/>
  <c r="N421" i="1"/>
  <c r="N422" i="1"/>
  <c r="N423" i="1"/>
  <c r="N424" i="1"/>
  <c r="V424" i="1" s="1"/>
  <c r="N425" i="1"/>
  <c r="N426" i="1"/>
  <c r="N427" i="1"/>
  <c r="V427" i="1" s="1"/>
  <c r="N428" i="1"/>
  <c r="N429" i="1"/>
  <c r="V429" i="1" s="1"/>
  <c r="N430" i="1"/>
  <c r="N431" i="1"/>
  <c r="V431" i="1" s="1"/>
  <c r="N432" i="1"/>
  <c r="N433" i="1"/>
  <c r="R433" i="1" s="1"/>
  <c r="N434" i="1"/>
  <c r="N435" i="1"/>
  <c r="N436" i="1"/>
  <c r="N437" i="1"/>
  <c r="V437" i="1" s="1"/>
  <c r="N438" i="1"/>
  <c r="N439" i="1"/>
  <c r="V439" i="1" s="1"/>
  <c r="N440" i="1"/>
  <c r="N441" i="1"/>
  <c r="N442" i="1"/>
  <c r="N443" i="1"/>
  <c r="N444" i="1"/>
  <c r="N445" i="1"/>
  <c r="R445" i="1" s="1"/>
  <c r="N446" i="1"/>
  <c r="N447" i="1"/>
  <c r="N448" i="1"/>
  <c r="N449" i="1"/>
  <c r="N450" i="1"/>
  <c r="N451" i="1"/>
  <c r="N452" i="1"/>
  <c r="N453" i="1"/>
  <c r="N454" i="1"/>
  <c r="N455" i="1"/>
  <c r="N456" i="1"/>
  <c r="N457" i="1"/>
  <c r="V457" i="1" s="1"/>
  <c r="N458" i="1"/>
  <c r="N459" i="1"/>
  <c r="N460" i="1"/>
  <c r="V460" i="1" s="1"/>
  <c r="E6" i="23"/>
  <c r="I17" i="23"/>
  <c r="H17" i="23"/>
  <c r="G17" i="23"/>
  <c r="F17" i="23"/>
  <c r="E17" i="23"/>
  <c r="E38" i="23" s="1"/>
  <c r="I16" i="23"/>
  <c r="H16" i="23"/>
  <c r="G16" i="23"/>
  <c r="F16" i="23"/>
  <c r="E16" i="23"/>
  <c r="E30" i="23" s="1"/>
  <c r="I14" i="23"/>
  <c r="H14" i="23"/>
  <c r="G14" i="23"/>
  <c r="F14" i="23"/>
  <c r="E14" i="23"/>
  <c r="E28" i="23" s="1"/>
  <c r="I13" i="23"/>
  <c r="H13" i="23"/>
  <c r="G13" i="23"/>
  <c r="F13" i="23"/>
  <c r="E13" i="23"/>
  <c r="E34" i="23" s="1"/>
  <c r="I10" i="23"/>
  <c r="H10" i="23"/>
  <c r="G10" i="23"/>
  <c r="F10" i="23"/>
  <c r="E10" i="23"/>
  <c r="I9" i="23"/>
  <c r="H9" i="23"/>
  <c r="G9" i="23"/>
  <c r="F9" i="23"/>
  <c r="E9" i="23"/>
  <c r="I7" i="23"/>
  <c r="H7" i="23"/>
  <c r="G7" i="23"/>
  <c r="F7" i="23"/>
  <c r="E7" i="23"/>
  <c r="I6" i="23"/>
  <c r="H6" i="23"/>
  <c r="G6" i="23"/>
  <c r="F6" i="23"/>
  <c r="Q23" i="4"/>
  <c r="P23" i="4"/>
  <c r="O23" i="4"/>
  <c r="N23" i="4"/>
  <c r="M23" i="4"/>
  <c r="Q22" i="4"/>
  <c r="P22" i="4"/>
  <c r="O22" i="4"/>
  <c r="N22" i="4"/>
  <c r="M22" i="4"/>
  <c r="Q21" i="4"/>
  <c r="P21" i="4"/>
  <c r="O21" i="4"/>
  <c r="N21" i="4"/>
  <c r="M21" i="4"/>
  <c r="Q20" i="4"/>
  <c r="P20" i="4"/>
  <c r="O20" i="4"/>
  <c r="N20" i="4"/>
  <c r="M20" i="4"/>
  <c r="Q19" i="4"/>
  <c r="P19" i="4"/>
  <c r="O19" i="4"/>
  <c r="N19" i="4"/>
  <c r="M19" i="4"/>
  <c r="Q18" i="4"/>
  <c r="P18" i="4"/>
  <c r="O18" i="4"/>
  <c r="N18" i="4"/>
  <c r="M18" i="4"/>
  <c r="Q17" i="4"/>
  <c r="P17" i="4"/>
  <c r="O17" i="4"/>
  <c r="N17" i="4"/>
  <c r="M17" i="4"/>
  <c r="Q16" i="4"/>
  <c r="P16" i="4"/>
  <c r="O16" i="4"/>
  <c r="N16" i="4"/>
  <c r="M16" i="4"/>
  <c r="Q15" i="4"/>
  <c r="P15" i="4"/>
  <c r="O15" i="4"/>
  <c r="N15" i="4"/>
  <c r="M15" i="4"/>
  <c r="Q14" i="4"/>
  <c r="P14" i="4"/>
  <c r="O14" i="4"/>
  <c r="N14" i="4"/>
  <c r="M14" i="4"/>
  <c r="Q13" i="4"/>
  <c r="P13" i="4"/>
  <c r="O13" i="4"/>
  <c r="N13" i="4"/>
  <c r="M13" i="4"/>
  <c r="Q12" i="4"/>
  <c r="P12" i="4"/>
  <c r="O12" i="4"/>
  <c r="N12" i="4"/>
  <c r="M12" i="4"/>
  <c r="Q11" i="4"/>
  <c r="P11" i="4"/>
  <c r="O11" i="4"/>
  <c r="N11" i="4"/>
  <c r="M11" i="4"/>
  <c r="Q10" i="4"/>
  <c r="P10" i="4"/>
  <c r="O10" i="4"/>
  <c r="N10" i="4"/>
  <c r="M10" i="4"/>
  <c r="Q9" i="4"/>
  <c r="P9" i="4"/>
  <c r="O9" i="4"/>
  <c r="N9" i="4"/>
  <c r="M9" i="4"/>
  <c r="Q8" i="4"/>
  <c r="P8" i="4"/>
  <c r="O8" i="4"/>
  <c r="N8" i="4"/>
  <c r="M8" i="4"/>
  <c r="I22" i="4"/>
  <c r="H22" i="4"/>
  <c r="G22" i="4"/>
  <c r="F22" i="4"/>
  <c r="E22" i="4"/>
  <c r="I21" i="4"/>
  <c r="H21" i="4"/>
  <c r="G21" i="4"/>
  <c r="F21" i="4"/>
  <c r="E21" i="4"/>
  <c r="I19" i="4"/>
  <c r="H19" i="4"/>
  <c r="G19" i="4"/>
  <c r="F19" i="4"/>
  <c r="E19" i="4"/>
  <c r="I18" i="4"/>
  <c r="H18" i="4"/>
  <c r="G18" i="4"/>
  <c r="F18" i="4"/>
  <c r="E18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2" i="4"/>
  <c r="H12" i="4"/>
  <c r="G12" i="4"/>
  <c r="F12" i="4"/>
  <c r="E12" i="4"/>
  <c r="V412" i="1" l="1"/>
  <c r="V244" i="1"/>
  <c r="S16" i="1"/>
  <c r="R436" i="1"/>
  <c r="V329" i="1"/>
  <c r="R196" i="1"/>
  <c r="V197" i="1"/>
  <c r="V304" i="1"/>
  <c r="U400" i="1"/>
  <c r="V352" i="1"/>
  <c r="U233" i="1"/>
  <c r="V328" i="1"/>
  <c r="V196" i="1"/>
  <c r="V281" i="1"/>
  <c r="V282" i="1"/>
  <c r="U234" i="1"/>
  <c r="V268" i="1"/>
  <c r="U209" i="1"/>
  <c r="T65" i="1"/>
  <c r="V378" i="1"/>
  <c r="V330" i="1"/>
  <c r="V376" i="1"/>
  <c r="V449" i="1"/>
  <c r="V388" i="1"/>
  <c r="V316" i="1"/>
  <c r="R78" i="1"/>
  <c r="S421" i="1"/>
  <c r="V438" i="1"/>
  <c r="R448" i="1"/>
  <c r="V422" i="1"/>
  <c r="V110" i="1"/>
  <c r="U450" i="1"/>
  <c r="U261" i="1"/>
  <c r="V115" i="1"/>
  <c r="V392" i="1"/>
  <c r="R94" i="1"/>
  <c r="V382" i="1"/>
  <c r="R320" i="1"/>
  <c r="V318" i="1"/>
  <c r="R138" i="1"/>
  <c r="V224" i="1"/>
  <c r="U208" i="1"/>
  <c r="V425" i="1"/>
  <c r="V360" i="1"/>
  <c r="V271" i="1"/>
  <c r="U236" i="1"/>
  <c r="T200" i="1"/>
  <c r="V270" i="1"/>
  <c r="U203" i="1"/>
  <c r="U393" i="1"/>
  <c r="R93" i="1"/>
  <c r="V221" i="1"/>
  <c r="R17" i="1"/>
  <c r="V356" i="1"/>
  <c r="V246" i="1"/>
  <c r="V285" i="1"/>
  <c r="V215" i="1"/>
  <c r="V440" i="1"/>
  <c r="T213" i="1"/>
  <c r="R141" i="1"/>
  <c r="R197" i="1"/>
  <c r="R137" i="1"/>
  <c r="S160" i="1"/>
  <c r="V220" i="1"/>
  <c r="U430" i="1"/>
  <c r="U212" i="1"/>
  <c r="R153" i="1"/>
  <c r="S95" i="1"/>
  <c r="V225" i="1"/>
  <c r="E22" i="23"/>
  <c r="S88" i="1"/>
  <c r="S52" i="1"/>
  <c r="V459" i="1"/>
  <c r="V320" i="1"/>
  <c r="V247" i="1"/>
  <c r="R366" i="1"/>
  <c r="R155" i="1"/>
  <c r="V441" i="1"/>
  <c r="R154" i="1"/>
  <c r="R56" i="1"/>
  <c r="U325" i="1"/>
  <c r="U317" i="1"/>
  <c r="U326" i="1"/>
  <c r="V92" i="1"/>
  <c r="T453" i="1"/>
  <c r="R321" i="1"/>
  <c r="V423" i="1"/>
  <c r="U351" i="1"/>
  <c r="U267" i="1"/>
  <c r="U195" i="1"/>
  <c r="T183" i="1"/>
  <c r="R159" i="1"/>
  <c r="S87" i="1"/>
  <c r="S15" i="1"/>
  <c r="T300" i="1"/>
  <c r="R443" i="1"/>
  <c r="V383" i="1"/>
  <c r="V371" i="1"/>
  <c r="V347" i="1"/>
  <c r="U263" i="1"/>
  <c r="V251" i="1"/>
  <c r="V227" i="1"/>
  <c r="R191" i="1"/>
  <c r="R143" i="1"/>
  <c r="R47" i="1"/>
  <c r="V264" i="1"/>
  <c r="V442" i="1"/>
  <c r="U406" i="1"/>
  <c r="U394" i="1"/>
  <c r="V370" i="1"/>
  <c r="R334" i="1"/>
  <c r="U262" i="1"/>
  <c r="R142" i="1"/>
  <c r="V118" i="1"/>
  <c r="V106" i="1"/>
  <c r="V312" i="1"/>
  <c r="U207" i="1"/>
  <c r="V191" i="1"/>
  <c r="T336" i="1"/>
  <c r="V240" i="1"/>
  <c r="U327" i="1"/>
  <c r="S171" i="1"/>
  <c r="T310" i="1"/>
  <c r="U455" i="1"/>
  <c r="V192" i="1"/>
  <c r="R447" i="1"/>
  <c r="R435" i="1"/>
  <c r="V435" i="1"/>
  <c r="V411" i="1"/>
  <c r="V399" i="1"/>
  <c r="V387" i="1"/>
  <c r="U363" i="1"/>
  <c r="V315" i="1"/>
  <c r="U255" i="1"/>
  <c r="V243" i="1"/>
  <c r="V219" i="1"/>
  <c r="R51" i="1"/>
  <c r="V458" i="1"/>
  <c r="V434" i="1"/>
  <c r="U350" i="1"/>
  <c r="V266" i="1"/>
  <c r="R38" i="1"/>
  <c r="R146" i="1"/>
  <c r="R444" i="1"/>
  <c r="V396" i="1"/>
  <c r="R348" i="1"/>
  <c r="U276" i="1"/>
  <c r="V228" i="1"/>
  <c r="U204" i="1"/>
  <c r="V108" i="1"/>
  <c r="S63" i="1"/>
  <c r="U361" i="1"/>
  <c r="V407" i="1"/>
  <c r="V231" i="1"/>
  <c r="R158" i="1"/>
  <c r="V311" i="1"/>
  <c r="V119" i="1"/>
  <c r="V111" i="1"/>
  <c r="R323" i="1"/>
  <c r="V230" i="1"/>
  <c r="V418" i="1"/>
  <c r="R322" i="1"/>
  <c r="V286" i="1"/>
  <c r="R408" i="1"/>
  <c r="V107" i="1"/>
  <c r="V375" i="1"/>
  <c r="U279" i="1"/>
  <c r="R446" i="1"/>
  <c r="V287" i="1"/>
  <c r="S386" i="1"/>
  <c r="V395" i="1"/>
  <c r="U398" i="1"/>
  <c r="R362" i="1"/>
  <c r="V314" i="1"/>
  <c r="U254" i="1"/>
  <c r="V242" i="1"/>
  <c r="V218" i="1"/>
  <c r="U206" i="1"/>
  <c r="T74" i="1"/>
  <c r="U194" i="1"/>
  <c r="V433" i="1"/>
  <c r="V397" i="1"/>
  <c r="R349" i="1"/>
  <c r="V349" i="1"/>
  <c r="R313" i="1"/>
  <c r="V289" i="1"/>
  <c r="U277" i="1"/>
  <c r="V253" i="1"/>
  <c r="V241" i="1"/>
  <c r="V229" i="1"/>
  <c r="V193" i="1"/>
  <c r="V109" i="1"/>
  <c r="R85" i="1"/>
  <c r="S73" i="1"/>
  <c r="U13" i="1"/>
  <c r="V456" i="1"/>
  <c r="V432" i="1"/>
  <c r="V420" i="1"/>
  <c r="V372" i="1"/>
  <c r="V216" i="1"/>
  <c r="R192" i="1"/>
  <c r="S96" i="1"/>
  <c r="U252" i="1"/>
  <c r="S169" i="1"/>
  <c r="T454" i="1"/>
  <c r="V358" i="1"/>
  <c r="V322" i="1"/>
  <c r="S298" i="1"/>
  <c r="V274" i="1"/>
  <c r="V214" i="1"/>
  <c r="V202" i="1"/>
  <c r="R46" i="1"/>
  <c r="V239" i="1"/>
  <c r="U278" i="1"/>
  <c r="V217" i="1"/>
  <c r="R193" i="1"/>
  <c r="U324" i="1"/>
  <c r="T190" i="1"/>
  <c r="T381" i="1"/>
  <c r="S297" i="1"/>
  <c r="U249" i="1"/>
  <c r="T452" i="1"/>
  <c r="V428" i="1"/>
  <c r="V380" i="1"/>
  <c r="V272" i="1"/>
  <c r="U260" i="1"/>
  <c r="R152" i="1"/>
  <c r="V116" i="1"/>
  <c r="U237" i="1"/>
  <c r="T451" i="1"/>
  <c r="U391" i="1"/>
  <c r="V379" i="1"/>
  <c r="R367" i="1"/>
  <c r="V319" i="1"/>
  <c r="U211" i="1"/>
  <c r="U187" i="1"/>
  <c r="R139" i="1"/>
  <c r="R91" i="1"/>
  <c r="T55" i="1"/>
  <c r="V321" i="1"/>
  <c r="T21" i="1"/>
  <c r="R331" i="1"/>
  <c r="T188" i="1"/>
  <c r="U189" i="1"/>
  <c r="V369" i="1"/>
  <c r="S201" i="1"/>
  <c r="V105" i="1"/>
  <c r="U405" i="1"/>
  <c r="R45" i="1"/>
  <c r="R344" i="1"/>
  <c r="R333" i="1"/>
  <c r="U258" i="1"/>
  <c r="U402" i="1"/>
  <c r="S198" i="1"/>
  <c r="V222" i="1"/>
  <c r="V426" i="1"/>
  <c r="U390" i="1"/>
  <c r="G22" i="23"/>
  <c r="F22" i="23"/>
  <c r="F36" i="23"/>
  <c r="G36" i="23" s="1"/>
  <c r="H36" i="23" s="1"/>
  <c r="I36" i="23" s="1"/>
  <c r="U10" i="4"/>
  <c r="U21" i="4"/>
  <c r="U67" i="4"/>
  <c r="U20" i="4"/>
  <c r="U8" i="4"/>
  <c r="U43" i="4"/>
  <c r="U61" i="4"/>
  <c r="U65" i="4"/>
  <c r="U64" i="4"/>
  <c r="U14" i="4"/>
  <c r="U37" i="4"/>
  <c r="U63" i="4"/>
  <c r="U12" i="4"/>
  <c r="U60" i="4"/>
  <c r="U41" i="4"/>
  <c r="U22" i="4"/>
  <c r="U40" i="4"/>
  <c r="U19" i="4"/>
  <c r="U39" i="4"/>
  <c r="U70" i="4"/>
  <c r="E29" i="23"/>
  <c r="F29" i="23" s="1"/>
  <c r="G29" i="23" s="1"/>
  <c r="H29" i="23" s="1"/>
  <c r="I29" i="23" s="1"/>
  <c r="I22" i="23"/>
  <c r="H22" i="23"/>
  <c r="F38" i="23"/>
  <c r="G38" i="23" s="1"/>
  <c r="H38" i="23" s="1"/>
  <c r="I38" i="23" s="1"/>
  <c r="K15" i="23"/>
  <c r="K8" i="23"/>
  <c r="F34" i="23"/>
  <c r="G34" i="23" s="1"/>
  <c r="H34" i="23" s="1"/>
  <c r="I34" i="23" s="1"/>
  <c r="E37" i="23"/>
  <c r="F37" i="23" s="1"/>
  <c r="G37" i="23" s="1"/>
  <c r="H37" i="23" s="1"/>
  <c r="I37" i="23" s="1"/>
  <c r="E35" i="23"/>
  <c r="F35" i="23" s="1"/>
  <c r="G35" i="23" s="1"/>
  <c r="H35" i="23" s="1"/>
  <c r="I35" i="23" s="1"/>
  <c r="U68" i="4"/>
  <c r="E21" i="23"/>
  <c r="G24" i="23"/>
  <c r="F21" i="23"/>
  <c r="H24" i="23"/>
  <c r="F30" i="23"/>
  <c r="G30" i="23" s="1"/>
  <c r="H30" i="23" s="1"/>
  <c r="I30" i="23" s="1"/>
  <c r="F18" i="23"/>
  <c r="H18" i="23"/>
  <c r="I18" i="23"/>
  <c r="F28" i="23"/>
  <c r="G28" i="23" s="1"/>
  <c r="G11" i="23"/>
  <c r="H11" i="23"/>
  <c r="I11" i="23"/>
  <c r="H20" i="23"/>
  <c r="E24" i="23"/>
  <c r="E18" i="23"/>
  <c r="G18" i="23"/>
  <c r="F11" i="23"/>
  <c r="G20" i="23"/>
  <c r="I23" i="23"/>
  <c r="E11" i="23"/>
  <c r="I20" i="23"/>
  <c r="F24" i="23"/>
  <c r="F23" i="23"/>
  <c r="G23" i="23"/>
  <c r="F20" i="23"/>
  <c r="H23" i="23"/>
  <c r="K7" i="23"/>
  <c r="K10" i="23"/>
  <c r="K16" i="23"/>
  <c r="I21" i="23"/>
  <c r="H21" i="23"/>
  <c r="K13" i="23"/>
  <c r="E23" i="23"/>
  <c r="K6" i="23"/>
  <c r="K17" i="23"/>
  <c r="G21" i="23"/>
  <c r="I24" i="23"/>
  <c r="E27" i="23"/>
  <c r="E54" i="23" s="1"/>
  <c r="K9" i="23"/>
  <c r="E31" i="23"/>
  <c r="F31" i="23" s="1"/>
  <c r="G31" i="23" s="1"/>
  <c r="H31" i="23" s="1"/>
  <c r="I31" i="23" s="1"/>
  <c r="K14" i="23"/>
  <c r="E20" i="23"/>
  <c r="K22" i="23" l="1"/>
  <c r="U71" i="4"/>
  <c r="U23" i="4"/>
  <c r="U38" i="4"/>
  <c r="U44" i="4"/>
  <c r="U15" i="4"/>
  <c r="U9" i="4"/>
  <c r="U18" i="4"/>
  <c r="U17" i="4"/>
  <c r="U16" i="4"/>
  <c r="U62" i="4"/>
  <c r="U36" i="4"/>
  <c r="U46" i="4"/>
  <c r="U74" i="4"/>
  <c r="U73" i="4"/>
  <c r="U72" i="4"/>
  <c r="U69" i="4"/>
  <c r="U66" i="4"/>
  <c r="U11" i="4"/>
  <c r="U42" i="4"/>
  <c r="U45" i="4"/>
  <c r="U49" i="4"/>
  <c r="U47" i="4"/>
  <c r="U34" i="4"/>
  <c r="U48" i="4"/>
  <c r="U35" i="4"/>
  <c r="U13" i="4"/>
  <c r="U75" i="4"/>
  <c r="E39" i="23"/>
  <c r="G39" i="23"/>
  <c r="F39" i="23"/>
  <c r="K21" i="23"/>
  <c r="K24" i="23"/>
  <c r="F25" i="23"/>
  <c r="K11" i="23"/>
  <c r="K18" i="23"/>
  <c r="F27" i="23"/>
  <c r="F54" i="23" s="1"/>
  <c r="E32" i="23"/>
  <c r="K23" i="23"/>
  <c r="E25" i="23"/>
  <c r="H25" i="23"/>
  <c r="I25" i="23"/>
  <c r="G25" i="23"/>
  <c r="H28" i="23"/>
  <c r="K20" i="23"/>
  <c r="U24" i="4" l="1"/>
  <c r="U76" i="4"/>
  <c r="U50" i="4"/>
  <c r="H39" i="23"/>
  <c r="I39" i="23"/>
  <c r="K25" i="23"/>
  <c r="G27" i="23"/>
  <c r="G54" i="23" s="1"/>
  <c r="F32" i="23"/>
  <c r="I28" i="23"/>
  <c r="H27" i="23" l="1"/>
  <c r="H54" i="23" s="1"/>
  <c r="G32" i="23"/>
  <c r="I27" i="23" l="1"/>
  <c r="H32" i="23"/>
  <c r="T11" i="5"/>
  <c r="U11" i="5"/>
  <c r="V11" i="5"/>
  <c r="W11" i="5"/>
  <c r="X11" i="5"/>
  <c r="Y11" i="5"/>
  <c r="Z11" i="5"/>
  <c r="AA11" i="5"/>
  <c r="I32" i="23" l="1"/>
  <c r="H40" i="23" s="1"/>
  <c r="I54" i="23"/>
  <c r="F87" i="5"/>
  <c r="F94" i="5"/>
  <c r="E37" i="9" s="1"/>
  <c r="G32" i="5"/>
  <c r="F39" i="5" s="1"/>
  <c r="G40" i="23" l="1"/>
  <c r="I40" i="23"/>
  <c r="F40" i="23"/>
  <c r="E40" i="23"/>
  <c r="K462" i="1"/>
  <c r="J462" i="1"/>
  <c r="I462" i="1"/>
  <c r="H462" i="1"/>
  <c r="G462" i="1"/>
  <c r="F6" i="5" l="1"/>
  <c r="F18" i="5" s="1"/>
  <c r="G30" i="5"/>
  <c r="G31" i="5"/>
  <c r="G29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F11" i="5"/>
  <c r="F23" i="5" l="1"/>
  <c r="F22" i="5"/>
  <c r="J23" i="5"/>
  <c r="J22" i="5"/>
  <c r="I23" i="5"/>
  <c r="I22" i="5"/>
  <c r="H22" i="5"/>
  <c r="H23" i="5"/>
  <c r="G24" i="5"/>
  <c r="H24" i="5"/>
  <c r="I24" i="5"/>
  <c r="J24" i="5"/>
  <c r="F24" i="5"/>
  <c r="G22" i="5"/>
  <c r="G23" i="5"/>
  <c r="F37" i="5"/>
  <c r="H37" i="5" s="1"/>
  <c r="J37" i="5" s="1"/>
  <c r="F38" i="5"/>
  <c r="H38" i="5" s="1"/>
  <c r="J38" i="5" s="1"/>
  <c r="H39" i="5"/>
  <c r="J39" i="5" s="1"/>
  <c r="F46" i="5" l="1"/>
  <c r="F45" i="5"/>
  <c r="F58" i="5" s="1"/>
  <c r="F44" i="5"/>
  <c r="F57" i="5" s="1"/>
  <c r="G45" i="5"/>
  <c r="G58" i="5" s="1"/>
  <c r="I46" i="5"/>
  <c r="G46" i="5"/>
  <c r="I44" i="5"/>
  <c r="I57" i="5" s="1"/>
  <c r="G44" i="5"/>
  <c r="G57" i="5" s="1"/>
  <c r="I45" i="5"/>
  <c r="I58" i="5" s="1"/>
  <c r="H46" i="5"/>
  <c r="J46" i="5"/>
  <c r="H45" i="5"/>
  <c r="H58" i="5" s="1"/>
  <c r="J44" i="5"/>
  <c r="J57" i="5" s="1"/>
  <c r="H44" i="5"/>
  <c r="H57" i="5" s="1"/>
  <c r="J45" i="5"/>
  <c r="J58" i="5" s="1"/>
  <c r="I48" i="4" l="1"/>
  <c r="I74" i="4" s="1"/>
  <c r="H48" i="4"/>
  <c r="H74" i="4" s="1"/>
  <c r="G48" i="4"/>
  <c r="G74" i="4" s="1"/>
  <c r="F48" i="4"/>
  <c r="F74" i="4" s="1"/>
  <c r="E48" i="4"/>
  <c r="E74" i="4" s="1"/>
  <c r="I47" i="4"/>
  <c r="I73" i="4" s="1"/>
  <c r="H47" i="4"/>
  <c r="H73" i="4" s="1"/>
  <c r="G47" i="4"/>
  <c r="G73" i="4" s="1"/>
  <c r="F47" i="4"/>
  <c r="F73" i="4" s="1"/>
  <c r="E47" i="4"/>
  <c r="E73" i="4" s="1"/>
  <c r="I45" i="4"/>
  <c r="I71" i="4" s="1"/>
  <c r="H45" i="4"/>
  <c r="H71" i="4" s="1"/>
  <c r="G45" i="4"/>
  <c r="G71" i="4" s="1"/>
  <c r="F45" i="4"/>
  <c r="F71" i="4" s="1"/>
  <c r="E45" i="4"/>
  <c r="E71" i="4" s="1"/>
  <c r="I44" i="4"/>
  <c r="I70" i="4" s="1"/>
  <c r="H44" i="4"/>
  <c r="H70" i="4" s="1"/>
  <c r="G44" i="4"/>
  <c r="G70" i="4" s="1"/>
  <c r="F44" i="4"/>
  <c r="F70" i="4" s="1"/>
  <c r="E44" i="4"/>
  <c r="E70" i="4" s="1"/>
  <c r="I42" i="4"/>
  <c r="I68" i="4" s="1"/>
  <c r="H42" i="4"/>
  <c r="H68" i="4" s="1"/>
  <c r="G42" i="4"/>
  <c r="G68" i="4" s="1"/>
  <c r="F42" i="4"/>
  <c r="F68" i="4" s="1"/>
  <c r="E42" i="4"/>
  <c r="E68" i="4" s="1"/>
  <c r="I41" i="4"/>
  <c r="I67" i="4" s="1"/>
  <c r="H41" i="4"/>
  <c r="H67" i="4" s="1"/>
  <c r="G41" i="4"/>
  <c r="G67" i="4" s="1"/>
  <c r="F41" i="4"/>
  <c r="F67" i="4" s="1"/>
  <c r="E41" i="4"/>
  <c r="E67" i="4" s="1"/>
  <c r="I40" i="4"/>
  <c r="I66" i="4" s="1"/>
  <c r="H40" i="4"/>
  <c r="H66" i="4" s="1"/>
  <c r="G40" i="4"/>
  <c r="G66" i="4" s="1"/>
  <c r="F40" i="4"/>
  <c r="F66" i="4" s="1"/>
  <c r="E40" i="4"/>
  <c r="E66" i="4" s="1"/>
  <c r="I38" i="4"/>
  <c r="H38" i="4"/>
  <c r="G38" i="4"/>
  <c r="F38" i="4"/>
  <c r="E38" i="4"/>
  <c r="Q49" i="4"/>
  <c r="Q75" i="4" s="1"/>
  <c r="P49" i="4"/>
  <c r="P75" i="4" s="1"/>
  <c r="O49" i="4"/>
  <c r="O75" i="4" s="1"/>
  <c r="N49" i="4"/>
  <c r="N75" i="4" s="1"/>
  <c r="M49" i="4"/>
  <c r="M75" i="4" s="1"/>
  <c r="Q48" i="4"/>
  <c r="Q74" i="4" s="1"/>
  <c r="P48" i="4"/>
  <c r="P74" i="4" s="1"/>
  <c r="O48" i="4"/>
  <c r="O74" i="4" s="1"/>
  <c r="N48" i="4"/>
  <c r="N74" i="4" s="1"/>
  <c r="M48" i="4"/>
  <c r="M74" i="4" s="1"/>
  <c r="Q47" i="4"/>
  <c r="Q73" i="4" s="1"/>
  <c r="P47" i="4"/>
  <c r="P73" i="4" s="1"/>
  <c r="O47" i="4"/>
  <c r="O73" i="4" s="1"/>
  <c r="N47" i="4"/>
  <c r="N73" i="4" s="1"/>
  <c r="M47" i="4"/>
  <c r="M73" i="4" s="1"/>
  <c r="Q46" i="4"/>
  <c r="Q72" i="4" s="1"/>
  <c r="P46" i="4"/>
  <c r="P72" i="4" s="1"/>
  <c r="O46" i="4"/>
  <c r="O72" i="4" s="1"/>
  <c r="N46" i="4"/>
  <c r="N72" i="4" s="1"/>
  <c r="M46" i="4"/>
  <c r="M72" i="4" s="1"/>
  <c r="Q45" i="4"/>
  <c r="Q71" i="4" s="1"/>
  <c r="P45" i="4"/>
  <c r="P71" i="4" s="1"/>
  <c r="O45" i="4"/>
  <c r="O71" i="4" s="1"/>
  <c r="N45" i="4"/>
  <c r="N71" i="4" s="1"/>
  <c r="M45" i="4"/>
  <c r="M71" i="4" s="1"/>
  <c r="Q44" i="4"/>
  <c r="Q70" i="4" s="1"/>
  <c r="P44" i="4"/>
  <c r="P70" i="4" s="1"/>
  <c r="O44" i="4"/>
  <c r="O70" i="4" s="1"/>
  <c r="N44" i="4"/>
  <c r="N70" i="4" s="1"/>
  <c r="M44" i="4"/>
  <c r="M70" i="4" s="1"/>
  <c r="Q43" i="4"/>
  <c r="Q69" i="4" s="1"/>
  <c r="P43" i="4"/>
  <c r="P69" i="4" s="1"/>
  <c r="O43" i="4"/>
  <c r="O69" i="4" s="1"/>
  <c r="N43" i="4"/>
  <c r="N69" i="4" s="1"/>
  <c r="M43" i="4"/>
  <c r="M69" i="4" s="1"/>
  <c r="Q42" i="4"/>
  <c r="Q68" i="4" s="1"/>
  <c r="P42" i="4"/>
  <c r="P68" i="4" s="1"/>
  <c r="O42" i="4"/>
  <c r="O68" i="4" s="1"/>
  <c r="N42" i="4"/>
  <c r="N68" i="4" s="1"/>
  <c r="M42" i="4"/>
  <c r="M68" i="4" s="1"/>
  <c r="Q41" i="4"/>
  <c r="Q67" i="4" s="1"/>
  <c r="P41" i="4"/>
  <c r="P67" i="4" s="1"/>
  <c r="O41" i="4"/>
  <c r="O67" i="4" s="1"/>
  <c r="N41" i="4"/>
  <c r="N67" i="4" s="1"/>
  <c r="M41" i="4"/>
  <c r="M67" i="4" s="1"/>
  <c r="Q40" i="4"/>
  <c r="Q66" i="4" s="1"/>
  <c r="P40" i="4"/>
  <c r="P66" i="4" s="1"/>
  <c r="O40" i="4"/>
  <c r="O66" i="4" s="1"/>
  <c r="N40" i="4"/>
  <c r="N66" i="4" s="1"/>
  <c r="M40" i="4"/>
  <c r="M66" i="4" s="1"/>
  <c r="Q39" i="4"/>
  <c r="Q65" i="4" s="1"/>
  <c r="P39" i="4"/>
  <c r="P65" i="4" s="1"/>
  <c r="O39" i="4"/>
  <c r="O65" i="4" s="1"/>
  <c r="N39" i="4"/>
  <c r="N65" i="4" s="1"/>
  <c r="M39" i="4"/>
  <c r="M65" i="4" s="1"/>
  <c r="Q38" i="4"/>
  <c r="P38" i="4"/>
  <c r="O38" i="4"/>
  <c r="N38" i="4"/>
  <c r="M38" i="4"/>
  <c r="Q37" i="4"/>
  <c r="P37" i="4"/>
  <c r="O37" i="4"/>
  <c r="N37" i="4"/>
  <c r="M37" i="4"/>
  <c r="Q36" i="4"/>
  <c r="P36" i="4"/>
  <c r="O36" i="4"/>
  <c r="N36" i="4"/>
  <c r="M36" i="4"/>
  <c r="Q35" i="4"/>
  <c r="P35" i="4"/>
  <c r="O35" i="4"/>
  <c r="N35" i="4"/>
  <c r="M35" i="4"/>
  <c r="Q34" i="4"/>
  <c r="P34" i="4"/>
  <c r="O34" i="4"/>
  <c r="N34" i="4"/>
  <c r="M34" i="4"/>
  <c r="S16" i="4" l="1"/>
  <c r="W16" i="4" s="1"/>
  <c r="S17" i="4"/>
  <c r="W17" i="4" s="1"/>
  <c r="K66" i="4"/>
  <c r="K68" i="4"/>
  <c r="K67" i="4"/>
  <c r="K71" i="4"/>
  <c r="S48" i="4"/>
  <c r="W48" i="4" s="1"/>
  <c r="K18" i="4"/>
  <c r="S14" i="4"/>
  <c r="W14" i="4" s="1"/>
  <c r="S8" i="4"/>
  <c r="W8" i="4" s="1"/>
  <c r="S20" i="4"/>
  <c r="W20" i="4" s="1"/>
  <c r="S43" i="4"/>
  <c r="W43" i="4" s="1"/>
  <c r="S39" i="4"/>
  <c r="W39" i="4" s="1"/>
  <c r="O50" i="4"/>
  <c r="P50" i="4"/>
  <c r="Q50" i="4"/>
  <c r="S35" i="4"/>
  <c r="W35" i="4" s="1"/>
  <c r="S38" i="4"/>
  <c r="W38" i="4" s="1"/>
  <c r="S45" i="4"/>
  <c r="W45" i="4" s="1"/>
  <c r="S47" i="4"/>
  <c r="W47" i="4" s="1"/>
  <c r="S40" i="4"/>
  <c r="W40" i="4" s="1"/>
  <c r="M50" i="4"/>
  <c r="S36" i="4"/>
  <c r="W36" i="4" s="1"/>
  <c r="S41" i="4"/>
  <c r="W41" i="4" s="1"/>
  <c r="N50" i="4"/>
  <c r="S44" i="4"/>
  <c r="W44" i="4" s="1"/>
  <c r="S37" i="4"/>
  <c r="W37" i="4" s="1"/>
  <c r="S49" i="4"/>
  <c r="W49" i="4" s="1"/>
  <c r="S42" i="4"/>
  <c r="W42" i="4" s="1"/>
  <c r="S46" i="4"/>
  <c r="W46" i="4" s="1"/>
  <c r="K16" i="4"/>
  <c r="K44" i="4"/>
  <c r="K38" i="4"/>
  <c r="K48" i="4"/>
  <c r="K41" i="4"/>
  <c r="K47" i="4"/>
  <c r="K42" i="4"/>
  <c r="K45" i="4"/>
  <c r="K40" i="4"/>
  <c r="K21" i="4"/>
  <c r="P24" i="4"/>
  <c r="S10" i="4"/>
  <c r="W10" i="4" s="1"/>
  <c r="S22" i="4"/>
  <c r="W22" i="4" s="1"/>
  <c r="S12" i="4"/>
  <c r="W12" i="4" s="1"/>
  <c r="K15" i="4"/>
  <c r="S11" i="4"/>
  <c r="W11" i="4" s="1"/>
  <c r="S23" i="4"/>
  <c r="W23" i="4" s="1"/>
  <c r="S15" i="4"/>
  <c r="W15" i="4" s="1"/>
  <c r="S9" i="4"/>
  <c r="W9" i="4" s="1"/>
  <c r="S21" i="4"/>
  <c r="W21" i="4" s="1"/>
  <c r="S13" i="4"/>
  <c r="W13" i="4" s="1"/>
  <c r="S34" i="4"/>
  <c r="W34" i="4" s="1"/>
  <c r="S18" i="4"/>
  <c r="W18" i="4" s="1"/>
  <c r="S19" i="4"/>
  <c r="W19" i="4" s="1"/>
  <c r="Q24" i="4"/>
  <c r="K12" i="4"/>
  <c r="K14" i="4"/>
  <c r="K19" i="4"/>
  <c r="K22" i="4"/>
  <c r="M24" i="4"/>
  <c r="O24" i="4"/>
  <c r="N24" i="4"/>
  <c r="W24" i="4" l="1"/>
  <c r="W50" i="4"/>
  <c r="S50" i="4"/>
  <c r="S24" i="4"/>
  <c r="I13" i="4" l="1"/>
  <c r="G13" i="4"/>
  <c r="F13" i="4"/>
  <c r="I8" i="4"/>
  <c r="F23" i="4"/>
  <c r="F35" i="4"/>
  <c r="F9" i="4"/>
  <c r="F17" i="9" s="1"/>
  <c r="E11" i="4"/>
  <c r="F8" i="4"/>
  <c r="G20" i="4"/>
  <c r="G23" i="4"/>
  <c r="E17" i="4"/>
  <c r="I23" i="4"/>
  <c r="H23" i="4"/>
  <c r="G17" i="4"/>
  <c r="I20" i="4"/>
  <c r="I35" i="4"/>
  <c r="I9" i="4"/>
  <c r="I17" i="9" s="1"/>
  <c r="I11" i="4"/>
  <c r="E20" i="4"/>
  <c r="E36" i="4"/>
  <c r="E10" i="4"/>
  <c r="H35" i="4"/>
  <c r="H9" i="4"/>
  <c r="H17" i="9" s="1"/>
  <c r="E35" i="4"/>
  <c r="E9" i="4"/>
  <c r="E17" i="9" s="1"/>
  <c r="H11" i="4"/>
  <c r="E8" i="4"/>
  <c r="H8" i="4"/>
  <c r="G11" i="4"/>
  <c r="G36" i="4"/>
  <c r="G10" i="4"/>
  <c r="H20" i="4"/>
  <c r="H36" i="4"/>
  <c r="H10" i="4"/>
  <c r="H13" i="4"/>
  <c r="E23" i="4"/>
  <c r="G8" i="4"/>
  <c r="G35" i="4"/>
  <c r="G9" i="4"/>
  <c r="G17" i="9" s="1"/>
  <c r="F17" i="4"/>
  <c r="I17" i="4"/>
  <c r="E13" i="4"/>
  <c r="I36" i="4"/>
  <c r="I10" i="4"/>
  <c r="H17" i="4"/>
  <c r="F20" i="4"/>
  <c r="F11" i="4"/>
  <c r="F36" i="4"/>
  <c r="F10" i="4"/>
  <c r="F39" i="4"/>
  <c r="F65" i="4" s="1"/>
  <c r="I39" i="4"/>
  <c r="I65" i="4" s="1"/>
  <c r="E39" i="4"/>
  <c r="E65" i="4" s="1"/>
  <c r="G39" i="4"/>
  <c r="G65" i="4" s="1"/>
  <c r="F43" i="4"/>
  <c r="F69" i="4" s="1"/>
  <c r="F45" i="23" s="1"/>
  <c r="H39" i="4"/>
  <c r="H65" i="4" s="1"/>
  <c r="H43" i="4"/>
  <c r="H69" i="4" s="1"/>
  <c r="H45" i="23" s="1"/>
  <c r="G37" i="4"/>
  <c r="F34" i="4"/>
  <c r="E49" i="4"/>
  <c r="E75" i="4" s="1"/>
  <c r="H37" i="4"/>
  <c r="E43" i="4"/>
  <c r="E69" i="4" s="1"/>
  <c r="E45" i="23" s="1"/>
  <c r="G43" i="4"/>
  <c r="G69" i="4" s="1"/>
  <c r="G45" i="23" s="1"/>
  <c r="I49" i="4"/>
  <c r="I75" i="4" s="1"/>
  <c r="E34" i="4"/>
  <c r="I34" i="4"/>
  <c r="G34" i="4"/>
  <c r="E37" i="4"/>
  <c r="H34" i="4"/>
  <c r="I43" i="4"/>
  <c r="I69" i="4" s="1"/>
  <c r="I45" i="23" s="1"/>
  <c r="G46" i="4"/>
  <c r="G72" i="4" s="1"/>
  <c r="G46" i="23" s="1"/>
  <c r="E46" i="4"/>
  <c r="E72" i="4" s="1"/>
  <c r="E46" i="23" s="1"/>
  <c r="H46" i="4"/>
  <c r="H72" i="4" s="1"/>
  <c r="H46" i="23" s="1"/>
  <c r="I46" i="4"/>
  <c r="I72" i="4" s="1"/>
  <c r="I46" i="23" s="1"/>
  <c r="K74" i="4"/>
  <c r="H49" i="4"/>
  <c r="G49" i="4"/>
  <c r="I37" i="4"/>
  <c r="F46" i="4"/>
  <c r="F72" i="4" s="1"/>
  <c r="F46" i="23" s="1"/>
  <c r="F49" i="4"/>
  <c r="F75" i="4" s="1"/>
  <c r="F37" i="4"/>
  <c r="H19" i="9" l="1"/>
  <c r="H18" i="9"/>
  <c r="F19" i="9"/>
  <c r="F18" i="9"/>
  <c r="I18" i="9"/>
  <c r="I19" i="9"/>
  <c r="G19" i="9"/>
  <c r="G18" i="9"/>
  <c r="E19" i="9"/>
  <c r="E18" i="9"/>
  <c r="K36" i="4"/>
  <c r="K35" i="4"/>
  <c r="I24" i="4"/>
  <c r="I26" i="9" s="1"/>
  <c r="K10" i="4"/>
  <c r="K8" i="4"/>
  <c r="E24" i="4"/>
  <c r="E26" i="9" s="1"/>
  <c r="K23" i="4"/>
  <c r="F24" i="4"/>
  <c r="F26" i="9" s="1"/>
  <c r="K20" i="4"/>
  <c r="K11" i="4"/>
  <c r="G24" i="4"/>
  <c r="G26" i="9" s="1"/>
  <c r="K17" i="4"/>
  <c r="K13" i="4"/>
  <c r="K9" i="4"/>
  <c r="K17" i="9" s="1"/>
  <c r="H24" i="4"/>
  <c r="H26" i="9" s="1"/>
  <c r="K39" i="4"/>
  <c r="K34" i="4"/>
  <c r="K43" i="4"/>
  <c r="H50" i="4"/>
  <c r="H75" i="4"/>
  <c r="I50" i="4"/>
  <c r="G50" i="4"/>
  <c r="G28" i="9" s="1"/>
  <c r="G75" i="4"/>
  <c r="E50" i="4"/>
  <c r="K46" i="4"/>
  <c r="S69" i="4"/>
  <c r="W69" i="4" s="1"/>
  <c r="K72" i="4"/>
  <c r="S68" i="4"/>
  <c r="W68" i="4" s="1"/>
  <c r="K65" i="4"/>
  <c r="S70" i="4"/>
  <c r="W70" i="4" s="1"/>
  <c r="S72" i="4"/>
  <c r="W72" i="4" s="1"/>
  <c r="S66" i="4"/>
  <c r="W66" i="4" s="1"/>
  <c r="S75" i="4"/>
  <c r="W75" i="4" s="1"/>
  <c r="S74" i="4"/>
  <c r="W74" i="4" s="1"/>
  <c r="K73" i="4"/>
  <c r="S67" i="4"/>
  <c r="W67" i="4" s="1"/>
  <c r="S65" i="4"/>
  <c r="W65" i="4" s="1"/>
  <c r="K69" i="4"/>
  <c r="S71" i="4"/>
  <c r="W71" i="4" s="1"/>
  <c r="S73" i="4"/>
  <c r="W73" i="4" s="1"/>
  <c r="K70" i="4"/>
  <c r="K49" i="4"/>
  <c r="K37" i="4"/>
  <c r="F50" i="4"/>
  <c r="F28" i="9" s="1"/>
  <c r="K18" i="9" l="1"/>
  <c r="K19" i="9"/>
  <c r="I27" i="9"/>
  <c r="E27" i="9"/>
  <c r="H27" i="9"/>
  <c r="K24" i="4"/>
  <c r="K26" i="9" s="1"/>
  <c r="I28" i="9"/>
  <c r="H28" i="9"/>
  <c r="G27" i="9"/>
  <c r="K75" i="4"/>
  <c r="E28" i="9"/>
  <c r="K50" i="4"/>
  <c r="K28" i="9" s="1"/>
  <c r="F27" i="9"/>
  <c r="K27" i="9" l="1"/>
  <c r="I64" i="5" l="1"/>
  <c r="G64" i="5"/>
  <c r="I65" i="5"/>
  <c r="I70" i="5"/>
  <c r="H62" i="4" s="1"/>
  <c r="G66" i="5"/>
  <c r="G72" i="5"/>
  <c r="F64" i="4" s="1"/>
  <c r="J70" i="5"/>
  <c r="H65" i="5"/>
  <c r="H64" i="5"/>
  <c r="I66" i="5"/>
  <c r="J72" i="5"/>
  <c r="I64" i="4" s="1"/>
  <c r="J64" i="5"/>
  <c r="J65" i="5"/>
  <c r="F71" i="5"/>
  <c r="H66" i="5"/>
  <c r="I72" i="5"/>
  <c r="H64" i="4" s="1"/>
  <c r="G65" i="5"/>
  <c r="J71" i="5"/>
  <c r="I61" i="4" s="1"/>
  <c r="F65" i="5"/>
  <c r="E56" i="23" s="1"/>
  <c r="I71" i="5"/>
  <c r="H61" i="4" s="1"/>
  <c r="J66" i="5"/>
  <c r="F70" i="5"/>
  <c r="E62" i="4" s="1"/>
  <c r="G70" i="5"/>
  <c r="F62" i="4" s="1"/>
  <c r="H72" i="5"/>
  <c r="G63" i="4" s="1"/>
  <c r="F72" i="5"/>
  <c r="E63" i="4" s="1"/>
  <c r="H70" i="5"/>
  <c r="G62" i="4" s="1"/>
  <c r="F66" i="5"/>
  <c r="G71" i="5"/>
  <c r="F61" i="4" s="1"/>
  <c r="H71" i="5"/>
  <c r="G61" i="4" s="1"/>
  <c r="F64" i="5"/>
  <c r="E55" i="23" s="1"/>
  <c r="E57" i="23" l="1"/>
  <c r="F56" i="23"/>
  <c r="G56" i="23" s="1"/>
  <c r="H56" i="23" s="1"/>
  <c r="I56" i="23" s="1"/>
  <c r="F55" i="23"/>
  <c r="P61" i="4"/>
  <c r="J79" i="5"/>
  <c r="Q64" i="4"/>
  <c r="Q63" i="4"/>
  <c r="G79" i="5"/>
  <c r="N64" i="4"/>
  <c r="N63" i="4"/>
  <c r="M64" i="4"/>
  <c r="M63" i="4"/>
  <c r="I79" i="5"/>
  <c r="P63" i="4"/>
  <c r="P64" i="4"/>
  <c r="H79" i="5"/>
  <c r="O64" i="4"/>
  <c r="O63" i="4"/>
  <c r="H77" i="5"/>
  <c r="O60" i="4"/>
  <c r="O62" i="4"/>
  <c r="G78" i="5"/>
  <c r="N61" i="4"/>
  <c r="G77" i="5"/>
  <c r="N60" i="4"/>
  <c r="N62" i="4"/>
  <c r="J77" i="5"/>
  <c r="Q60" i="4"/>
  <c r="Q62" i="4"/>
  <c r="H78" i="5"/>
  <c r="O61" i="4"/>
  <c r="J78" i="5"/>
  <c r="Q61" i="4"/>
  <c r="I77" i="5"/>
  <c r="P60" i="4"/>
  <c r="P62" i="4"/>
  <c r="M62" i="4"/>
  <c r="M60" i="4"/>
  <c r="M61" i="4"/>
  <c r="G84" i="5"/>
  <c r="F63" i="4"/>
  <c r="F43" i="23" s="1"/>
  <c r="H63" i="4"/>
  <c r="H43" i="23" s="1"/>
  <c r="G64" i="4"/>
  <c r="G43" i="23" s="1"/>
  <c r="I63" i="4"/>
  <c r="I43" i="23" s="1"/>
  <c r="I86" i="5"/>
  <c r="F77" i="5"/>
  <c r="H91" i="5"/>
  <c r="H85" i="5"/>
  <c r="H73" i="5"/>
  <c r="G92" i="5"/>
  <c r="H92" i="5"/>
  <c r="F78" i="5"/>
  <c r="J92" i="5"/>
  <c r="J85" i="5"/>
  <c r="J91" i="5"/>
  <c r="L70" i="5"/>
  <c r="G60" i="4"/>
  <c r="G42" i="23" s="1"/>
  <c r="E60" i="4"/>
  <c r="G85" i="5"/>
  <c r="L71" i="5"/>
  <c r="I92" i="5"/>
  <c r="J73" i="5"/>
  <c r="L72" i="5"/>
  <c r="G73" i="5"/>
  <c r="E61" i="4"/>
  <c r="I78" i="5"/>
  <c r="F60" i="4"/>
  <c r="F42" i="23" s="1"/>
  <c r="G93" i="5"/>
  <c r="H84" i="5"/>
  <c r="J93" i="5"/>
  <c r="I93" i="5"/>
  <c r="I85" i="5"/>
  <c r="J84" i="5"/>
  <c r="G86" i="5"/>
  <c r="H93" i="5"/>
  <c r="I84" i="5"/>
  <c r="I60" i="4"/>
  <c r="I62" i="4"/>
  <c r="K62" i="4" s="1"/>
  <c r="I73" i="5"/>
  <c r="J86" i="5"/>
  <c r="G91" i="5"/>
  <c r="H86" i="5"/>
  <c r="F79" i="5"/>
  <c r="F73" i="5"/>
  <c r="H60" i="4"/>
  <c r="H42" i="23" s="1"/>
  <c r="I91" i="5"/>
  <c r="E64" i="4"/>
  <c r="E43" i="23" s="1"/>
  <c r="G55" i="23" l="1"/>
  <c r="F57" i="23"/>
  <c r="I42" i="23"/>
  <c r="E42" i="23"/>
  <c r="K61" i="4"/>
  <c r="G80" i="5"/>
  <c r="F33" i="9" s="1"/>
  <c r="J80" i="5"/>
  <c r="I33" i="9" s="1"/>
  <c r="H80" i="5"/>
  <c r="G33" i="9" s="1"/>
  <c r="S61" i="4"/>
  <c r="W61" i="4" s="1"/>
  <c r="L79" i="5"/>
  <c r="S63" i="4"/>
  <c r="W63" i="4" s="1"/>
  <c r="S64" i="4"/>
  <c r="W64" i="4" s="1"/>
  <c r="I80" i="5"/>
  <c r="H33" i="9" s="1"/>
  <c r="Q76" i="4"/>
  <c r="N76" i="4"/>
  <c r="L77" i="5"/>
  <c r="P76" i="4"/>
  <c r="S62" i="4"/>
  <c r="W62" i="4" s="1"/>
  <c r="O76" i="4"/>
  <c r="M76" i="4"/>
  <c r="S60" i="4"/>
  <c r="H76" i="4"/>
  <c r="G76" i="4"/>
  <c r="F76" i="4"/>
  <c r="K63" i="4"/>
  <c r="K64" i="4"/>
  <c r="L92" i="5"/>
  <c r="H94" i="5"/>
  <c r="G37" i="9" s="1"/>
  <c r="J87" i="5"/>
  <c r="F80" i="5"/>
  <c r="L73" i="5"/>
  <c r="E76" i="4"/>
  <c r="L85" i="5"/>
  <c r="G87" i="5"/>
  <c r="J94" i="5"/>
  <c r="I37" i="9" s="1"/>
  <c r="H87" i="5"/>
  <c r="L93" i="5"/>
  <c r="I76" i="4"/>
  <c r="L78" i="5"/>
  <c r="I94" i="5"/>
  <c r="H37" i="9" s="1"/>
  <c r="L84" i="5"/>
  <c r="G94" i="5"/>
  <c r="L91" i="5"/>
  <c r="I87" i="5"/>
  <c r="K60" i="4"/>
  <c r="L86" i="5"/>
  <c r="H55" i="23" l="1"/>
  <c r="G57" i="23"/>
  <c r="L80" i="5"/>
  <c r="K33" i="9" s="1"/>
  <c r="W60" i="4"/>
  <c r="W76" i="4" s="1"/>
  <c r="S76" i="4"/>
  <c r="F31" i="9"/>
  <c r="F36" i="9" s="1"/>
  <c r="G31" i="9"/>
  <c r="G36" i="9" s="1"/>
  <c r="H30" i="9"/>
  <c r="H34" i="9" s="1"/>
  <c r="E31" i="9"/>
  <c r="E36" i="9" s="1"/>
  <c r="E47" i="23"/>
  <c r="H31" i="9"/>
  <c r="H36" i="9" s="1"/>
  <c r="G30" i="9"/>
  <c r="G34" i="9" s="1"/>
  <c r="F30" i="9"/>
  <c r="F34" i="9" s="1"/>
  <c r="K76" i="4"/>
  <c r="L87" i="5"/>
  <c r="E30" i="9"/>
  <c r="E33" i="9"/>
  <c r="F37" i="9"/>
  <c r="K37" i="9" s="1"/>
  <c r="L94" i="5"/>
  <c r="I30" i="9"/>
  <c r="I34" i="9" s="1"/>
  <c r="I31" i="9"/>
  <c r="I36" i="9" s="1"/>
  <c r="I55" i="23" l="1"/>
  <c r="I57" i="23" s="1"/>
  <c r="H57" i="23"/>
  <c r="K31" i="9"/>
  <c r="K36" i="9" s="1"/>
  <c r="F47" i="23"/>
  <c r="K30" i="9"/>
  <c r="K34" i="9" s="1"/>
  <c r="E34" i="9"/>
  <c r="G47" i="23" l="1"/>
  <c r="H47" i="23" l="1"/>
  <c r="I47" i="23"/>
  <c r="J47" i="2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<sst xmlns="http://schemas.openxmlformats.org/spreadsheetml/2006/main" count="2823" uniqueCount="414">
  <si>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</si>
  <si>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</si>
  <si>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</si>
  <si>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</si>
  <si>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</si>
  <si>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</si>
  <si>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</si>
  <si>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</si>
  <si>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</si>
  <si>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</si>
  <si>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</si>
  <si>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</si>
  <si>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</si>
  <si>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</si>
  <si>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FY41</t>
  </si>
  <si>
    <t>FY42</t>
  </si>
  <si>
    <t>FY43</t>
  </si>
  <si>
    <t>FY44</t>
  </si>
  <si>
    <t>FY45</t>
  </si>
  <si>
    <t>FY46</t>
  </si>
  <si>
    <t>Hybrid</t>
  </si>
  <si>
    <t>Elevated work platform (LCV)</t>
  </si>
  <si>
    <t>Elevated work platform (HCV)</t>
  </si>
  <si>
    <t>Inflation</t>
  </si>
  <si>
    <t>December-to-June conversion (lagged)</t>
  </si>
  <si>
    <t>Convert to:</t>
  </si>
  <si>
    <t>Financial year (nominal)</t>
  </si>
  <si>
    <t>$Jun'10</t>
  </si>
  <si>
    <t>$Jun'11</t>
  </si>
  <si>
    <t>$Jun'12</t>
  </si>
  <si>
    <t>$Jun'13</t>
  </si>
  <si>
    <t>$Jun'14</t>
  </si>
  <si>
    <t>$Jun'15</t>
  </si>
  <si>
    <t>$Jun'16</t>
  </si>
  <si>
    <t>$Jun'17</t>
  </si>
  <si>
    <t>$Jun'18</t>
  </si>
  <si>
    <t>$Jun'19</t>
  </si>
  <si>
    <t>$Jun'20</t>
  </si>
  <si>
    <t>$Jun'21</t>
  </si>
  <si>
    <t>$Jun'22</t>
  </si>
  <si>
    <t>$Jun'23</t>
  </si>
  <si>
    <t>$Jun'24</t>
  </si>
  <si>
    <t>$Jun'25</t>
  </si>
  <si>
    <t>$Jun'26 fct</t>
  </si>
  <si>
    <t>$Jun'27 fct</t>
  </si>
  <si>
    <t>$Jun'28 fct</t>
  </si>
  <si>
    <t>$Jun'29 fct</t>
  </si>
  <si>
    <t>$Jun'30 fct</t>
  </si>
  <si>
    <t>$Jun'31 fct</t>
  </si>
  <si>
    <t>convert 2009 $Dec'09)</t>
  </si>
  <si>
    <t>convert 2010 ($Dec'10)</t>
  </si>
  <si>
    <t>convert 2011 ($Dec'11)</t>
  </si>
  <si>
    <t>convert 2012 ($Dec'12)</t>
  </si>
  <si>
    <t>convert 2013 ($Dec'13)</t>
  </si>
  <si>
    <t>convert 2014 ($Dec'14)</t>
  </si>
  <si>
    <t>convert 2015 ($Dec'15)</t>
  </si>
  <si>
    <t>convert 2016 ($Dec'16)</t>
  </si>
  <si>
    <t>convert 2017 ($Dec'17)</t>
  </si>
  <si>
    <t>convert 2018 ($Dec'18)</t>
  </si>
  <si>
    <t>convert 2019 ($Dec'19)</t>
  </si>
  <si>
    <t>convert 2020 ($Dec'20)</t>
  </si>
  <si>
    <t>convert 1H21 ($Jun'21)</t>
  </si>
  <si>
    <t>convert FY22 ($Dec'21)</t>
  </si>
  <si>
    <t>convert FY23 ($Dec'22)</t>
  </si>
  <si>
    <t>convert FY24 ($Dec'23)</t>
  </si>
  <si>
    <t>convert FY25 ($Dec'24)</t>
  </si>
  <si>
    <t>convert FY26 ($Dec'25)</t>
  </si>
  <si>
    <t>convert FY27 ($Dec'26)</t>
  </si>
  <si>
    <t>convert FY28 ($Dec'27)</t>
  </si>
  <si>
    <t>convert FY29 ($Dec'28)</t>
  </si>
  <si>
    <t>convert FY30 ($Dec'29)</t>
  </si>
  <si>
    <t>convert FY31 ($Dec'30)</t>
  </si>
  <si>
    <t>Heavy commercial vehicle</t>
  </si>
  <si>
    <t>Light Commercial Vehicle</t>
  </si>
  <si>
    <t>Car</t>
  </si>
  <si>
    <t>5 Year TOTAL</t>
  </si>
  <si>
    <t>BAU Cost</t>
  </si>
  <si>
    <t>Additional Insourcing Cost</t>
  </si>
  <si>
    <t>BAU + Insourcing Cost</t>
  </si>
  <si>
    <t>Additional Hybrid./EV Spend</t>
  </si>
  <si>
    <t>BAU + Insourcing + Hybrid Cost</t>
  </si>
  <si>
    <t>Net Savings (Hybrid)</t>
  </si>
  <si>
    <t>Iteration 8 capex ($2026, M)</t>
  </si>
  <si>
    <t>Iteration 8 opex trade-off ($2026, M)</t>
  </si>
  <si>
    <t>Make</t>
  </si>
  <si>
    <t>Year</t>
  </si>
  <si>
    <t>Asset Description</t>
  </si>
  <si>
    <t>Rin asset category</t>
  </si>
  <si>
    <t>Combustion, Hybrid, Electric</t>
  </si>
  <si>
    <t>Current Owner/Lessee</t>
  </si>
  <si>
    <t>Asset life</t>
  </si>
  <si>
    <t>Replacement cost</t>
  </si>
  <si>
    <t>Replacement Date</t>
  </si>
  <si>
    <t>ISUZU</t>
  </si>
  <si>
    <t xml:space="preserve">Tipper Truck FRR500 </t>
  </si>
  <si>
    <t>Combustion</t>
  </si>
  <si>
    <t>UE</t>
  </si>
  <si>
    <t>POHLNER</t>
  </si>
  <si>
    <t>Trailer Multi Purpose Pole Jinker Pohlner P/L</t>
  </si>
  <si>
    <t>Light commercial vehicle</t>
  </si>
  <si>
    <t>Other</t>
  </si>
  <si>
    <t>Fvz1400 Medium Proline Crane Borer</t>
  </si>
  <si>
    <t>Isuzu</t>
  </si>
  <si>
    <t>NA</t>
  </si>
  <si>
    <t xml:space="preserve">EWP FVZ1400 - GMJ 22mtr </t>
  </si>
  <si>
    <t xml:space="preserve">HY - HAUL </t>
  </si>
  <si>
    <t>REDMOND GARY</t>
  </si>
  <si>
    <t>BOX TRAILER</t>
  </si>
  <si>
    <t>18m EWP FXZ1500 Tower</t>
  </si>
  <si>
    <t>FLEETWELD</t>
  </si>
  <si>
    <t>KOOL KART</t>
  </si>
  <si>
    <t>MORSE</t>
  </si>
  <si>
    <t>Trailer Pole</t>
  </si>
  <si>
    <t>MAN</t>
  </si>
  <si>
    <t>XIA734 MAN SHERRIN 18M G&amp;B EWP</t>
  </si>
  <si>
    <t>Crane Borer</t>
  </si>
  <si>
    <t>FXZ1500 - Proline Crane Borer</t>
  </si>
  <si>
    <t>NISSAN</t>
  </si>
  <si>
    <t>Trailer</t>
  </si>
  <si>
    <t>Trailer Cable Winder</t>
  </si>
  <si>
    <t>EWP FXZ1500 Tower - 24 Mtr Tower</t>
  </si>
  <si>
    <t>KAESER</t>
  </si>
  <si>
    <t>THE TRAILER FACTORY</t>
  </si>
  <si>
    <t>Trailer Self Loading Cable  3 T ABC</t>
  </si>
  <si>
    <t>YTR356 ISUZU FVZ1400 6X4 EWP</t>
  </si>
  <si>
    <t>YXQ829 ISUZU FVZ1400 18m EWP</t>
  </si>
  <si>
    <t>YXQ834 ISUZU FTR900 16m EWP</t>
  </si>
  <si>
    <t>YXQ853 ISUZU FRR500 Line Truck</t>
  </si>
  <si>
    <t>YXQ855 ISUZU FRR500 Line Truck</t>
  </si>
  <si>
    <t>YXQ903 ISUZU FRR500 Line Truck</t>
  </si>
  <si>
    <t>YXQ909 ISUZU FRR500 LCT</t>
  </si>
  <si>
    <t>YXQ911 ISUZU FTR900 16m EWP</t>
  </si>
  <si>
    <t>ZAW374 ISUZU FSS550 LCT</t>
  </si>
  <si>
    <t>ZAW375 ISUZU FSS550 LCT</t>
  </si>
  <si>
    <t>ZAW409 ISUZU FRR600 LCT</t>
  </si>
  <si>
    <t>ZAW449 ISUZU FVZ1400 CRANE TRK</t>
  </si>
  <si>
    <t>ZDU720 ISUZU FSS500 4x4</t>
  </si>
  <si>
    <t>ZHV753 ISUZU FRR600 13m EWP</t>
  </si>
  <si>
    <t>ZJM395 ISUZU FRR600 13m EWP</t>
  </si>
  <si>
    <t>ZJM396 ISUZU FRR600 13m EWP</t>
  </si>
  <si>
    <t>Non-Vehicle</t>
  </si>
  <si>
    <t>TRAILER FACTORY</t>
  </si>
  <si>
    <t>ASPINALL</t>
  </si>
  <si>
    <t>V11526 ASPINALL BOX TRAILER</t>
  </si>
  <si>
    <t>ZJM397 ISUZU FRR600 13m EWP</t>
  </si>
  <si>
    <t>NAVARA</t>
  </si>
  <si>
    <t>Ford</t>
  </si>
  <si>
    <t>FRR600M diesel manual</t>
  </si>
  <si>
    <t>MERCEDES BENZ</t>
  </si>
  <si>
    <t>Vito</t>
  </si>
  <si>
    <t>Forklift - 3.5 ton</t>
  </si>
  <si>
    <t>Trailer Factory</t>
  </si>
  <si>
    <t>HD tandem trailer</t>
  </si>
  <si>
    <t>DC trailer</t>
  </si>
  <si>
    <t>Isuzu FTR900 M Long Premium 7.8 T/D 6sp</t>
  </si>
  <si>
    <t>ISUZU FRR 600 MWB 7.8L Turbo Diesel 6Spd Auto</t>
  </si>
  <si>
    <t>Fleetweld</t>
  </si>
  <si>
    <t>FVR1000 ADA TA45 EWP 16m</t>
  </si>
  <si>
    <t>Hino</t>
  </si>
  <si>
    <t>Hino 500s FG 1628 Medium Long 7.6L T/D</t>
  </si>
  <si>
    <t>Hino 500s FD 1124 AT Leaf 4290</t>
  </si>
  <si>
    <t>Ranger XL Crew Cab 3.2L T/D 6A 4x4</t>
  </si>
  <si>
    <t xml:space="preserve">Ranger XL 3.2L T/D 4x4  </t>
  </si>
  <si>
    <t>Double Bolster Jinker Trailer</t>
  </si>
  <si>
    <t>Vito 114CDI LWB Van</t>
  </si>
  <si>
    <t>FXZ 240-350 MWB 9.8L A/T Proline</t>
  </si>
  <si>
    <t>FRR110-260</t>
  </si>
  <si>
    <t>FTS139-260 4x4</t>
  </si>
  <si>
    <t>FSR120/140-260 SWB 6A 7.8 T/D</t>
  </si>
  <si>
    <t>FVY240-300 LWB 6A 7.8T/D</t>
  </si>
  <si>
    <t>FRR110-260 MWB 7.8L T/D</t>
  </si>
  <si>
    <t>TPG18.340 6.9T/D 4x4</t>
  </si>
  <si>
    <t>Trailer 3600 x 1500</t>
  </si>
  <si>
    <t>Ranger XL Crew Cab 3.2L T/D 6A 4x2</t>
  </si>
  <si>
    <t>FVZ260-300 MLWB 7.8L T/D Auto</t>
  </si>
  <si>
    <t>Ranger XL Super Cab 3.2L T/D 6A 4x4</t>
  </si>
  <si>
    <t>Ranger 4x4 Super Crew Cab 3.2L</t>
  </si>
  <si>
    <t>Ranger 4x2 Super Crew Cab 3.2L</t>
  </si>
  <si>
    <t>Vito LWB 116 CDI</t>
  </si>
  <si>
    <t>FRR 110-260 MWB 7.8L Turbo Diesel 6Spd Auto Cab</t>
  </si>
  <si>
    <t>FSR120/140-260 SWB 7.8L T/D Auto</t>
  </si>
  <si>
    <t>Toyota</t>
  </si>
  <si>
    <t>Forklift 3500kg 32-8FGJ35 Gen 2</t>
  </si>
  <si>
    <t>FXZ240-350 MWB 9.8L A/T</t>
  </si>
  <si>
    <t>FSR120/140-260 MWB 7.8L T/D A/T</t>
  </si>
  <si>
    <t>FXY240-300 LWB 9.8L T/D Crane truck</t>
  </si>
  <si>
    <t>FVR165-300 auto</t>
  </si>
  <si>
    <t>Globe Power</t>
  </si>
  <si>
    <t>Urban Solar Light Tower GP65K</t>
  </si>
  <si>
    <t>Manitou</t>
  </si>
  <si>
    <t>Telehandler MT-X 733</t>
  </si>
  <si>
    <t>Crown</t>
  </si>
  <si>
    <t>Wav 60 lift assist vehicle</t>
  </si>
  <si>
    <t>Electric</t>
  </si>
  <si>
    <t>INTERNATIONAL</t>
  </si>
  <si>
    <t>1HL4DK INTER 4X2 EWP (was YWH298)</t>
  </si>
  <si>
    <t>Nissan</t>
  </si>
  <si>
    <t>X-Trail 4wd</t>
  </si>
  <si>
    <t>Holden</t>
  </si>
  <si>
    <t>Equinox LS+</t>
  </si>
  <si>
    <t>Mercedes Benz</t>
  </si>
  <si>
    <t>GLE250d</t>
  </si>
  <si>
    <t>Trailblazer LT</t>
  </si>
  <si>
    <t>Kia</t>
  </si>
  <si>
    <t>Sorento Si</t>
  </si>
  <si>
    <t>Sportage S</t>
  </si>
  <si>
    <t>Everest Ambiente</t>
  </si>
  <si>
    <t>Hyundai</t>
  </si>
  <si>
    <t>Kona</t>
  </si>
  <si>
    <t>Hilux SR 4x4</t>
  </si>
  <si>
    <t>Fortuner GX</t>
  </si>
  <si>
    <t>MU-X LSM 4x4 A/T</t>
  </si>
  <si>
    <t>Ranger XL dual cab</t>
  </si>
  <si>
    <t>Venue</t>
  </si>
  <si>
    <t>Volvo</t>
  </si>
  <si>
    <t>XC90 Recharge Ultimate T8 PHEV</t>
  </si>
  <si>
    <t>Sorento S</t>
  </si>
  <si>
    <t>VOLKSWAGEN</t>
  </si>
  <si>
    <t>VOLKSWAGEN AMAROK DUAL CAB 4x4 UTE</t>
  </si>
  <si>
    <t>Zinfra</t>
  </si>
  <si>
    <t>VOLKSWAGEN AMAROK DUAL CAB 4X2 UTE</t>
  </si>
  <si>
    <t>NISSAN NAVARA RX DUAL CAB 4x2 UTE</t>
  </si>
  <si>
    <t>NISSAN XTRAIL 4 Door 4x2 SUV</t>
  </si>
  <si>
    <t>TOYOTA</t>
  </si>
  <si>
    <t>TOYOTA RAV4 4 Door 4x2 SUV</t>
  </si>
  <si>
    <t>NISSAN NAVARA RX DUAL CAB 4x4 UTE</t>
  </si>
  <si>
    <t>VOLKSWAGEN AMAROK DUAL CAB 4x2 UTE</t>
  </si>
  <si>
    <t>CROWN</t>
  </si>
  <si>
    <t>CROWN RR5225</t>
  </si>
  <si>
    <t>ISUZU NPR 300  4x2 SER/BODY</t>
  </si>
  <si>
    <t>MERC</t>
  </si>
  <si>
    <t>MERC SPRINTER 516  4x2 SER/BODY</t>
  </si>
  <si>
    <t>MERC VITO 113  4x2 VAN</t>
  </si>
  <si>
    <t>ISUZU FRR 500 DAY CAB 4x2 11 M</t>
  </si>
  <si>
    <t>ISUZU FVZ 1400 DAY CAB 6x4 CRANE TRUCK</t>
  </si>
  <si>
    <t>ISUZU NPR 400  4x2 SER/BODY</t>
  </si>
  <si>
    <t>ISUZU FTR 900 DAY CAB 4x2 SER/BODY</t>
  </si>
  <si>
    <t>ISUZU FRR 500 DAY CAB 4x2 WINCH</t>
  </si>
  <si>
    <t>TOYOTA HILUX  4x2 UTE</t>
  </si>
  <si>
    <t>NOMAKE</t>
  </si>
  <si>
    <t>NOMAKE   TANDEM 7x4</t>
  </si>
  <si>
    <t>NOMAKE   SINGLE NO CONFIG</t>
  </si>
  <si>
    <t>HARDIMAN</t>
  </si>
  <si>
    <t>HARDIMAN   LE TRAILER</t>
  </si>
  <si>
    <t>MERC SPRINTER 416  4x2 VAN</t>
  </si>
  <si>
    <t>TOYOTA HILUX DUAL CAB 4x2 UTE</t>
  </si>
  <si>
    <t>ISUZU NPR 300  4x2 OIL FILTRATION</t>
  </si>
  <si>
    <t>NOMAKE   SINGLE 6x4</t>
  </si>
  <si>
    <t>OBRIEN</t>
  </si>
  <si>
    <t>OBRIEN   TANDEM NO CONFIG</t>
  </si>
  <si>
    <t>CARAC</t>
  </si>
  <si>
    <t>CARAC 8x5 TANDEM TRAILER</t>
  </si>
  <si>
    <t>NOMAKE   TANDEM NO CONFIG</t>
  </si>
  <si>
    <t>HARDIMAN   TANDEM NO CONFIG</t>
  </si>
  <si>
    <t>TRAILERFACTORY</t>
  </si>
  <si>
    <t>TRAILERFACTORY   SINGLE 6x4</t>
  </si>
  <si>
    <t>FLEETWELD   TANDEM 8x5</t>
  </si>
  <si>
    <t>HINO</t>
  </si>
  <si>
    <t>HINO FE7JLMA DAY CAB 4x4 15 M</t>
  </si>
  <si>
    <t>MERC VITO 114  4x2 VAN</t>
  </si>
  <si>
    <t>ISUZU FRR 110 DAY CAB 4x2 13 M</t>
  </si>
  <si>
    <t>ISUZU FVR 165 DAY CAB 4x2 16 M</t>
  </si>
  <si>
    <t>ISUZU FRR 110-260  4x2 SER/BODY</t>
  </si>
  <si>
    <t>ISUZU FXZ 1500 DAY CAB 6x4 C/BORER</t>
  </si>
  <si>
    <t>HINO RANGER 5 DAY CAB 4x2 14 M</t>
  </si>
  <si>
    <t>TOYOTA HILUX DUAL CAB 4x4 UTE</t>
  </si>
  <si>
    <t>MAN TGM 18.290 DAY CAB 4x4 18 M</t>
  </si>
  <si>
    <t>ISUZU FXZ 1500 DAY CAB 6X4 18 M</t>
  </si>
  <si>
    <t>ISUZU FXZ 1500 DAY CAB 6X4 24 M</t>
  </si>
  <si>
    <t>ISUZU FXZ 1500 DAY CAB 6x4 TIPPER/CRANE</t>
  </si>
  <si>
    <t>NISSAN XTRAIL 4 Door 4X4 SUV was ZWV636</t>
  </si>
  <si>
    <t>REDMONDGARY</t>
  </si>
  <si>
    <t>RG   TANDEM POLE JINKER</t>
  </si>
  <si>
    <t>FLEETWELD   TANDEM 10x5</t>
  </si>
  <si>
    <t>TRAILERFACTORY   TANDEM 12x6</t>
  </si>
  <si>
    <t>NISSAN XTRAIL 4 Door 4X4 SUV</t>
  </si>
  <si>
    <t>NISSAN NAVARA RX DUAL CAB 4X4 UTE</t>
  </si>
  <si>
    <t>ISUZU FRR 600 DAY CAB 4x2 13 M</t>
  </si>
  <si>
    <t>ISUZU FRR 110-260 DUAL CAB 4x2 SER/BODY</t>
  </si>
  <si>
    <t>ISUZU FRR 1100-260  4x2 SER/BODY</t>
  </si>
  <si>
    <t>NOMAKE   TANDEM 10x6</t>
  </si>
  <si>
    <t>HINO FE1462 DAY CAB 4x2 15 M</t>
  </si>
  <si>
    <t>ISUZU GIGA  6X4 TIPPER</t>
  </si>
  <si>
    <t>KOBELCO</t>
  </si>
  <si>
    <t>KOBELCO SK45SRX-6  TRACKS</t>
  </si>
  <si>
    <t>JCB</t>
  </si>
  <si>
    <t>JCB 8045Z  TRACKS</t>
  </si>
  <si>
    <t>BANGELA</t>
  </si>
  <si>
    <t>BAGELA RW10 - 10T SINGLE Capstan WINCH</t>
  </si>
  <si>
    <t>MORSE   TANDEM 14x8 (7T)</t>
  </si>
  <si>
    <t>SEBINTERNATIONAL</t>
  </si>
  <si>
    <t>SEBINTERNATIONAL FW3000  SINGLE WINCH</t>
  </si>
  <si>
    <t>ATLAS</t>
  </si>
  <si>
    <t>ATLAS XAS130DD7  SINGLE COMPRESSOR</t>
  </si>
  <si>
    <t>TRANSFIX</t>
  </si>
  <si>
    <t>TRANSFIX   TANDEM 6T CABLE TRAILER</t>
  </si>
  <si>
    <t>FLEETWELD   TANDEM 10T TRAILER</t>
  </si>
  <si>
    <t>RG   TANDEM 6T CABLE TRAILER</t>
  </si>
  <si>
    <t>NISSAN 5T FORKLIFT TB45 LPG AUTO</t>
  </si>
  <si>
    <t>TOYOTA HILUX EXTRA CAB 4x4 UTE</t>
  </si>
  <si>
    <t>HINO FE7JLMA DAY CAB 4x2 15 M</t>
  </si>
  <si>
    <t>JUNGHEINRICH</t>
  </si>
  <si>
    <t>JUNGHEINRICH FORKLIFT</t>
  </si>
  <si>
    <t>ISUZU FRR 500 DAY CAB 4X2 TIPPER</t>
  </si>
  <si>
    <t>ISUZU FRR 500 DAY CAB 4x2 TIPPER</t>
  </si>
  <si>
    <t>ISUZU FTR 900 DAY CAB 4x2 TIPPER</t>
  </si>
  <si>
    <t>TOYOTA LANDCRUISER  4x4 UTE</t>
  </si>
  <si>
    <t>MORSE   TANDEM 19x8 15T SKEL TRAILER</t>
  </si>
  <si>
    <t>MAN TGM 18.290 SLEEPER CAB 4X4 18 M</t>
  </si>
  <si>
    <t>ISUZU FVZ 1400 DAY CAB 6X4 18 M</t>
  </si>
  <si>
    <t>NISSAN XTRAIL 4 Door 4x4 SUV  AWD</t>
  </si>
  <si>
    <t>TRAILERFACTORY   TANDEM NO CONFIG</t>
  </si>
  <si>
    <t>NISSAN NAVARA ST DUAL CAB 4X4 UTE</t>
  </si>
  <si>
    <t>MERC VITO 116  4x2 VAN</t>
  </si>
  <si>
    <t>JCB 409 T4i  4x2 LOADER</t>
  </si>
  <si>
    <t>JCB 409 T4i  TRACKS</t>
  </si>
  <si>
    <t>ISUZU NPR 250  4x2 SER/BODY</t>
  </si>
  <si>
    <t>VOLKSWAGEN AMAROK DUAL CAB 4X4 UTE</t>
  </si>
  <si>
    <t>ISUZU FRR 600 DAY CAB 4x2 TIPPER</t>
  </si>
  <si>
    <t>KOBELCO SK28SR-6  TRACKS</t>
  </si>
  <si>
    <t>NISSAN NAVARA RX  4x2 UTE</t>
  </si>
  <si>
    <t>TOYOTA FORTUNA 4 Door 4x4 SUV</t>
  </si>
  <si>
    <t>MORSE ME-CS4 4DRUM STAND BRAKED</t>
  </si>
  <si>
    <t>HYHAUL</t>
  </si>
  <si>
    <t>HYHAUL SINGLE DRUM WINCH</t>
  </si>
  <si>
    <t>FLEETWELD   TANDEM NO CONFIG</t>
  </si>
  <si>
    <t>MORSE  TANDEM CABLE TRAILER</t>
  </si>
  <si>
    <t>FLEETWELD   TANDEM PLANT TRAILER</t>
  </si>
  <si>
    <t>TRAILERFACTORY    4.5T CABLE TRAILER</t>
  </si>
  <si>
    <t>FLEETWELD   TANDEM 12x6</t>
  </si>
  <si>
    <t>FLEETWELD HYHAUL WINCH TRAILER 8x5 SKEL</t>
  </si>
  <si>
    <t>MARIO</t>
  </si>
  <si>
    <t>MARIO   SINGLE 7x4</t>
  </si>
  <si>
    <t>LINMAC</t>
  </si>
  <si>
    <t>LINMAC 31N0164  4x2 YARD CRANE</t>
  </si>
  <si>
    <t>ISUZU FRR 110-260</t>
  </si>
  <si>
    <t>TRAILERFACTORY  TANDEM TRAILER</t>
  </si>
  <si>
    <t>TOYOTA HILUX 4x4 EXTRA CAB UTE</t>
  </si>
  <si>
    <t>ISUZU D-Max 4x4 DAY CAB UTE</t>
  </si>
  <si>
    <t>ISUZU NPR 300 4x2 SINGLE CAB TIPPER</t>
  </si>
  <si>
    <t>NISSAN XTRAIL 4x2 4 Door SEDAN</t>
  </si>
  <si>
    <t>HOLDEN</t>
  </si>
  <si>
    <t>HOLDEN COLORADO DUAL CAB 4x4 UTE</t>
  </si>
  <si>
    <t>HINO 500 FD 4x2 13 M</t>
  </si>
  <si>
    <t>TOYOTA HIACE LWB  4x2 VAN</t>
  </si>
  <si>
    <t>MERCEDES</t>
  </si>
  <si>
    <t>MERCEDES  4x4 Sherrin EWP 16 M</t>
  </si>
  <si>
    <t>Total</t>
  </si>
  <si>
    <t>BAU</t>
  </si>
  <si>
    <t>BAU + Insource</t>
  </si>
  <si>
    <t>BAU + Insource + Hybrid</t>
  </si>
  <si>
    <t>Asset Life</t>
  </si>
  <si>
    <t>km/year</t>
  </si>
  <si>
    <t>FY47</t>
  </si>
  <si>
    <t>FY48</t>
  </si>
  <si>
    <t>$VER ($2023)</t>
  </si>
  <si>
    <t>$VER ($2026)</t>
  </si>
  <si>
    <t>Emissions</t>
  </si>
  <si>
    <t>Vehicle Cat</t>
  </si>
  <si>
    <t>Current Engine</t>
  </si>
  <si>
    <t>Replacement Engine</t>
  </si>
  <si>
    <t>Annual emissions saved</t>
  </si>
  <si>
    <t>Petrol</t>
  </si>
  <si>
    <t>Lifetime VER savings by purchase year</t>
  </si>
  <si>
    <t>Opex</t>
  </si>
  <si>
    <t>Running cost per 1,000kms ($2023)</t>
  </si>
  <si>
    <t>Running cost per 1,000kms ($2026)</t>
  </si>
  <si>
    <t>Opex savings</t>
  </si>
  <si>
    <t>Savings per 1,000kms</t>
  </si>
  <si>
    <t>Annual Savings per vehicle</t>
  </si>
  <si>
    <t>Lifetime Savings per vehicle</t>
  </si>
  <si>
    <t>Total savings by vehicle type by purchase year</t>
  </si>
  <si>
    <t>Unit rate increase</t>
  </si>
  <si>
    <t>Threshold for conversion</t>
  </si>
  <si>
    <t># vehicles that fit criteria</t>
  </si>
  <si>
    <t>Additional spend over Insourcing scenario</t>
  </si>
  <si>
    <t>Lifetime benefits over Insourcing scenario</t>
  </si>
  <si>
    <t>Total benefits over Insourcing scenario by year incurred</t>
  </si>
  <si>
    <t>Opex savings over Insourcing scenario by year incurred</t>
  </si>
  <si>
    <t>Unit Rate multiplier</t>
  </si>
  <si>
    <t>Replacement Cost</t>
  </si>
  <si>
    <t>RIN asset category  ($ June 2023)</t>
  </si>
  <si>
    <t>Asset Category</t>
  </si>
  <si>
    <t>UE fleet replacement</t>
  </si>
  <si>
    <t>Zinfra fleet insourced</t>
  </si>
  <si>
    <t>Total purchases</t>
  </si>
  <si>
    <t>Total UE fleet</t>
  </si>
  <si>
    <t>TOTAL</t>
  </si>
  <si>
    <t>Volumes purchased</t>
  </si>
  <si>
    <t>Total Zinfra fleet</t>
  </si>
  <si>
    <t>CHECK</t>
  </si>
  <si>
    <t>Total Capex</t>
  </si>
  <si>
    <t>Total Volume</t>
  </si>
  <si>
    <t>Not replaced</t>
  </si>
  <si>
    <t>Emissions benefits</t>
  </si>
  <si>
    <t>Opex benefits</t>
  </si>
  <si>
    <t>Total benefits per vehicle</t>
  </si>
  <si>
    <t>*LCV hybridisation according to make</t>
  </si>
  <si>
    <t>Option 3: Insourcing and fleet electrification</t>
  </si>
  <si>
    <t>Option 2: Insourcing</t>
  </si>
  <si>
    <t>Option 1: BAU</t>
  </si>
  <si>
    <t>* This is the preferred option</t>
  </si>
  <si>
    <t>Additional Hybrid Savings (lifetime)</t>
  </si>
  <si>
    <t>United Energy</t>
  </si>
  <si>
    <t>Regulatory proposal 2026-31</t>
  </si>
  <si>
    <t>Model number:</t>
  </si>
  <si>
    <t>All values are in $ June 2026 unless otherwise stated</t>
  </si>
  <si>
    <t>Results</t>
  </si>
  <si>
    <t>of which:</t>
  </si>
  <si>
    <t>Electric vehicle</t>
  </si>
  <si>
    <t>Internal combustion engine</t>
  </si>
  <si>
    <t>Total UE fleet (cars only)</t>
  </si>
  <si>
    <t>current</t>
  </si>
  <si>
    <t>Fleet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</si>
</sst>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"/>
    <numFmt numFmtId="167" formatCode="#,##0.0000_ ;\-#,##0.0000\ "/>
    <numFmt numFmtId="168" formatCode="&quot;$&quot;#,##0.000;[Red]\-&quot;$&quot;#,##0.000"/>
    <numFmt numFmtId="169" formatCode="dd\ mmmm\ yyyy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9A258F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215B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" fillId="0" borderId="0"/>
  </cellStyleXfs>
  <cellXfs count="146"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center" wrapText="1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164" fontId="4" fillId="5" borderId="1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center"/>
    </xf>
    <xf numFmtId="164" fontId="4" fillId="6" borderId="1" xfId="1" applyNumberFormat="1" applyFont="1" applyFill="1" applyBorder="1" applyAlignment="1">
      <alignment horizontal="center"/>
    </xf>
    <xf numFmtId="49" fontId="8" fillId="0" borderId="5" xfId="0" applyNumberFormat="1" applyFont="1" applyBorder="1"/>
    <xf numFmtId="0" fontId="8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vertical="center"/>
    </xf>
    <xf numFmtId="164" fontId="0" fillId="0" borderId="0" xfId="0" applyNumberFormat="1"/>
    <xf numFmtId="0" fontId="6" fillId="3" borderId="1" xfId="0" applyFont="1" applyFill="1" applyBorder="1"/>
    <xf numFmtId="0" fontId="0" fillId="0" borderId="7" xfId="0" applyBorder="1"/>
    <xf numFmtId="0" fontId="10" fillId="0" borderId="7" xfId="0" applyFont="1" applyBorder="1"/>
    <xf numFmtId="9" fontId="0" fillId="0" borderId="0" xfId="0" applyNumberFormat="1"/>
    <xf numFmtId="8" fontId="0" fillId="0" borderId="0" xfId="0" applyNumberFormat="1"/>
    <xf numFmtId="0" fontId="5" fillId="0" borderId="0" xfId="0" applyFont="1"/>
    <xf numFmtId="0" fontId="0" fillId="7" borderId="0" xfId="0" applyFill="1"/>
    <xf numFmtId="165" fontId="0" fillId="0" borderId="0" xfId="2" applyNumberFormat="1" applyFont="1" applyFill="1"/>
    <xf numFmtId="0" fontId="2" fillId="0" borderId="9" xfId="0" applyFont="1" applyBorder="1"/>
    <xf numFmtId="0" fontId="0" fillId="0" borderId="9" xfId="0" applyBorder="1"/>
    <xf numFmtId="164" fontId="0" fillId="7" borderId="0" xfId="1" applyNumberFormat="1" applyFont="1" applyFill="1"/>
    <xf numFmtId="164" fontId="0" fillId="0" borderId="0" xfId="1" applyNumberFormat="1" applyFont="1" applyFill="1"/>
    <xf numFmtId="164" fontId="2" fillId="0" borderId="9" xfId="1" applyNumberFormat="1" applyFont="1" applyFill="1" applyBorder="1"/>
    <xf numFmtId="0" fontId="0" fillId="7" borderId="0" xfId="1" applyNumberFormat="1" applyFont="1" applyFill="1"/>
    <xf numFmtId="0" fontId="0" fillId="0" borderId="0" xfId="1" applyNumberFormat="1" applyFont="1" applyFill="1"/>
    <xf numFmtId="0" fontId="2" fillId="0" borderId="9" xfId="1" applyNumberFormat="1" applyFont="1" applyFill="1" applyBorder="1"/>
    <xf numFmtId="0" fontId="5" fillId="0" borderId="1" xfId="0" applyFont="1" applyBorder="1"/>
    <xf numFmtId="0" fontId="2" fillId="0" borderId="7" xfId="0" applyFont="1" applyBorder="1"/>
    <xf numFmtId="0" fontId="0" fillId="0" borderId="10" xfId="0" applyBorder="1"/>
    <xf numFmtId="0" fontId="0" fillId="0" borderId="11" xfId="0" applyBorder="1"/>
    <xf numFmtId="8" fontId="0" fillId="0" borderId="10" xfId="0" applyNumberFormat="1" applyBorder="1"/>
    <xf numFmtId="0" fontId="2" fillId="0" borderId="7" xfId="0" applyFont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14" fontId="12" fillId="2" borderId="1" xfId="0" applyNumberFormat="1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12" fillId="2" borderId="2" xfId="0" applyFont="1" applyFill="1" applyBorder="1" applyAlignment="1">
      <alignment horizontal="center" wrapText="1"/>
    </xf>
    <xf numFmtId="0" fontId="15" fillId="0" borderId="0" xfId="0" applyFont="1"/>
    <xf numFmtId="0" fontId="14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2" fillId="0" borderId="0" xfId="0" applyFont="1"/>
    <xf numFmtId="0" fontId="2" fillId="9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centerContinuous"/>
    </xf>
    <xf numFmtId="167" fontId="2" fillId="10" borderId="0" xfId="0" applyNumberFormat="1" applyFont="1" applyFill="1" applyAlignment="1">
      <alignment horizontal="centerContinuous"/>
    </xf>
    <xf numFmtId="0" fontId="2" fillId="10" borderId="0" xfId="0" applyFont="1" applyFill="1"/>
    <xf numFmtId="10" fontId="2" fillId="10" borderId="0" xfId="0" applyNumberFormat="1" applyFont="1" applyFill="1" applyAlignment="1">
      <alignment horizontal="center"/>
    </xf>
    <xf numFmtId="167" fontId="0" fillId="0" borderId="0" xfId="3" applyNumberFormat="1" applyFont="1" applyAlignment="1">
      <alignment horizontal="center"/>
    </xf>
    <xf numFmtId="167" fontId="17" fillId="0" borderId="0" xfId="3" applyNumberFormat="1" applyFont="1" applyAlignment="1">
      <alignment horizontal="center"/>
    </xf>
    <xf numFmtId="167" fontId="0" fillId="2" borderId="0" xfId="3" applyNumberFormat="1" applyFont="1" applyFill="1" applyAlignment="1">
      <alignment horizontal="center"/>
    </xf>
    <xf numFmtId="165" fontId="0" fillId="0" borderId="0" xfId="3" applyNumberFormat="1" applyFont="1"/>
    <xf numFmtId="6" fontId="2" fillId="0" borderId="0" xfId="0" applyNumberFormat="1" applyFont="1"/>
    <xf numFmtId="0" fontId="0" fillId="9" borderId="0" xfId="0" applyFill="1"/>
    <xf numFmtId="165" fontId="0" fillId="0" borderId="0" xfId="0" applyNumberFormat="1"/>
    <xf numFmtId="2" fontId="0" fillId="6" borderId="0" xfId="0" applyNumberFormat="1" applyFill="1"/>
    <xf numFmtId="0" fontId="20" fillId="0" borderId="0" xfId="0" applyFont="1"/>
    <xf numFmtId="0" fontId="20" fillId="11" borderId="15" xfId="0" applyFont="1" applyFill="1" applyBorder="1"/>
    <xf numFmtId="4" fontId="20" fillId="0" borderId="0" xfId="0" applyNumberFormat="1" applyFont="1"/>
    <xf numFmtId="0" fontId="21" fillId="0" borderId="0" xfId="0" applyFont="1"/>
    <xf numFmtId="0" fontId="21" fillId="0" borderId="7" xfId="0" applyFont="1" applyBorder="1"/>
    <xf numFmtId="0" fontId="20" fillId="0" borderId="7" xfId="0" applyFont="1" applyBorder="1"/>
    <xf numFmtId="2" fontId="20" fillId="0" borderId="0" xfId="0" applyNumberFormat="1" applyFont="1"/>
    <xf numFmtId="166" fontId="20" fillId="0" borderId="0" xfId="0" applyNumberFormat="1" applyFont="1"/>
    <xf numFmtId="0" fontId="21" fillId="0" borderId="7" xfId="0" applyFont="1" applyBorder="1" applyAlignment="1">
      <alignment wrapText="1"/>
    </xf>
    <xf numFmtId="0" fontId="5" fillId="3" borderId="0" xfId="0" applyFont="1" applyFill="1" applyAlignment="1">
      <alignment horizontal="center"/>
    </xf>
    <xf numFmtId="9" fontId="0" fillId="9" borderId="0" xfId="0" applyNumberFormat="1" applyFill="1"/>
    <xf numFmtId="0" fontId="2" fillId="9" borderId="0" xfId="0" applyFont="1" applyFill="1"/>
    <xf numFmtId="2" fontId="20" fillId="11" borderId="15" xfId="0" applyNumberFormat="1" applyFont="1" applyFill="1" applyBorder="1"/>
    <xf numFmtId="0" fontId="20" fillId="0" borderId="9" xfId="0" applyFont="1" applyBorder="1"/>
    <xf numFmtId="168" fontId="2" fillId="9" borderId="0" xfId="0" applyNumberFormat="1" applyFont="1" applyFill="1"/>
    <xf numFmtId="0" fontId="2" fillId="12" borderId="0" xfId="0" applyFont="1" applyFill="1"/>
    <xf numFmtId="9" fontId="0" fillId="12" borderId="0" xfId="0" applyNumberFormat="1" applyFill="1"/>
    <xf numFmtId="43" fontId="2" fillId="12" borderId="0" xfId="0" applyNumberFormat="1" applyFont="1" applyFill="1"/>
    <xf numFmtId="8" fontId="2" fillId="12" borderId="0" xfId="0" applyNumberFormat="1" applyFont="1" applyFill="1"/>
    <xf numFmtId="0" fontId="22" fillId="0" borderId="0" xfId="0" applyFont="1"/>
    <xf numFmtId="0" fontId="0" fillId="0" borderId="0" xfId="0" applyBorder="1"/>
    <xf numFmtId="0" fontId="0" fillId="0" borderId="0" xfId="0" applyBorder="1" applyAlignment="1">
      <alignment horizontal="left" vertical="top" wrapText="1"/>
    </xf>
    <xf numFmtId="0" fontId="0" fillId="0" borderId="9" xfId="0" applyFill="1" applyBorder="1"/>
    <xf numFmtId="0" fontId="23" fillId="0" borderId="0" xfId="0" applyFont="1" applyFill="1" applyBorder="1"/>
    <xf numFmtId="0" fontId="23" fillId="0" borderId="0" xfId="0" applyFont="1"/>
    <xf numFmtId="165" fontId="0" fillId="0" borderId="9" xfId="3" applyNumberFormat="1" applyFont="1" applyBorder="1"/>
    <xf numFmtId="165" fontId="0" fillId="0" borderId="0" xfId="3" applyNumberFormat="1" applyFont="1" applyBorder="1"/>
    <xf numFmtId="0" fontId="0" fillId="5" borderId="0" xfId="0" applyFill="1" applyAlignment="1"/>
    <xf numFmtId="0" fontId="20" fillId="0" borderId="0" xfId="0" applyFont="1" applyBorder="1"/>
    <xf numFmtId="0" fontId="20" fillId="0" borderId="16" xfId="0" applyFont="1" applyBorder="1"/>
    <xf numFmtId="0" fontId="20" fillId="11" borderId="17" xfId="0" applyFont="1" applyFill="1" applyBorder="1"/>
    <xf numFmtId="1" fontId="20" fillId="0" borderId="16" xfId="0" applyNumberFormat="1" applyFont="1" applyBorder="1"/>
    <xf numFmtId="0" fontId="6" fillId="4" borderId="8" xfId="0" applyFont="1" applyFill="1" applyBorder="1" applyAlignment="1">
      <alignment horizontal="left"/>
    </xf>
    <xf numFmtId="0" fontId="20" fillId="11" borderId="18" xfId="0" applyFont="1" applyFill="1" applyBorder="1"/>
    <xf numFmtId="0" fontId="21" fillId="0" borderId="0" xfId="0" applyFont="1" applyBorder="1"/>
    <xf numFmtId="0" fontId="20" fillId="0" borderId="19" xfId="0" applyFont="1" applyBorder="1"/>
    <xf numFmtId="0" fontId="20" fillId="11" borderId="20" xfId="0" applyFont="1" applyFill="1" applyBorder="1"/>
    <xf numFmtId="0" fontId="20" fillId="0" borderId="10" xfId="0" applyFont="1" applyBorder="1"/>
    <xf numFmtId="0" fontId="21" fillId="0" borderId="10" xfId="0" applyFont="1" applyBorder="1"/>
    <xf numFmtId="0" fontId="24" fillId="0" borderId="0" xfId="0" applyFont="1"/>
    <xf numFmtId="165" fontId="21" fillId="0" borderId="7" xfId="0" applyNumberFormat="1" applyFont="1" applyBorder="1"/>
    <xf numFmtId="165" fontId="0" fillId="7" borderId="0" xfId="3" applyNumberFormat="1" applyFont="1" applyFill="1"/>
    <xf numFmtId="165" fontId="20" fillId="0" borderId="0" xfId="3" applyNumberFormat="1" applyFont="1"/>
    <xf numFmtId="0" fontId="25" fillId="0" borderId="7" xfId="0" applyFont="1" applyBorder="1"/>
    <xf numFmtId="2" fontId="0" fillId="0" borderId="16" xfId="0" applyNumberFormat="1" applyBorder="1"/>
    <xf numFmtId="0" fontId="1" fillId="13" borderId="0" xfId="10" applyFill="1"/>
    <xf numFmtId="0" fontId="1" fillId="0" borderId="0" xfId="10"/>
    <xf numFmtId="0" fontId="18" fillId="0" borderId="0" xfId="5"/>
    <xf numFmtId="0" fontId="26" fillId="0" borderId="0" xfId="10" applyFont="1"/>
    <xf numFmtId="0" fontId="27" fillId="0" borderId="0" xfId="10" applyFont="1"/>
    <xf numFmtId="0" fontId="28" fillId="0" borderId="0" xfId="10" applyFont="1"/>
    <xf numFmtId="0" fontId="29" fillId="0" borderId="0" xfId="10" applyFont="1"/>
    <xf numFmtId="0" fontId="30" fillId="0" borderId="0" xfId="10" applyFont="1"/>
    <xf numFmtId="2" fontId="30" fillId="0" borderId="0" xfId="10" applyNumberFormat="1" applyFont="1" applyAlignment="1">
      <alignment horizontal="left"/>
    </xf>
    <xf numFmtId="0" fontId="31" fillId="0" borderId="0" xfId="10" applyFont="1"/>
    <xf numFmtId="169" fontId="32" fillId="0" borderId="0" xfId="10" applyNumberFormat="1" applyFont="1" applyAlignment="1">
      <alignment horizontal="left"/>
    </xf>
    <xf numFmtId="0" fontId="33" fillId="0" borderId="0" xfId="10" applyFont="1"/>
    <xf numFmtId="165" fontId="23" fillId="0" borderId="0" xfId="0" applyNumberFormat="1" applyFont="1"/>
    <xf numFmtId="0" fontId="14" fillId="0" borderId="7" xfId="0" applyFont="1" applyBorder="1"/>
    <xf numFmtId="0" fontId="0" fillId="8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4" fillId="13" borderId="0" xfId="10" applyFont="1" applyFill="1"/>
    <xf numFmtId="0" fontId="35" fillId="13" borderId="0" xfId="10" applyFont="1" applyFill="1"/>
  </cellXfs>
  <cellStyles count="11">
    <cellStyle name="Comma" xfId="3" builtinId="3"/>
    <cellStyle name="Comma 2" xfId="2" xr:uid="{A5356D63-7CD7-41AF-8342-6537B169A5E2}"/>
    <cellStyle name="Currency" xfId="1" builtinId="4"/>
    <cellStyle name="Currency 2" xfId="7" xr:uid="{933DD289-0F5C-4FA7-8E17-2750E3EA31AC}"/>
    <cellStyle name="Currency 2 2" xfId="8" xr:uid="{CDDAD6E9-F05C-462C-944F-CE3DAC9A7BAD}"/>
    <cellStyle name="Normal" xfId="0" builtinId="0"/>
    <cellStyle name="Normal 2" xfId="5" xr:uid="{CFF0384B-95ED-48EB-8E89-1899913A69F0}"/>
    <cellStyle name="Normal 2 2" xfId="4" xr:uid="{2EF9AE8C-0EB4-4FBF-A7AA-37DAB6432346}"/>
    <cellStyle name="Normal 2 3" xfId="6" xr:uid="{1E0B48BB-5973-46B0-8578-15825C588C93}"/>
    <cellStyle name="Normal 2 4" xfId="9" xr:uid="{D79537C1-DE86-4E69-BBED-5A7A88D7139F}"/>
    <cellStyle name="Normal 3" xfId="10" xr:uid="{DF792F5D-DFE7-4311-9B96-1D8771A8E72B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9A258F"/>
      <color rgb="FF996DD0"/>
      <color rgb="FFD6B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67144288634863E-2"/>
          <c:y val="7.9638398622470935E-2"/>
          <c:w val="0.92463281287200283"/>
          <c:h val="0.77486009470512274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'Reset RIN'!$C$57</c:f>
              <c:strCache>
                <c:ptCount val="1"/>
                <c:pt idx="0">
                  <c:v>Internal combustion engine</c:v>
                </c:pt>
              </c:strCache>
            </c:strRef>
          </c:tx>
          <c:spPr>
            <a:solidFill>
              <a:srgbClr val="9A258F"/>
            </a:solidFill>
            <a:ln>
              <a:solidFill>
                <a:srgbClr val="9A258F"/>
              </a:solidFill>
            </a:ln>
            <a:effectLst/>
          </c:spPr>
          <c:invertIfNegative val="0"/>
          <c:cat>
            <c:strRef>
              <c:f>'Reset RIN'!$E$53:$I$53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'Reset RIN'!$E$57:$I$57</c:f>
              <c:numCache>
                <c:formatCode>General</c:formatCode>
                <c:ptCount val="5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99-4E50-AF3D-14542F460A02}"/>
            </c:ext>
          </c:extLst>
        </c:ser>
        <c:ser>
          <c:idx val="1"/>
          <c:order val="1"/>
          <c:tx>
            <c:strRef>
              <c:f>'Reset RIN'!$C$56</c:f>
              <c:strCache>
                <c:ptCount val="1"/>
                <c:pt idx="0">
                  <c:v>Hybrid</c:v>
                </c:pt>
              </c:strCache>
            </c:strRef>
          </c:tx>
          <c:spPr>
            <a:solidFill>
              <a:srgbClr val="D6B7D7"/>
            </a:solidFill>
            <a:ln>
              <a:solidFill>
                <a:srgbClr val="D6B7D7"/>
              </a:solidFill>
            </a:ln>
            <a:effectLst/>
          </c:spPr>
          <c:invertIfNegative val="0"/>
          <c:cat>
            <c:strRef>
              <c:f>'Reset RIN'!$E$53:$I$53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'Reset RIN'!$E$56:$I$56</c:f>
              <c:numCache>
                <c:formatCode>General</c:formatCode>
                <c:ptCount val="5"/>
                <c:pt idx="0">
                  <c:v>18</c:v>
                </c:pt>
                <c:pt idx="1">
                  <c:v>20</c:v>
                </c:pt>
                <c:pt idx="2">
                  <c:v>21</c:v>
                </c:pt>
                <c:pt idx="3">
                  <c:v>24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9-4E50-AF3D-14542F460A02}"/>
            </c:ext>
          </c:extLst>
        </c:ser>
        <c:ser>
          <c:idx val="0"/>
          <c:order val="2"/>
          <c:tx>
            <c:strRef>
              <c:f>'Reset RIN'!$C$55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rgbClr val="592E8E"/>
            </a:solidFill>
            <a:ln>
              <a:solidFill>
                <a:srgbClr val="592E8E"/>
              </a:solidFill>
            </a:ln>
            <a:effectLst/>
          </c:spPr>
          <c:invertIfNegative val="0"/>
          <c:cat>
            <c:strRef>
              <c:f>'Reset RIN'!$E$53:$I$53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'Reset RIN'!$E$55:$I$55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12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9-4E50-AF3D-14542F460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63641200"/>
        <c:axId val="1263626800"/>
      </c:barChart>
      <c:catAx>
        <c:axId val="126364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15000"/>
                    <a:lumOff val="8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626800"/>
        <c:crosses val="autoZero"/>
        <c:auto val="1"/>
        <c:lblAlgn val="ctr"/>
        <c:lblOffset val="100"/>
        <c:tickMarkSkip val="1"/>
        <c:noMultiLvlLbl val="0"/>
      </c:catAx>
      <c:valAx>
        <c:axId val="126362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641200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5367144288634863E-2"/>
          <c:y val="0.94842669002657853"/>
          <c:w val="0.83790531003247004"/>
          <c:h val="5.1573309973421466E-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2F2F2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2AE2BDC7-DE4D-4B35-A635-B2C71493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450" y="2254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390126</xdr:colOff>
      <xdr:row>50</xdr:row>
      <xdr:rowOff>66277</xdr:rowOff>
    </xdr:from>
    <xdr:to>
      <xdr:col>20</xdr:col>
      <xdr:colOff>53576</xdr:colOff>
      <xdr:row>66</xdr:row>
      <xdr:rowOff>158987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C762B8-A7B5-F885-6AD3-58DDCE4BE2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2AB9-FCE2-41F7-8846-8D39125A5B59}">
  <sheetPr codeName="Sheet2">
    <tabColor theme="1" tint="0.34998626667073579"/>
  </sheetPr>
  <dimension ref="A1:K43"/>
  <sheetViews>
    <sheetView showGridLines="0" tabSelected="1" workbookViewId="0"/>
  </sheetViews>
  <sheetFormatPr defaultColWidth="0" defaultRowHeight="13" customHeight="1" zeroHeight="1" x14ac:dyDescent="0.3"/>
  <cols>
    <col min="1" max="1" width="12.81640625" style="128" customWidth="1"/>
    <col min="2" max="2" width="2.54296875" style="128" customWidth="1"/>
    <col min="3" max="3" width="16.81640625" style="128" customWidth="1"/>
    <col min="4" max="11" width="10.6328125" style="128" customWidth="1"/>
    <col min="12" max="16384" width="10.6328125" style="128" hidden="1"/>
  </cols>
  <sheetData>
    <row r="1" spans="1:11" ht="14.5" x14ac:dyDescent="0.35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3" x14ac:dyDescent="0.5">
      <c r="A2" s="126"/>
      <c r="B2" s="127"/>
      <c r="C2" s="129" t="s">
        <v>403</v>
      </c>
      <c r="D2" s="130"/>
      <c r="E2" s="130"/>
      <c r="F2" s="127"/>
      <c r="G2" s="127"/>
      <c r="H2" s="127"/>
      <c r="I2" s="127"/>
      <c r="J2" s="127"/>
      <c r="K2" s="127"/>
    </row>
    <row r="3" spans="1:11" ht="15.5" x14ac:dyDescent="0.35">
      <c r="A3" s="126"/>
      <c r="B3" s="127"/>
      <c r="C3" s="131" t="s">
        <v>404</v>
      </c>
      <c r="D3" s="130"/>
      <c r="E3" s="130"/>
      <c r="F3" s="127"/>
      <c r="G3" s="127"/>
      <c r="H3" s="127"/>
      <c r="I3" s="127"/>
      <c r="J3" s="127"/>
      <c r="K3" s="127"/>
    </row>
    <row r="4" spans="1:11" ht="14.5" x14ac:dyDescent="0.35">
      <c r="A4" s="126"/>
      <c r="B4" s="127"/>
      <c r="C4" s="127"/>
      <c r="D4" s="130"/>
      <c r="E4" s="130"/>
      <c r="F4" s="127"/>
      <c r="G4" s="127"/>
      <c r="H4" s="127"/>
      <c r="I4" s="127"/>
      <c r="J4" s="127"/>
      <c r="K4" s="127"/>
    </row>
    <row r="5" spans="1:11" ht="14.5" x14ac:dyDescent="0.35">
      <c r="A5" s="126"/>
      <c r="B5" s="127"/>
      <c r="C5" s="132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Fleet</v>
      </c>
      <c r="D5" s="127"/>
      <c r="E5" s="127"/>
      <c r="F5" s="127"/>
      <c r="G5" s="127"/>
      <c r="H5" s="127"/>
      <c r="I5" s="127"/>
      <c r="J5" s="127"/>
      <c r="K5" s="127"/>
    </row>
    <row r="6" spans="1:11" ht="14.5" x14ac:dyDescent="0.35">
      <c r="A6" s="126"/>
      <c r="B6" s="127"/>
      <c r="C6" s="133" t="s">
        <v>405</v>
      </c>
      <c r="D6" s="134" t="str" cm="1">
        <f t="array" aca="1" ref="D6" ca="1">LEFT(_xlfn.TEXTAFTER(CELL("filename")," MOD "),FIND(" - ",_xlfn.TEXTAFTER(CELL("filename")," MOD "),1)-1)</f>
        <v>8.03</v>
      </c>
      <c r="E6" s="133"/>
      <c r="F6" s="127"/>
      <c r="G6" s="127"/>
      <c r="H6" s="127"/>
      <c r="I6" s="127"/>
      <c r="J6" s="127"/>
      <c r="K6" s="127"/>
    </row>
    <row r="7" spans="1:11" ht="14.5" x14ac:dyDescent="0.35">
      <c r="A7" s="126"/>
      <c r="B7" s="127"/>
      <c r="C7" s="127"/>
      <c r="D7" s="127"/>
      <c r="E7" s="127"/>
      <c r="F7" s="135"/>
      <c r="G7" s="135"/>
      <c r="H7" s="135"/>
      <c r="I7" s="127"/>
      <c r="J7" s="135"/>
      <c r="K7" s="135"/>
    </row>
    <row r="8" spans="1:11" ht="14.5" x14ac:dyDescent="0.35">
      <c r="A8" s="126"/>
      <c r="B8" s="127"/>
      <c r="C8" s="136">
        <v>45688</v>
      </c>
      <c r="D8" s="127"/>
      <c r="E8" s="127"/>
      <c r="F8" s="135"/>
      <c r="G8" s="135"/>
      <c r="H8" s="135"/>
      <c r="I8" s="127"/>
      <c r="J8" s="135"/>
      <c r="K8" s="135"/>
    </row>
    <row r="9" spans="1:11" ht="14.5" x14ac:dyDescent="0.35">
      <c r="A9" s="126"/>
      <c r="B9" s="127"/>
      <c r="C9" s="137"/>
      <c r="D9" s="137"/>
      <c r="E9" s="127"/>
      <c r="F9" s="135"/>
      <c r="G9" s="135"/>
      <c r="H9" s="135"/>
      <c r="I9" s="135"/>
      <c r="J9" s="135"/>
      <c r="K9" s="135"/>
    </row>
    <row r="10" spans="1:11" ht="14.5" x14ac:dyDescent="0.35">
      <c r="A10" s="126"/>
      <c r="B10" s="127"/>
      <c r="C10" s="137"/>
      <c r="D10" s="137"/>
      <c r="E10" s="127"/>
      <c r="F10" s="135"/>
      <c r="G10" s="135"/>
      <c r="H10" s="135"/>
      <c r="I10" s="135"/>
      <c r="J10" s="135"/>
      <c r="K10" s="135"/>
    </row>
    <row r="11" spans="1:11" ht="14.5" x14ac:dyDescent="0.35">
      <c r="A11" s="126"/>
      <c r="B11" s="127"/>
      <c r="C11" s="137"/>
      <c r="D11" s="137"/>
      <c r="E11" s="127"/>
      <c r="F11" s="135"/>
      <c r="G11" s="135"/>
      <c r="H11" s="135"/>
      <c r="I11" s="135"/>
      <c r="J11" s="135"/>
      <c r="K11" s="135"/>
    </row>
    <row r="12" spans="1:11" ht="14.5" x14ac:dyDescent="0.35">
      <c r="A12" s="126"/>
      <c r="B12" s="127"/>
      <c r="C12" s="137"/>
      <c r="D12" s="137"/>
      <c r="E12" s="127"/>
      <c r="F12" s="135"/>
      <c r="G12" s="135"/>
      <c r="H12" s="135"/>
      <c r="I12" s="135"/>
      <c r="J12" s="135"/>
      <c r="K12" s="135"/>
    </row>
    <row r="13" spans="1:11" ht="14.5" x14ac:dyDescent="0.35">
      <c r="A13" s="126"/>
      <c r="B13" s="127"/>
      <c r="C13" s="137"/>
      <c r="D13" s="137"/>
      <c r="E13" s="127"/>
      <c r="F13" s="135"/>
      <c r="G13" s="135"/>
      <c r="H13" s="135"/>
      <c r="I13" s="135"/>
      <c r="J13" s="135"/>
      <c r="K13" s="135"/>
    </row>
    <row r="14" spans="1:11" ht="14.5" x14ac:dyDescent="0.35">
      <c r="A14" s="126"/>
      <c r="B14" s="127"/>
      <c r="C14" s="135"/>
      <c r="D14" s="135"/>
      <c r="E14" s="135"/>
      <c r="F14" s="135"/>
      <c r="G14" s="135"/>
      <c r="H14" s="135"/>
      <c r="I14" s="135"/>
      <c r="J14" s="135"/>
      <c r="K14" s="135"/>
    </row>
    <row r="15" spans="1:11" ht="14.5" x14ac:dyDescent="0.35">
      <c r="A15" s="126"/>
      <c r="B15" s="127"/>
      <c r="C15" s="132"/>
      <c r="D15" s="135"/>
      <c r="E15" s="135"/>
      <c r="F15" s="135"/>
      <c r="G15" s="135"/>
      <c r="H15" s="135"/>
      <c r="I15" s="135"/>
      <c r="J15" s="135"/>
      <c r="K15" s="135"/>
    </row>
    <row r="16" spans="1:11" ht="14.5" x14ac:dyDescent="0.35">
      <c r="A16" s="126"/>
      <c r="B16" s="127"/>
      <c r="C16" s="132"/>
      <c r="D16" s="135"/>
      <c r="E16" s="135"/>
      <c r="F16" s="135"/>
      <c r="G16" s="135"/>
      <c r="H16" s="135"/>
      <c r="I16" s="135"/>
      <c r="J16" s="135"/>
      <c r="K16" s="135"/>
    </row>
    <row r="17" spans="1:11" ht="14.5" x14ac:dyDescent="0.35">
      <c r="A17" s="126"/>
      <c r="B17" s="127"/>
      <c r="C17" s="135"/>
      <c r="D17" s="135"/>
      <c r="E17" s="135"/>
      <c r="F17" s="135"/>
      <c r="G17" s="135"/>
      <c r="H17" s="135"/>
      <c r="I17" s="135"/>
      <c r="J17" s="135"/>
      <c r="K17" s="135"/>
    </row>
    <row r="18" spans="1:11" ht="14.5" x14ac:dyDescent="0.35">
      <c r="A18" s="126"/>
      <c r="B18" s="127"/>
      <c r="C18" s="135"/>
      <c r="D18" s="135"/>
      <c r="E18" s="135"/>
      <c r="F18" s="135"/>
      <c r="G18" s="135"/>
      <c r="H18" s="135"/>
      <c r="I18" s="135"/>
      <c r="J18" s="135"/>
      <c r="K18" s="135"/>
    </row>
    <row r="19" spans="1:11" ht="14.5" x14ac:dyDescent="0.35">
      <c r="A19" s="126"/>
      <c r="B19" s="127"/>
      <c r="C19" s="135"/>
      <c r="D19" s="135"/>
      <c r="E19" s="135"/>
      <c r="F19" s="135"/>
      <c r="H19" s="135"/>
      <c r="I19" s="135"/>
      <c r="J19" s="135"/>
      <c r="K19" s="135"/>
    </row>
    <row r="20" spans="1:11" ht="14.5" x14ac:dyDescent="0.35">
      <c r="A20" s="126"/>
      <c r="B20" s="127"/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11" ht="14.5" x14ac:dyDescent="0.35">
      <c r="A21" s="126"/>
      <c r="B21" s="127"/>
      <c r="C21" s="135"/>
      <c r="D21" s="135"/>
      <c r="E21" s="135"/>
      <c r="F21" s="135"/>
      <c r="G21" s="135"/>
      <c r="H21" s="135"/>
      <c r="I21" s="135"/>
      <c r="J21" s="135"/>
      <c r="K21" s="135"/>
    </row>
    <row r="22" spans="1:11" ht="14.5" x14ac:dyDescent="0.35">
      <c r="A22" s="126"/>
      <c r="B22" s="127"/>
      <c r="C22" s="135"/>
      <c r="D22" s="135"/>
      <c r="E22" s="135"/>
      <c r="F22" s="135"/>
      <c r="G22" s="135"/>
      <c r="H22" s="135"/>
      <c r="I22" s="135"/>
      <c r="J22" s="135"/>
      <c r="K22" s="135"/>
    </row>
    <row r="23" spans="1:11" ht="14.5" x14ac:dyDescent="0.35">
      <c r="A23" s="126"/>
      <c r="B23" s="127"/>
      <c r="C23" s="135"/>
      <c r="D23" s="135"/>
      <c r="E23" s="135"/>
      <c r="F23" s="135"/>
      <c r="G23" s="135"/>
      <c r="H23" s="135"/>
      <c r="I23" s="135"/>
      <c r="J23" s="135"/>
      <c r="K23" s="135"/>
    </row>
    <row r="24" spans="1:11" ht="14.5" x14ac:dyDescent="0.35">
      <c r="A24" s="126"/>
      <c r="B24" s="127"/>
      <c r="C24" s="135"/>
      <c r="D24" s="135"/>
      <c r="E24" s="135"/>
      <c r="F24" s="135"/>
      <c r="G24" s="135"/>
      <c r="H24" s="135"/>
      <c r="I24" s="135"/>
      <c r="J24" s="135"/>
      <c r="K24" s="135"/>
    </row>
    <row r="25" spans="1:11" ht="14.5" x14ac:dyDescent="0.35">
      <c r="A25" s="126"/>
      <c r="B25" s="127"/>
      <c r="C25" s="135"/>
      <c r="D25" s="135"/>
      <c r="E25" s="135"/>
      <c r="F25" s="135"/>
      <c r="G25" s="135"/>
      <c r="H25" s="135"/>
      <c r="I25" s="135"/>
      <c r="J25" s="135"/>
      <c r="K25" s="135"/>
    </row>
    <row r="26" spans="1:11" ht="14.5" x14ac:dyDescent="0.35">
      <c r="A26" s="126"/>
      <c r="B26" s="127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11" ht="14.5" x14ac:dyDescent="0.35">
      <c r="A27" s="126"/>
      <c r="B27" s="127"/>
      <c r="C27" s="135"/>
      <c r="D27" s="135"/>
      <c r="E27" s="135"/>
      <c r="F27" s="135"/>
      <c r="G27" s="135"/>
      <c r="H27" s="135"/>
      <c r="I27" s="135"/>
      <c r="J27" s="135"/>
      <c r="K27" s="135"/>
    </row>
    <row r="28" spans="1:11" ht="14.5" x14ac:dyDescent="0.35">
      <c r="A28" s="126"/>
      <c r="B28" s="127"/>
      <c r="C28" s="135"/>
      <c r="D28" s="135"/>
      <c r="E28" s="135"/>
      <c r="F28" s="135"/>
      <c r="G28" s="135"/>
      <c r="H28" s="135"/>
      <c r="I28" s="135"/>
      <c r="J28" s="135"/>
      <c r="K28" s="135"/>
    </row>
    <row r="29" spans="1:11" ht="14.5" x14ac:dyDescent="0.35">
      <c r="A29" s="126"/>
      <c r="B29" s="127"/>
      <c r="C29" s="135"/>
      <c r="D29" s="135"/>
      <c r="E29" s="135"/>
      <c r="F29" s="135"/>
      <c r="G29" s="135"/>
      <c r="H29" s="135"/>
      <c r="I29" s="135"/>
      <c r="J29" s="135"/>
      <c r="K29" s="135"/>
    </row>
    <row r="30" spans="1:11" ht="14.5" x14ac:dyDescent="0.35">
      <c r="A30" s="126"/>
      <c r="B30" s="127"/>
      <c r="C30" s="135"/>
      <c r="D30" s="127"/>
      <c r="E30" s="135"/>
      <c r="F30" s="135"/>
      <c r="G30" s="135"/>
      <c r="H30" s="135"/>
      <c r="I30" s="135"/>
      <c r="J30" s="135"/>
      <c r="K30" s="135"/>
    </row>
    <row r="31" spans="1:11" ht="14.5" x14ac:dyDescent="0.35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spans="1:11" ht="14.5" x14ac:dyDescent="0.35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spans="1:11" ht="14.5" x14ac:dyDescent="0.35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spans="1:11" ht="14.5" x14ac:dyDescent="0.35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spans="1:11" ht="14.5" x14ac:dyDescent="0.35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spans="1:11" ht="14.5" x14ac:dyDescent="0.35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ht="14.5" x14ac:dyDescent="0.35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 ht="14.5" x14ac:dyDescent="0.35">
      <c r="A38" s="126"/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 ht="14.5" x14ac:dyDescent="0.35">
      <c r="A39" s="126"/>
      <c r="B39" s="127"/>
      <c r="C39" s="127"/>
      <c r="D39" s="127"/>
      <c r="E39" s="127"/>
      <c r="F39" s="127"/>
      <c r="G39" s="127"/>
      <c r="H39" s="127"/>
      <c r="I39" s="127"/>
      <c r="J39" s="127"/>
      <c r="K39" s="127"/>
    </row>
    <row r="40" spans="1:11" ht="14.5" x14ac:dyDescent="0.35">
      <c r="A40" s="126"/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 ht="14.5" x14ac:dyDescent="0.35">
      <c r="A41" s="126"/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ht="14.5" x14ac:dyDescent="0.35">
      <c r="A42" s="126"/>
      <c r="B42" s="127"/>
      <c r="C42" s="127"/>
      <c r="D42" s="127"/>
      <c r="E42" s="127"/>
      <c r="F42" s="127"/>
      <c r="G42" s="127"/>
      <c r="H42" s="127"/>
      <c r="I42" s="127"/>
      <c r="J42" s="127"/>
      <c r="K42" s="127"/>
    </row>
    <row r="43" spans="1:11" ht="14.5" x14ac:dyDescent="0.35">
      <c r="A43" s="126"/>
      <c r="B43" s="127"/>
      <c r="C43" s="127"/>
      <c r="D43" s="127"/>
      <c r="E43" s="127"/>
      <c r="F43" s="127"/>
      <c r="G43" s="127"/>
      <c r="H43" s="127"/>
      <c r="I43" s="127"/>
      <c r="J43" s="127"/>
      <c r="K43" s="127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F263-76B7-4E7E-B585-DA588BCDBA06}">
  <sheetPr codeName="Sheet1"/>
  <dimension ref="A1:M37"/>
  <sheetViews>
    <sheetView showGridLines="0" zoomScale="84" workbookViewId="0">
      <selection activeCell="A3" sqref="A3"/>
    </sheetView>
  </sheetViews>
  <sheetFormatPr defaultRowHeight="14.5" x14ac:dyDescent="0.35"/>
  <cols>
    <col min="3" max="3" width="21.7265625" customWidth="1"/>
    <col min="4" max="4" width="15.81640625" customWidth="1"/>
    <col min="5" max="5" width="14.1796875" customWidth="1"/>
    <col min="6" max="6" width="12.1796875" bestFit="1" customWidth="1"/>
    <col min="7" max="8" width="11.81640625" bestFit="1" customWidth="1"/>
    <col min="9" max="9" width="14.453125" bestFit="1" customWidth="1"/>
    <col min="11" max="11" width="14.7265625" customWidth="1"/>
    <col min="13" max="13" width="9.81640625" customWidth="1"/>
  </cols>
  <sheetData>
    <row r="1" spans="1:11" ht="23.5" x14ac:dyDescent="0.55000000000000004">
      <c r="A1" s="145" t="s">
        <v>403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1" x14ac:dyDescent="0.5">
      <c r="A2" s="144" t="s">
        <v>413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4" spans="1:11" s="32" customFormat="1" x14ac:dyDescent="0.35">
      <c r="A4" s="33" t="s">
        <v>400</v>
      </c>
    </row>
    <row r="7" spans="1:11" x14ac:dyDescent="0.35">
      <c r="E7" s="48" t="s">
        <v>0</v>
      </c>
      <c r="F7" s="48" t="s">
        <v>1</v>
      </c>
      <c r="G7" s="48" t="s">
        <v>2</v>
      </c>
      <c r="H7" s="48" t="s">
        <v>3</v>
      </c>
      <c r="I7" s="48" t="s">
        <v>4</v>
      </c>
      <c r="K7" s="48" t="s">
        <v>75</v>
      </c>
    </row>
    <row r="8" spans="1:11" x14ac:dyDescent="0.35">
      <c r="C8" t="s">
        <v>76</v>
      </c>
      <c r="E8" s="35">
        <f>Costs!E1*10^-6</f>
        <v>0</v>
      </c>
      <c r="F8" s="35">
        <f>Costs!F1*10^-6</f>
        <v>0</v>
      </c>
      <c r="G8" s="35">
        <f>Costs!G1*10^-6</f>
        <v>0</v>
      </c>
      <c r="H8" s="35">
        <f>Costs!H1*10^-6</f>
        <v>0</v>
      </c>
      <c r="I8" s="35">
        <f>Costs!I1*10^-6</f>
        <v>0</v>
      </c>
      <c r="J8" s="35"/>
      <c r="K8" s="35">
        <f>Costs!K1*10^-6</f>
        <v>0</v>
      </c>
    </row>
    <row r="9" spans="1:11" x14ac:dyDescent="0.35">
      <c r="C9" t="s">
        <v>77</v>
      </c>
      <c r="E9" s="35">
        <f>(Costs!E27-Costs!E1)*10^-6</f>
        <v>0</v>
      </c>
      <c r="F9" s="35">
        <f>(Costs!F27-Costs!F1)*10^-6</f>
        <v>0</v>
      </c>
      <c r="G9" s="35">
        <f>(Costs!G27-Costs!G1)*10^-6</f>
        <v>0</v>
      </c>
      <c r="H9" s="35">
        <f>(Costs!H27-Costs!H1)*10^-6</f>
        <v>0</v>
      </c>
      <c r="I9" s="35">
        <f>(Costs!I27-Costs!I1)*10^-6</f>
        <v>0</v>
      </c>
      <c r="J9" s="35"/>
      <c r="K9" s="35">
        <f>(Costs!K27-Costs!K1)*10^-6</f>
        <v>0</v>
      </c>
    </row>
    <row r="10" spans="1:11" x14ac:dyDescent="0.35">
      <c r="C10" s="49" t="s">
        <v>78</v>
      </c>
      <c r="D10" s="49"/>
      <c r="E10" s="51">
        <f>Costs!E27*10^-6</f>
        <v>0</v>
      </c>
      <c r="F10" s="51">
        <f>Costs!F27*10^-6</f>
        <v>0</v>
      </c>
      <c r="G10" s="51">
        <f>Costs!G27*10^-6</f>
        <v>0</v>
      </c>
      <c r="H10" s="51">
        <f>Costs!H27*10^-6</f>
        <v>0</v>
      </c>
      <c r="I10" s="51">
        <f>Costs!I27*10^-6</f>
        <v>0</v>
      </c>
      <c r="J10" s="51"/>
      <c r="K10" s="51">
        <f>Costs!K27*10^-6</f>
        <v>0</v>
      </c>
    </row>
    <row r="13" spans="1:11" s="32" customFormat="1" x14ac:dyDescent="0.35">
      <c r="A13" s="33" t="s">
        <v>399</v>
      </c>
    </row>
    <row r="16" spans="1:11" x14ac:dyDescent="0.35">
      <c r="E16" s="48" t="s">
        <v>0</v>
      </c>
      <c r="F16" s="48" t="s">
        <v>1</v>
      </c>
      <c r="G16" s="48" t="s">
        <v>2</v>
      </c>
      <c r="H16" s="48" t="s">
        <v>3</v>
      </c>
      <c r="I16" s="48" t="s">
        <v>4</v>
      </c>
      <c r="K16" s="48" t="s">
        <v>75</v>
      </c>
    </row>
    <row r="17" spans="1:13" x14ac:dyDescent="0.35">
      <c r="C17" t="s">
        <v>76</v>
      </c>
      <c r="E17" s="35">
        <f>Costs!E9*10^-6</f>
        <v>0</v>
      </c>
      <c r="F17" s="35">
        <f>Costs!F9*10^-6</f>
        <v>0</v>
      </c>
      <c r="G17" s="35">
        <f>Costs!G9*10^-6</f>
        <v>0.13</v>
      </c>
      <c r="H17" s="35">
        <f>Costs!H9*10^-6</f>
        <v>0</v>
      </c>
      <c r="I17" s="35">
        <f>Costs!I9*10^-6</f>
        <v>0</v>
      </c>
      <c r="J17" s="35"/>
      <c r="K17" s="35">
        <f>Costs!K9*10^-6</f>
        <v>0.13</v>
      </c>
    </row>
    <row r="18" spans="1:13" x14ac:dyDescent="0.35">
      <c r="C18" t="s">
        <v>77</v>
      </c>
      <c r="E18" s="35">
        <f>(Costs!E35-Costs!E9)*10^-6</f>
        <v>0</v>
      </c>
      <c r="F18" s="35">
        <f>(Costs!F35-Costs!F9)*10^-6</f>
        <v>0</v>
      </c>
      <c r="G18" s="35">
        <f>(Costs!G35-Costs!G9)*10^-6</f>
        <v>0</v>
      </c>
      <c r="H18" s="35">
        <f>(Costs!H35-Costs!H9)*10^-6</f>
        <v>0</v>
      </c>
      <c r="I18" s="35">
        <f>(Costs!I35-Costs!I9)*10^-6</f>
        <v>0</v>
      </c>
      <c r="J18" s="35"/>
      <c r="K18" s="35">
        <f>(Costs!K35-Costs!K9)*10^-6</f>
        <v>0</v>
      </c>
    </row>
    <row r="19" spans="1:13" x14ac:dyDescent="0.35">
      <c r="C19" s="49" t="s">
        <v>78</v>
      </c>
      <c r="D19" s="49"/>
      <c r="E19" s="51">
        <f>Costs!E35*10^-6</f>
        <v>0</v>
      </c>
      <c r="F19" s="51">
        <f>Costs!F35*10^-6</f>
        <v>0</v>
      </c>
      <c r="G19" s="51">
        <f>Costs!G35*10^-6</f>
        <v>0.13</v>
      </c>
      <c r="H19" s="51">
        <f>Costs!H35*10^-6</f>
        <v>0</v>
      </c>
      <c r="I19" s="51">
        <f>Costs!I35*10^-6</f>
        <v>0</v>
      </c>
      <c r="J19" s="51"/>
      <c r="K19" s="51">
        <f>Costs!K35*10^-6</f>
        <v>0.13</v>
      </c>
    </row>
    <row r="20" spans="1:13" x14ac:dyDescent="0.35">
      <c r="E20" s="35"/>
      <c r="F20" s="35"/>
      <c r="G20" s="35"/>
      <c r="H20" s="35"/>
      <c r="I20" s="35"/>
      <c r="J20" s="35"/>
      <c r="K20" s="35"/>
    </row>
    <row r="22" spans="1:13" s="32" customFormat="1" x14ac:dyDescent="0.35">
      <c r="A22" s="33" t="s">
        <v>398</v>
      </c>
      <c r="D22" s="124" t="s">
        <v>401</v>
      </c>
    </row>
    <row r="25" spans="1:13" x14ac:dyDescent="0.35">
      <c r="E25" s="48" t="s">
        <v>0</v>
      </c>
      <c r="F25" s="48" t="s">
        <v>1</v>
      </c>
      <c r="G25" s="48" t="s">
        <v>2</v>
      </c>
      <c r="H25" s="48" t="s">
        <v>3</v>
      </c>
      <c r="I25" s="48" t="s">
        <v>4</v>
      </c>
      <c r="K25" s="48" t="s">
        <v>75</v>
      </c>
    </row>
    <row r="26" spans="1:13" x14ac:dyDescent="0.35">
      <c r="C26" t="s">
        <v>76</v>
      </c>
      <c r="E26" s="35">
        <f>Costs!E24*10^-6</f>
        <v>4.8879999999999999</v>
      </c>
      <c r="F26" s="35">
        <f>Costs!F24*10^-6</f>
        <v>5.72</v>
      </c>
      <c r="G26" s="35">
        <f>Costs!G24*10^-6</f>
        <v>3.028</v>
      </c>
      <c r="H26" s="35">
        <f>Costs!H24*10^-6</f>
        <v>2.5269999999999997</v>
      </c>
      <c r="I26" s="35">
        <f>Costs!I24*10^-6</f>
        <v>2.1989999999999998</v>
      </c>
      <c r="J26" s="35"/>
      <c r="K26" s="35">
        <f>Costs!K24*10^-6</f>
        <v>18.361999999999998</v>
      </c>
    </row>
    <row r="27" spans="1:13" x14ac:dyDescent="0.35">
      <c r="C27" t="s">
        <v>77</v>
      </c>
      <c r="E27" s="35">
        <f>(Costs!E50-Costs!E24)*10^-6</f>
        <v>2.9659999999999997</v>
      </c>
      <c r="F27" s="35">
        <f>(Costs!F50-Costs!F24)*10^-6</f>
        <v>4.21</v>
      </c>
      <c r="G27" s="35">
        <f>(Costs!G50-Costs!G24)*10^-6</f>
        <v>2.5949999999999998</v>
      </c>
      <c r="H27" s="35">
        <f>(Costs!H50-Costs!H24)*10^-6</f>
        <v>5.1419999999999995</v>
      </c>
      <c r="I27" s="35">
        <f>(Costs!I50-Costs!I24)*10^-6</f>
        <v>22.061</v>
      </c>
      <c r="J27" s="35"/>
      <c r="K27" s="35">
        <f>(Costs!K50-Costs!K24)*10^-6</f>
        <v>36.973999999999997</v>
      </c>
    </row>
    <row r="28" spans="1:13" x14ac:dyDescent="0.35">
      <c r="C28" s="49" t="s">
        <v>78</v>
      </c>
      <c r="D28" s="49"/>
      <c r="E28" s="51">
        <f>Costs!E50*10^-6</f>
        <v>7.8539999999999992</v>
      </c>
      <c r="F28" s="51">
        <f>Costs!F50*10^-6</f>
        <v>9.93</v>
      </c>
      <c r="G28" s="51">
        <f>Costs!G50*10^-6</f>
        <v>5.6229999999999993</v>
      </c>
      <c r="H28" s="51">
        <f>Costs!H50*10^-6</f>
        <v>7.6689999999999996</v>
      </c>
      <c r="I28" s="51">
        <f>Costs!I50*10^-6</f>
        <v>24.259999999999998</v>
      </c>
      <c r="J28" s="51"/>
      <c r="K28" s="51">
        <f>Costs!K50*10^-6</f>
        <v>55.335999999999999</v>
      </c>
    </row>
    <row r="29" spans="1:13" x14ac:dyDescent="0.35">
      <c r="E29" s="35"/>
      <c r="F29" s="35"/>
      <c r="G29" s="35"/>
      <c r="H29" s="35"/>
      <c r="I29" s="35"/>
      <c r="J29" s="35"/>
      <c r="K29" s="35"/>
    </row>
    <row r="30" spans="1:13" x14ac:dyDescent="0.35">
      <c r="C30" t="s">
        <v>79</v>
      </c>
      <c r="E30" s="35">
        <f ca="1">(Costs!E76-Costs!E50)*10^-6</f>
        <v>0.24</v>
      </c>
      <c r="F30" s="35">
        <f ca="1">(Costs!F76-Costs!F50)*10^-6</f>
        <v>3.032E-2</v>
      </c>
      <c r="G30" s="35">
        <f ca="1">(Costs!G76-Costs!G50)*10^-6</f>
        <v>0.11710999999999999</v>
      </c>
      <c r="H30" s="35">
        <f ca="1">(Costs!H76-Costs!H50)*10^-6</f>
        <v>0.11227999999999999</v>
      </c>
      <c r="I30" s="35">
        <f ca="1">(Costs!I76-Costs!I50)*10^-6</f>
        <v>0.22400999999999999</v>
      </c>
      <c r="J30" s="35"/>
      <c r="K30" s="35">
        <f ca="1">(Costs!K76-Costs!K50)*10^-6</f>
        <v>0.72371999999999992</v>
      </c>
      <c r="M30" s="35"/>
    </row>
    <row r="31" spans="1:13" x14ac:dyDescent="0.35">
      <c r="C31" s="49" t="s">
        <v>80</v>
      </c>
      <c r="D31" s="49"/>
      <c r="E31" s="51">
        <f ca="1">Costs!E76*10^-6</f>
        <v>8.0939999999999994</v>
      </c>
      <c r="F31" s="51">
        <f ca="1">Costs!F76*10^-6</f>
        <v>9.9603199999999994</v>
      </c>
      <c r="G31" s="51">
        <f ca="1">Costs!G76*10^-6</f>
        <v>5.7401099999999996</v>
      </c>
      <c r="H31" s="51">
        <f ca="1">Costs!H76*10^-6</f>
        <v>7.7812799999999998</v>
      </c>
      <c r="I31" s="51">
        <f ca="1">Costs!I76*10^-6</f>
        <v>24.484009999999998</v>
      </c>
      <c r="J31" s="51"/>
      <c r="K31" s="51">
        <f ca="1">Costs!K76*10^-6</f>
        <v>56.059719999999999</v>
      </c>
    </row>
    <row r="32" spans="1:13" x14ac:dyDescent="0.35">
      <c r="D32" s="34"/>
      <c r="E32" s="77"/>
      <c r="F32" s="77"/>
      <c r="G32" s="77"/>
      <c r="H32" s="77"/>
      <c r="I32" s="77"/>
      <c r="J32" s="67"/>
      <c r="K32" s="77"/>
    </row>
    <row r="33" spans="3:11" x14ac:dyDescent="0.35">
      <c r="C33" t="s">
        <v>402</v>
      </c>
      <c r="E33" s="35">
        <f ca="1">Benefits!F80*10^-6</f>
        <v>0.35161385767421144</v>
      </c>
      <c r="F33" s="35">
        <f ca="1">Benefits!G80*10^-6</f>
        <v>5.2913036101223609E-2</v>
      </c>
      <c r="G33" s="35">
        <f ca="1">Benefits!H80*10^-6</f>
        <v>0.13185439575261451</v>
      </c>
      <c r="H33" s="35">
        <f ca="1">Benefits!I80*10^-6</f>
        <v>0.14548186796470222</v>
      </c>
      <c r="I33" s="35">
        <f ca="1">Benefits!J80*10^-6</f>
        <v>0.29609045239011111</v>
      </c>
      <c r="J33" s="35"/>
      <c r="K33" s="35">
        <f ca="1">Benefits!L80*10^-6</f>
        <v>0.97795360988286273</v>
      </c>
    </row>
    <row r="34" spans="3:11" ht="15" thickBot="1" x14ac:dyDescent="0.4">
      <c r="C34" s="50" t="s">
        <v>81</v>
      </c>
      <c r="D34" s="50"/>
      <c r="E34" s="51">
        <f ca="1">E33-E30</f>
        <v>0.11161385767421145</v>
      </c>
      <c r="F34" s="51">
        <f t="shared" ref="F34:K34" ca="1" si="0">F33-F30</f>
        <v>2.259303610122361E-2</v>
      </c>
      <c r="G34" s="51">
        <f t="shared" ca="1" si="0"/>
        <v>1.474439575261452E-2</v>
      </c>
      <c r="H34" s="51">
        <f t="shared" ca="1" si="0"/>
        <v>3.3201867964702231E-2</v>
      </c>
      <c r="I34" s="51">
        <f t="shared" ca="1" si="0"/>
        <v>7.2080452390111127E-2</v>
      </c>
      <c r="J34" s="51"/>
      <c r="K34" s="51">
        <f t="shared" ca="1" si="0"/>
        <v>0.25423360988286281</v>
      </c>
    </row>
    <row r="35" spans="3:11" x14ac:dyDescent="0.35">
      <c r="D35" s="34"/>
      <c r="E35" s="77"/>
      <c r="F35" s="77"/>
      <c r="G35" s="77"/>
      <c r="H35" s="77"/>
      <c r="I35" s="77"/>
      <c r="J35" s="67"/>
      <c r="K35" s="77"/>
    </row>
    <row r="36" spans="3:11" x14ac:dyDescent="0.35">
      <c r="C36" s="92" t="s">
        <v>82</v>
      </c>
      <c r="D36" s="91"/>
      <c r="E36" s="95">
        <f ca="1">E31*Assumptions!$S32</f>
        <v>9.007914960095933</v>
      </c>
      <c r="F36" s="95">
        <f ca="1">F31*Assumptions!$S32</f>
        <v>11.084966090356154</v>
      </c>
      <c r="G36" s="95">
        <f ca="1">G31*Assumptions!$S32</f>
        <v>6.3882410108223695</v>
      </c>
      <c r="H36" s="95">
        <f ca="1">H31*Assumptions!$S32</f>
        <v>8.6598849173085348</v>
      </c>
      <c r="I36" s="95">
        <f ca="1">I31*Assumptions!$S32</f>
        <v>27.248564363990411</v>
      </c>
      <c r="J36" s="78"/>
      <c r="K36" s="95">
        <f ca="1">K31*Assumptions!$S32</f>
        <v>62.389571342573404</v>
      </c>
    </row>
    <row r="37" spans="3:11" x14ac:dyDescent="0.35">
      <c r="C37" s="96" t="s">
        <v>83</v>
      </c>
      <c r="D37" s="97"/>
      <c r="E37" s="98">
        <f>Benefits!F94*10^-6*Assumptions!$S32</f>
        <v>0</v>
      </c>
      <c r="F37" s="98">
        <f ca="1">Benefits!G94*10^-6*Assumptions!$S32</f>
        <v>3.463126415118014E-2</v>
      </c>
      <c r="G37" s="98">
        <f ca="1">Benefits!H94*10^-6*Assumptions!$S32</f>
        <v>3.922360362655114E-2</v>
      </c>
      <c r="H37" s="98">
        <f ca="1">Benefits!I94*10^-6*Assumptions!$S32</f>
        <v>5.1139236653130395E-2</v>
      </c>
      <c r="I37" s="98">
        <f ca="1">Benefits!J94*10^-6*Assumptions!$S32</f>
        <v>6.3371892137794539E-2</v>
      </c>
      <c r="J37" s="96"/>
      <c r="K37" s="99">
        <f ca="1">SUM(E37:I37)</f>
        <v>0.18836599656865621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F4894-97D5-4B23-B134-60895F00086F}">
  <sheetPr codeName="Sheet6"/>
  <dimension ref="A1:X463"/>
  <sheetViews>
    <sheetView showGridLines="0" zoomScaleNormal="100" workbookViewId="0">
      <pane ySplit="5" topLeftCell="A179" activePane="bottomLeft" state="frozen"/>
      <selection activeCell="E1" sqref="E1"/>
      <selection pane="bottomLeft" sqref="A1:XFD2"/>
    </sheetView>
  </sheetViews>
  <sheetFormatPr defaultRowHeight="14.5" outlineLevelCol="1" x14ac:dyDescent="0.35"/>
  <cols>
    <col min="1" max="1" width="15.81640625" bestFit="1" customWidth="1"/>
    <col min="2" max="2" width="9.453125" customWidth="1"/>
    <col min="3" max="3" width="40.54296875" bestFit="1" customWidth="1"/>
    <col min="4" max="4" width="23.54296875" bestFit="1" customWidth="1"/>
    <col min="5" max="6" width="22.54296875" bestFit="1" customWidth="1"/>
    <col min="7" max="7" width="19" bestFit="1" customWidth="1"/>
    <col min="8" max="10" width="19.26953125" bestFit="1" customWidth="1"/>
    <col min="11" max="11" width="18.54296875" bestFit="1" customWidth="1"/>
    <col min="13" max="13" width="7.81640625" bestFit="1" customWidth="1"/>
    <col min="14" max="14" width="16.54296875" bestFit="1" customWidth="1"/>
    <col min="15" max="15" width="8.81640625" style="36" bestFit="1" customWidth="1"/>
    <col min="18" max="18" width="12.54296875" customWidth="1" outlineLevel="1"/>
    <col min="19" max="21" width="12.7265625" customWidth="1" outlineLevel="1"/>
    <col min="22" max="22" width="12.26953125" customWidth="1" outlineLevel="1"/>
  </cols>
  <sheetData>
    <row r="1" spans="1:24" ht="23.5" x14ac:dyDescent="0.55000000000000004">
      <c r="A1" s="145" t="s">
        <v>403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O1"/>
    </row>
    <row r="2" spans="1:24" ht="21" x14ac:dyDescent="0.5">
      <c r="A2" s="144" t="s">
        <v>413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O2"/>
    </row>
    <row r="3" spans="1:24" x14ac:dyDescent="0.35">
      <c r="O3"/>
    </row>
    <row r="5" spans="1:24" ht="24.5" x14ac:dyDescent="0.35">
      <c r="A5" s="53" t="s">
        <v>84</v>
      </c>
      <c r="B5" s="53" t="s">
        <v>85</v>
      </c>
      <c r="C5" s="53" t="s">
        <v>86</v>
      </c>
      <c r="D5" s="54" t="s">
        <v>87</v>
      </c>
      <c r="E5" s="54" t="s">
        <v>88</v>
      </c>
      <c r="F5" s="54" t="s">
        <v>89</v>
      </c>
      <c r="G5" s="55">
        <v>46568</v>
      </c>
      <c r="H5" s="55">
        <v>46934</v>
      </c>
      <c r="I5" s="55">
        <v>47299</v>
      </c>
      <c r="J5" s="55">
        <v>47664</v>
      </c>
      <c r="K5" s="55">
        <v>48029</v>
      </c>
      <c r="L5" s="56"/>
      <c r="M5" s="54" t="s">
        <v>90</v>
      </c>
      <c r="N5" s="57" t="s">
        <v>91</v>
      </c>
      <c r="O5" s="55" t="s">
        <v>92</v>
      </c>
      <c r="P5" s="56"/>
      <c r="Q5" s="56"/>
      <c r="R5" s="55">
        <v>46568</v>
      </c>
      <c r="S5" s="55">
        <v>46934</v>
      </c>
      <c r="T5" s="55">
        <v>47299</v>
      </c>
      <c r="U5" s="55">
        <v>47664</v>
      </c>
      <c r="V5" s="55">
        <v>48029</v>
      </c>
      <c r="W5" s="56"/>
      <c r="X5" s="56"/>
    </row>
    <row r="6" spans="1:24" x14ac:dyDescent="0.35">
      <c r="A6" s="1" t="s">
        <v>93</v>
      </c>
      <c r="B6" s="2">
        <v>2005</v>
      </c>
      <c r="C6" s="1" t="s">
        <v>94</v>
      </c>
      <c r="D6" s="3" t="s">
        <v>72</v>
      </c>
      <c r="E6" s="4" t="s">
        <v>95</v>
      </c>
      <c r="F6" s="4" t="s">
        <v>96</v>
      </c>
      <c r="G6" s="5"/>
      <c r="H6" s="5"/>
      <c r="I6" s="5"/>
      <c r="J6" s="5"/>
      <c r="K6" s="5"/>
      <c r="M6" s="4">
        <v>10</v>
      </c>
      <c r="N6" s="8">
        <f t="shared" ref="N6:N69" si="0">MAX(G6:K6)</f>
        <v>0</v>
      </c>
      <c r="O6" s="47" t="str" cm="1">
        <f t="array" ref="O6">_xlfn.IFNA(YEAR(INDEX($G$5:$K$5,,MATCH(1,G6:K6,-1))),"")</f>
        <v/>
      </c>
      <c r="R6" s="8">
        <f t="shared" ref="R6:V15" si="1">IF($O6="",0,IF(MOD(YEAR(R$5)-$O6,$M6)=0,$N6,0))</f>
        <v>0</v>
      </c>
      <c r="S6" s="8">
        <f t="shared" si="1"/>
        <v>0</v>
      </c>
      <c r="T6" s="8">
        <f t="shared" si="1"/>
        <v>0</v>
      </c>
      <c r="U6" s="8">
        <f t="shared" si="1"/>
        <v>0</v>
      </c>
      <c r="V6" s="8">
        <f t="shared" si="1"/>
        <v>0</v>
      </c>
    </row>
    <row r="7" spans="1:24" x14ac:dyDescent="0.35">
      <c r="A7" s="1" t="s">
        <v>97</v>
      </c>
      <c r="B7" s="2">
        <v>1989</v>
      </c>
      <c r="C7" s="1" t="s">
        <v>98</v>
      </c>
      <c r="D7" s="3" t="s">
        <v>99</v>
      </c>
      <c r="E7" s="4" t="s">
        <v>100</v>
      </c>
      <c r="F7" s="4" t="s">
        <v>96</v>
      </c>
      <c r="G7" s="7"/>
      <c r="H7" s="7"/>
      <c r="I7" s="7"/>
      <c r="J7" s="7"/>
      <c r="K7" s="7"/>
      <c r="M7" s="4">
        <v>15</v>
      </c>
      <c r="N7" s="8">
        <f t="shared" si="0"/>
        <v>0</v>
      </c>
      <c r="O7" s="47" t="str" cm="1">
        <f t="array" ref="O7">_xlfn.IFNA(YEAR(INDEX($G$5:$K$5,,MATCH(1,G7:K7,-1))),"")</f>
        <v/>
      </c>
      <c r="R7" s="8">
        <f t="shared" si="1"/>
        <v>0</v>
      </c>
      <c r="S7" s="8">
        <f t="shared" si="1"/>
        <v>0</v>
      </c>
      <c r="T7" s="8">
        <f t="shared" si="1"/>
        <v>0</v>
      </c>
      <c r="U7" s="8">
        <f t="shared" si="1"/>
        <v>0</v>
      </c>
      <c r="V7" s="8">
        <f t="shared" si="1"/>
        <v>0</v>
      </c>
    </row>
    <row r="8" spans="1:24" x14ac:dyDescent="0.35">
      <c r="A8" s="1" t="s">
        <v>93</v>
      </c>
      <c r="B8" s="2">
        <v>2004</v>
      </c>
      <c r="C8" s="1" t="s">
        <v>101</v>
      </c>
      <c r="D8" s="3" t="s">
        <v>72</v>
      </c>
      <c r="E8" s="4" t="s">
        <v>95</v>
      </c>
      <c r="F8" s="4" t="s">
        <v>96</v>
      </c>
      <c r="G8" s="8"/>
      <c r="H8" s="8"/>
      <c r="I8" s="8"/>
      <c r="J8" s="8"/>
      <c r="K8" s="8"/>
      <c r="M8" s="4">
        <v>20</v>
      </c>
      <c r="N8" s="8">
        <f t="shared" si="0"/>
        <v>0</v>
      </c>
      <c r="O8" s="47" t="str" cm="1">
        <f t="array" ref="O8">_xlfn.IFNA(YEAR(INDEX($G$5:$K$5,,MATCH(1,G8:K8,-1))),"")</f>
        <v/>
      </c>
      <c r="R8" s="8">
        <f t="shared" si="1"/>
        <v>0</v>
      </c>
      <c r="S8" s="8">
        <f t="shared" si="1"/>
        <v>0</v>
      </c>
      <c r="T8" s="8">
        <f t="shared" si="1"/>
        <v>0</v>
      </c>
      <c r="U8" s="8">
        <f t="shared" si="1"/>
        <v>0</v>
      </c>
      <c r="V8" s="8">
        <f t="shared" si="1"/>
        <v>0</v>
      </c>
    </row>
    <row r="9" spans="1:24" x14ac:dyDescent="0.35">
      <c r="A9" s="9" t="s">
        <v>93</v>
      </c>
      <c r="B9" s="6">
        <v>2005</v>
      </c>
      <c r="C9" s="9" t="s">
        <v>93</v>
      </c>
      <c r="D9" s="31" t="s">
        <v>72</v>
      </c>
      <c r="E9" s="4" t="s">
        <v>95</v>
      </c>
      <c r="F9" s="4" t="s">
        <v>96</v>
      </c>
      <c r="G9" s="8"/>
      <c r="H9" s="8"/>
      <c r="I9" s="8"/>
      <c r="J9" s="8"/>
      <c r="K9" s="8"/>
      <c r="M9" s="4">
        <v>10</v>
      </c>
      <c r="N9" s="8">
        <f t="shared" si="0"/>
        <v>0</v>
      </c>
      <c r="O9" s="47" t="str" cm="1">
        <f t="array" ref="O9">_xlfn.IFNA(YEAR(INDEX($G$5:$K$5,,MATCH(1,G9:K9,-1))),"")</f>
        <v/>
      </c>
      <c r="R9" s="8">
        <f t="shared" si="1"/>
        <v>0</v>
      </c>
      <c r="S9" s="8">
        <f t="shared" si="1"/>
        <v>0</v>
      </c>
      <c r="T9" s="8">
        <f t="shared" si="1"/>
        <v>0</v>
      </c>
      <c r="U9" s="8">
        <f t="shared" si="1"/>
        <v>0</v>
      </c>
      <c r="V9" s="8">
        <f t="shared" si="1"/>
        <v>0</v>
      </c>
    </row>
    <row r="10" spans="1:24" x14ac:dyDescent="0.35">
      <c r="A10" s="10" t="s">
        <v>93</v>
      </c>
      <c r="B10" s="6">
        <v>2005</v>
      </c>
      <c r="C10" s="10" t="s">
        <v>93</v>
      </c>
      <c r="D10" s="31" t="s">
        <v>72</v>
      </c>
      <c r="E10" s="4" t="s">
        <v>95</v>
      </c>
      <c r="F10" s="4" t="s">
        <v>96</v>
      </c>
      <c r="G10" s="8"/>
      <c r="H10" s="8">
        <v>890000</v>
      </c>
      <c r="I10" s="8"/>
      <c r="J10" s="8"/>
      <c r="K10" s="8"/>
      <c r="M10" s="4">
        <v>20</v>
      </c>
      <c r="N10" s="8">
        <f t="shared" si="0"/>
        <v>890000</v>
      </c>
      <c r="O10" s="47" cm="1">
        <f t="array" ref="O10">_xlfn.IFNA(YEAR(INDEX($G$5:$K$5,,MATCH(1,G10:K10,-1))),"")</f>
        <v>2028</v>
      </c>
      <c r="R10" s="8">
        <f t="shared" si="1"/>
        <v>0</v>
      </c>
      <c r="S10" s="8">
        <f t="shared" si="1"/>
        <v>890000</v>
      </c>
      <c r="T10" s="8">
        <f t="shared" si="1"/>
        <v>0</v>
      </c>
      <c r="U10" s="8">
        <f t="shared" si="1"/>
        <v>0</v>
      </c>
      <c r="V10" s="8">
        <f t="shared" si="1"/>
        <v>0</v>
      </c>
    </row>
    <row r="11" spans="1:24" x14ac:dyDescent="0.35">
      <c r="A11" s="9" t="s">
        <v>93</v>
      </c>
      <c r="B11" s="6">
        <v>2005</v>
      </c>
      <c r="C11" s="9" t="s">
        <v>93</v>
      </c>
      <c r="D11" s="31" t="s">
        <v>72</v>
      </c>
      <c r="E11" s="4" t="s">
        <v>95</v>
      </c>
      <c r="F11" s="4" t="s">
        <v>96</v>
      </c>
      <c r="G11" s="8"/>
      <c r="H11" s="8"/>
      <c r="I11" s="8"/>
      <c r="J11" s="8"/>
      <c r="K11" s="8"/>
      <c r="M11" s="4">
        <v>10</v>
      </c>
      <c r="N11" s="8">
        <f t="shared" si="0"/>
        <v>0</v>
      </c>
      <c r="O11" s="47" t="str" cm="1">
        <f t="array" ref="O11">_xlfn.IFNA(YEAR(INDEX($G$5:$K$5,,MATCH(1,G11:K11,-1))),"")</f>
        <v/>
      </c>
      <c r="R11" s="8">
        <f t="shared" si="1"/>
        <v>0</v>
      </c>
      <c r="S11" s="8">
        <f t="shared" si="1"/>
        <v>0</v>
      </c>
      <c r="T11" s="8">
        <f t="shared" si="1"/>
        <v>0</v>
      </c>
      <c r="U11" s="8">
        <f t="shared" si="1"/>
        <v>0</v>
      </c>
      <c r="V11" s="8">
        <f t="shared" si="1"/>
        <v>0</v>
      </c>
    </row>
    <row r="12" spans="1:24" x14ac:dyDescent="0.35">
      <c r="A12" s="1" t="s">
        <v>93</v>
      </c>
      <c r="B12" s="2">
        <v>2005</v>
      </c>
      <c r="C12" s="1" t="s">
        <v>102</v>
      </c>
      <c r="D12" s="3" t="s">
        <v>72</v>
      </c>
      <c r="E12" s="4" t="s">
        <v>95</v>
      </c>
      <c r="F12" s="4" t="s">
        <v>96</v>
      </c>
      <c r="G12" s="8"/>
      <c r="H12" s="8"/>
      <c r="I12" s="8"/>
      <c r="J12" s="8"/>
      <c r="K12" s="8"/>
      <c r="M12" s="4">
        <v>10</v>
      </c>
      <c r="N12" s="8">
        <f t="shared" si="0"/>
        <v>0</v>
      </c>
      <c r="O12" s="47" t="str" cm="1">
        <f t="array" ref="O12">_xlfn.IFNA(YEAR(INDEX($G$5:$K$5,,MATCH(1,G12:K12,-1))),"")</f>
        <v/>
      </c>
      <c r="R12" s="8">
        <f t="shared" si="1"/>
        <v>0</v>
      </c>
      <c r="S12" s="8">
        <f t="shared" si="1"/>
        <v>0</v>
      </c>
      <c r="T12" s="8">
        <f t="shared" si="1"/>
        <v>0</v>
      </c>
      <c r="U12" s="8">
        <f t="shared" si="1"/>
        <v>0</v>
      </c>
      <c r="V12" s="8">
        <f t="shared" si="1"/>
        <v>0</v>
      </c>
    </row>
    <row r="13" spans="1:24" x14ac:dyDescent="0.35">
      <c r="A13" s="9" t="s">
        <v>103</v>
      </c>
      <c r="B13" s="6">
        <v>2006</v>
      </c>
      <c r="C13" s="9" t="s">
        <v>103</v>
      </c>
      <c r="D13" s="31" t="s">
        <v>99</v>
      </c>
      <c r="E13" s="4" t="s">
        <v>95</v>
      </c>
      <c r="F13" s="4" t="s">
        <v>96</v>
      </c>
      <c r="G13" s="8"/>
      <c r="H13" s="8"/>
      <c r="I13" s="8"/>
      <c r="J13" s="8">
        <v>25000</v>
      </c>
      <c r="K13" s="8"/>
      <c r="M13" s="4">
        <v>15</v>
      </c>
      <c r="N13" s="8">
        <f t="shared" si="0"/>
        <v>25000</v>
      </c>
      <c r="O13" s="47" cm="1">
        <f t="array" ref="O13">_xlfn.IFNA(YEAR(INDEX($G$5:$K$5,,MATCH(1,G13:K13,-1))),"")</f>
        <v>2030</v>
      </c>
      <c r="R13" s="8">
        <f t="shared" si="1"/>
        <v>0</v>
      </c>
      <c r="S13" s="8">
        <f t="shared" si="1"/>
        <v>0</v>
      </c>
      <c r="T13" s="8">
        <f t="shared" si="1"/>
        <v>0</v>
      </c>
      <c r="U13" s="8">
        <f t="shared" si="1"/>
        <v>25000</v>
      </c>
      <c r="V13" s="8">
        <f t="shared" si="1"/>
        <v>0</v>
      </c>
    </row>
    <row r="14" spans="1:24" x14ac:dyDescent="0.35">
      <c r="A14" s="9" t="s">
        <v>93</v>
      </c>
      <c r="B14" s="6">
        <v>2006</v>
      </c>
      <c r="C14" s="9" t="s">
        <v>93</v>
      </c>
      <c r="D14" s="31" t="s">
        <v>72</v>
      </c>
      <c r="E14" s="4" t="s">
        <v>95</v>
      </c>
      <c r="F14" s="4" t="s">
        <v>96</v>
      </c>
      <c r="G14" s="8"/>
      <c r="H14" s="8"/>
      <c r="I14" s="8"/>
      <c r="J14" s="8"/>
      <c r="K14" s="8"/>
      <c r="M14" s="4">
        <v>10</v>
      </c>
      <c r="N14" s="8">
        <f t="shared" si="0"/>
        <v>0</v>
      </c>
      <c r="O14" s="47" t="str" cm="1">
        <f t="array" ref="O14">_xlfn.IFNA(YEAR(INDEX($G$5:$K$5,,MATCH(1,G14:K14,-1))),"")</f>
        <v/>
      </c>
      <c r="R14" s="8">
        <f t="shared" si="1"/>
        <v>0</v>
      </c>
      <c r="S14" s="8">
        <f t="shared" si="1"/>
        <v>0</v>
      </c>
      <c r="T14" s="8">
        <f t="shared" si="1"/>
        <v>0</v>
      </c>
      <c r="U14" s="8">
        <f t="shared" si="1"/>
        <v>0</v>
      </c>
      <c r="V14" s="8">
        <f t="shared" si="1"/>
        <v>0</v>
      </c>
    </row>
    <row r="15" spans="1:24" x14ac:dyDescent="0.35">
      <c r="A15" s="1" t="s">
        <v>93</v>
      </c>
      <c r="B15" s="2">
        <v>2006</v>
      </c>
      <c r="C15" s="1" t="s">
        <v>104</v>
      </c>
      <c r="D15" s="3" t="s">
        <v>22</v>
      </c>
      <c r="E15" s="4" t="s">
        <v>95</v>
      </c>
      <c r="F15" s="4" t="s">
        <v>96</v>
      </c>
      <c r="G15" s="8"/>
      <c r="H15" s="8">
        <v>920000</v>
      </c>
      <c r="I15" s="8"/>
      <c r="J15" s="8"/>
      <c r="K15" s="8"/>
      <c r="M15" s="4">
        <v>15</v>
      </c>
      <c r="N15" s="8">
        <f t="shared" si="0"/>
        <v>920000</v>
      </c>
      <c r="O15" s="47" cm="1">
        <f t="array" ref="O15">_xlfn.IFNA(YEAR(INDEX($G$5:$K$5,,MATCH(1,G15:K15,-1))),"")</f>
        <v>2028</v>
      </c>
      <c r="R15" s="8">
        <f t="shared" si="1"/>
        <v>0</v>
      </c>
      <c r="S15" s="8">
        <f t="shared" si="1"/>
        <v>920000</v>
      </c>
      <c r="T15" s="8">
        <f t="shared" si="1"/>
        <v>0</v>
      </c>
      <c r="U15" s="8">
        <f t="shared" si="1"/>
        <v>0</v>
      </c>
      <c r="V15" s="8">
        <f t="shared" si="1"/>
        <v>0</v>
      </c>
    </row>
    <row r="16" spans="1:24" x14ac:dyDescent="0.35">
      <c r="A16" s="9" t="s">
        <v>93</v>
      </c>
      <c r="B16" s="6">
        <v>2006</v>
      </c>
      <c r="C16" s="9" t="s">
        <v>93</v>
      </c>
      <c r="D16" s="31" t="s">
        <v>22</v>
      </c>
      <c r="E16" s="4" t="s">
        <v>95</v>
      </c>
      <c r="F16" s="4" t="s">
        <v>96</v>
      </c>
      <c r="G16" s="8"/>
      <c r="H16" s="8">
        <v>900000</v>
      </c>
      <c r="I16" s="8"/>
      <c r="J16" s="8"/>
      <c r="K16" s="8"/>
      <c r="M16" s="4">
        <v>15</v>
      </c>
      <c r="N16" s="8">
        <f t="shared" si="0"/>
        <v>900000</v>
      </c>
      <c r="O16" s="47" cm="1">
        <f t="array" ref="O16">_xlfn.IFNA(YEAR(INDEX($G$5:$K$5,,MATCH(1,G16:K16,-1))),"")</f>
        <v>2028</v>
      </c>
      <c r="R16" s="8">
        <f t="shared" ref="R16:V25" si="2">IF($O16="",0,IF(MOD(YEAR(R$5)-$O16,$M16)=0,$N16,0))</f>
        <v>0</v>
      </c>
      <c r="S16" s="8">
        <f t="shared" si="2"/>
        <v>900000</v>
      </c>
      <c r="T16" s="8">
        <f t="shared" si="2"/>
        <v>0</v>
      </c>
      <c r="U16" s="8">
        <f t="shared" si="2"/>
        <v>0</v>
      </c>
      <c r="V16" s="8">
        <f t="shared" si="2"/>
        <v>0</v>
      </c>
    </row>
    <row r="17" spans="1:22" x14ac:dyDescent="0.35">
      <c r="A17" s="12" t="s">
        <v>105</v>
      </c>
      <c r="B17" s="6">
        <v>2007</v>
      </c>
      <c r="C17" s="12" t="s">
        <v>105</v>
      </c>
      <c r="D17" s="31" t="s">
        <v>99</v>
      </c>
      <c r="E17" s="4" t="s">
        <v>95</v>
      </c>
      <c r="F17" s="4" t="s">
        <v>96</v>
      </c>
      <c r="G17" s="8">
        <v>250000</v>
      </c>
      <c r="H17" s="8"/>
      <c r="I17" s="8"/>
      <c r="J17" s="8"/>
      <c r="K17" s="8"/>
      <c r="M17" s="4">
        <v>15</v>
      </c>
      <c r="N17" s="8">
        <f t="shared" si="0"/>
        <v>250000</v>
      </c>
      <c r="O17" s="47" cm="1">
        <f t="array" ref="O17">_xlfn.IFNA(YEAR(INDEX($G$5:$K$5,,MATCH(1,G17:K17,-1))),"")</f>
        <v>2027</v>
      </c>
      <c r="R17" s="8">
        <f t="shared" si="2"/>
        <v>250000</v>
      </c>
      <c r="S17" s="8">
        <f t="shared" si="2"/>
        <v>0</v>
      </c>
      <c r="T17" s="8">
        <f t="shared" si="2"/>
        <v>0</v>
      </c>
      <c r="U17" s="8">
        <f t="shared" si="2"/>
        <v>0</v>
      </c>
      <c r="V17" s="8">
        <f t="shared" si="2"/>
        <v>0</v>
      </c>
    </row>
    <row r="18" spans="1:22" x14ac:dyDescent="0.35">
      <c r="A18" s="9" t="s">
        <v>106</v>
      </c>
      <c r="B18" s="6">
        <v>2007</v>
      </c>
      <c r="C18" s="9" t="s">
        <v>106</v>
      </c>
      <c r="D18" s="31" t="s">
        <v>99</v>
      </c>
      <c r="E18" s="4" t="s">
        <v>100</v>
      </c>
      <c r="F18" s="4" t="s">
        <v>96</v>
      </c>
      <c r="G18" s="8">
        <v>65000</v>
      </c>
      <c r="H18" s="8"/>
      <c r="I18" s="8"/>
      <c r="J18" s="8"/>
      <c r="K18" s="8"/>
      <c r="M18" s="4">
        <v>15</v>
      </c>
      <c r="N18" s="8">
        <f t="shared" si="0"/>
        <v>65000</v>
      </c>
      <c r="O18" s="47" cm="1">
        <f t="array" ref="O18">_xlfn.IFNA(YEAR(INDEX($G$5:$K$5,,MATCH(1,G18:K18,-1))),"")</f>
        <v>2027</v>
      </c>
      <c r="R18" s="8">
        <f t="shared" si="2"/>
        <v>65000</v>
      </c>
      <c r="S18" s="8">
        <f t="shared" si="2"/>
        <v>0</v>
      </c>
      <c r="T18" s="8">
        <f t="shared" si="2"/>
        <v>0</v>
      </c>
      <c r="U18" s="8">
        <f t="shared" si="2"/>
        <v>0</v>
      </c>
      <c r="V18" s="8">
        <f t="shared" si="2"/>
        <v>0</v>
      </c>
    </row>
    <row r="19" spans="1:22" x14ac:dyDescent="0.35">
      <c r="A19" s="9" t="s">
        <v>107</v>
      </c>
      <c r="B19" s="6">
        <v>2007</v>
      </c>
      <c r="C19" s="9" t="s">
        <v>107</v>
      </c>
      <c r="D19" s="31" t="s">
        <v>99</v>
      </c>
      <c r="E19" s="4" t="s">
        <v>100</v>
      </c>
      <c r="F19" s="4" t="s">
        <v>96</v>
      </c>
      <c r="G19" s="8"/>
      <c r="H19" s="8"/>
      <c r="I19" s="8"/>
      <c r="J19" s="8"/>
      <c r="K19" s="8"/>
      <c r="M19" s="4">
        <v>15</v>
      </c>
      <c r="N19" s="8">
        <f t="shared" si="0"/>
        <v>0</v>
      </c>
      <c r="O19" s="47" t="str" cm="1">
        <f t="array" ref="O19">_xlfn.IFNA(YEAR(INDEX($G$5:$K$5,,MATCH(1,G19:K19,-1))),"")</f>
        <v/>
      </c>
      <c r="R19" s="8">
        <f t="shared" si="2"/>
        <v>0</v>
      </c>
      <c r="S19" s="8">
        <f t="shared" si="2"/>
        <v>0</v>
      </c>
      <c r="T19" s="8">
        <f t="shared" si="2"/>
        <v>0</v>
      </c>
      <c r="U19" s="8">
        <f t="shared" si="2"/>
        <v>0</v>
      </c>
      <c r="V19" s="8">
        <f t="shared" si="2"/>
        <v>0</v>
      </c>
    </row>
    <row r="20" spans="1:22" x14ac:dyDescent="0.35">
      <c r="A20" s="1" t="s">
        <v>93</v>
      </c>
      <c r="B20" s="2">
        <v>2008</v>
      </c>
      <c r="C20" s="1" t="s">
        <v>108</v>
      </c>
      <c r="D20" s="3" t="s">
        <v>22</v>
      </c>
      <c r="E20" s="4" t="s">
        <v>95</v>
      </c>
      <c r="F20" s="4" t="s">
        <v>96</v>
      </c>
      <c r="G20" s="8"/>
      <c r="H20" s="8"/>
      <c r="I20" s="8"/>
      <c r="J20" s="8"/>
      <c r="K20" s="8"/>
      <c r="M20" s="4">
        <v>15</v>
      </c>
      <c r="N20" s="8">
        <f t="shared" si="0"/>
        <v>0</v>
      </c>
      <c r="O20" s="47" t="str" cm="1">
        <f t="array" ref="O20">_xlfn.IFNA(YEAR(INDEX($G$5:$K$5,,MATCH(1,G20:K20,-1))),"")</f>
        <v/>
      </c>
      <c r="R20" s="8">
        <f t="shared" si="2"/>
        <v>0</v>
      </c>
      <c r="S20" s="8">
        <f t="shared" si="2"/>
        <v>0</v>
      </c>
      <c r="T20" s="8">
        <f t="shared" si="2"/>
        <v>0</v>
      </c>
      <c r="U20" s="8">
        <f t="shared" si="2"/>
        <v>0</v>
      </c>
      <c r="V20" s="8">
        <f t="shared" si="2"/>
        <v>0</v>
      </c>
    </row>
    <row r="21" spans="1:22" x14ac:dyDescent="0.35">
      <c r="A21" s="9" t="s">
        <v>109</v>
      </c>
      <c r="B21" s="6">
        <v>2009</v>
      </c>
      <c r="C21" s="9" t="s">
        <v>109</v>
      </c>
      <c r="D21" s="31" t="s">
        <v>99</v>
      </c>
      <c r="E21" s="4" t="s">
        <v>100</v>
      </c>
      <c r="F21" s="4" t="s">
        <v>96</v>
      </c>
      <c r="G21" s="8"/>
      <c r="H21" s="8"/>
      <c r="I21" s="8">
        <v>47000</v>
      </c>
      <c r="J21" s="8"/>
      <c r="K21" s="8"/>
      <c r="M21" s="4">
        <v>15</v>
      </c>
      <c r="N21" s="8">
        <f t="shared" si="0"/>
        <v>47000</v>
      </c>
      <c r="O21" s="47" cm="1">
        <f t="array" ref="O21">_xlfn.IFNA(YEAR(INDEX($G$5:$K$5,,MATCH(1,G21:K21,-1))),"")</f>
        <v>2029</v>
      </c>
      <c r="R21" s="8">
        <f t="shared" si="2"/>
        <v>0</v>
      </c>
      <c r="S21" s="8">
        <f t="shared" si="2"/>
        <v>0</v>
      </c>
      <c r="T21" s="8">
        <f t="shared" si="2"/>
        <v>47000</v>
      </c>
      <c r="U21" s="8">
        <f t="shared" si="2"/>
        <v>0</v>
      </c>
      <c r="V21" s="8">
        <f t="shared" si="2"/>
        <v>0</v>
      </c>
    </row>
    <row r="22" spans="1:22" x14ac:dyDescent="0.35">
      <c r="A22" s="9" t="s">
        <v>110</v>
      </c>
      <c r="B22" s="6">
        <v>2009</v>
      </c>
      <c r="C22" s="9" t="s">
        <v>110</v>
      </c>
      <c r="D22" s="31" t="s">
        <v>99</v>
      </c>
      <c r="E22" s="4" t="s">
        <v>100</v>
      </c>
      <c r="F22" s="4" t="s">
        <v>96</v>
      </c>
      <c r="G22" s="8"/>
      <c r="H22" s="8"/>
      <c r="I22" s="8"/>
      <c r="J22" s="8"/>
      <c r="K22" s="8"/>
      <c r="M22" s="4">
        <v>15</v>
      </c>
      <c r="N22" s="8">
        <f t="shared" si="0"/>
        <v>0</v>
      </c>
      <c r="O22" s="47" t="str" cm="1">
        <f t="array" ref="O22">_xlfn.IFNA(YEAR(INDEX($G$5:$K$5,,MATCH(1,G22:K22,-1))),"")</f>
        <v/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</row>
    <row r="23" spans="1:22" x14ac:dyDescent="0.35">
      <c r="A23" s="9" t="s">
        <v>110</v>
      </c>
      <c r="B23" s="6">
        <v>2009</v>
      </c>
      <c r="C23" s="9" t="s">
        <v>110</v>
      </c>
      <c r="D23" s="31" t="s">
        <v>99</v>
      </c>
      <c r="E23" s="4" t="s">
        <v>100</v>
      </c>
      <c r="F23" s="4" t="s">
        <v>96</v>
      </c>
      <c r="G23" s="8"/>
      <c r="H23" s="8"/>
      <c r="I23" s="8"/>
      <c r="J23" s="8"/>
      <c r="K23" s="8"/>
      <c r="M23" s="4">
        <v>15</v>
      </c>
      <c r="N23" s="8">
        <f t="shared" si="0"/>
        <v>0</v>
      </c>
      <c r="O23" s="47" t="str" cm="1">
        <f t="array" ref="O23">_xlfn.IFNA(YEAR(INDEX($G$5:$K$5,,MATCH(1,G23:K23,-1))),"")</f>
        <v/>
      </c>
      <c r="R23" s="8">
        <f t="shared" si="2"/>
        <v>0</v>
      </c>
      <c r="S23" s="8">
        <f t="shared" si="2"/>
        <v>0</v>
      </c>
      <c r="T23" s="8">
        <f t="shared" si="2"/>
        <v>0</v>
      </c>
      <c r="U23" s="8">
        <f t="shared" si="2"/>
        <v>0</v>
      </c>
      <c r="V23" s="8">
        <f t="shared" si="2"/>
        <v>0</v>
      </c>
    </row>
    <row r="24" spans="1:22" x14ac:dyDescent="0.35">
      <c r="A24" s="9" t="s">
        <v>110</v>
      </c>
      <c r="B24" s="6">
        <v>2009</v>
      </c>
      <c r="C24" s="9" t="s">
        <v>110</v>
      </c>
      <c r="D24" s="31" t="s">
        <v>99</v>
      </c>
      <c r="E24" s="4" t="s">
        <v>100</v>
      </c>
      <c r="F24" s="4" t="s">
        <v>96</v>
      </c>
      <c r="G24" s="8"/>
      <c r="H24" s="8"/>
      <c r="I24" s="8"/>
      <c r="J24" s="8"/>
      <c r="K24" s="8"/>
      <c r="M24" s="4">
        <v>15</v>
      </c>
      <c r="N24" s="8">
        <f t="shared" si="0"/>
        <v>0</v>
      </c>
      <c r="O24" s="47" t="str" cm="1">
        <f t="array" ref="O24">_xlfn.IFNA(YEAR(INDEX($G$5:$K$5,,MATCH(1,G24:K24,-1))),"")</f>
        <v/>
      </c>
      <c r="R24" s="8">
        <f t="shared" si="2"/>
        <v>0</v>
      </c>
      <c r="S24" s="8">
        <f t="shared" si="2"/>
        <v>0</v>
      </c>
      <c r="T24" s="8">
        <f t="shared" si="2"/>
        <v>0</v>
      </c>
      <c r="U24" s="8">
        <f t="shared" si="2"/>
        <v>0</v>
      </c>
      <c r="V24" s="8">
        <f t="shared" si="2"/>
        <v>0</v>
      </c>
    </row>
    <row r="25" spans="1:22" x14ac:dyDescent="0.35">
      <c r="A25" s="9" t="s">
        <v>111</v>
      </c>
      <c r="B25" s="11">
        <v>2009</v>
      </c>
      <c r="C25" s="9" t="s">
        <v>111</v>
      </c>
      <c r="D25" s="31" t="s">
        <v>99</v>
      </c>
      <c r="E25" s="4" t="s">
        <v>100</v>
      </c>
      <c r="F25" s="4" t="s">
        <v>96</v>
      </c>
      <c r="G25" s="8"/>
      <c r="H25" s="8"/>
      <c r="I25" s="8"/>
      <c r="J25" s="8"/>
      <c r="K25" s="8"/>
      <c r="M25" s="4">
        <v>15</v>
      </c>
      <c r="N25" s="8">
        <f t="shared" si="0"/>
        <v>0</v>
      </c>
      <c r="O25" s="47" t="str" cm="1">
        <f t="array" ref="O25">_xlfn.IFNA(YEAR(INDEX($G$5:$K$5,,MATCH(1,G25:K25,-1))),"")</f>
        <v/>
      </c>
      <c r="R25" s="8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</row>
    <row r="26" spans="1:22" x14ac:dyDescent="0.35">
      <c r="A26" s="9" t="s">
        <v>111</v>
      </c>
      <c r="B26" s="11">
        <v>2009</v>
      </c>
      <c r="C26" s="9" t="s">
        <v>111</v>
      </c>
      <c r="D26" s="31" t="s">
        <v>99</v>
      </c>
      <c r="E26" s="4" t="s">
        <v>100</v>
      </c>
      <c r="F26" s="4" t="s">
        <v>96</v>
      </c>
      <c r="G26" s="8"/>
      <c r="H26" s="8"/>
      <c r="I26" s="8"/>
      <c r="J26" s="8"/>
      <c r="K26" s="8"/>
      <c r="M26" s="4">
        <v>15</v>
      </c>
      <c r="N26" s="8">
        <f t="shared" si="0"/>
        <v>0</v>
      </c>
      <c r="O26" s="47" t="str" cm="1">
        <f t="array" ref="O26">_xlfn.IFNA(YEAR(INDEX($G$5:$K$5,,MATCH(1,G26:K26,-1))),"")</f>
        <v/>
      </c>
      <c r="R26" s="8">
        <f t="shared" ref="R26:V35" si="3">IF($O26="",0,IF(MOD(YEAR(R$5)-$O26,$M26)=0,$N26,0))</f>
        <v>0</v>
      </c>
      <c r="S26" s="8">
        <f t="shared" si="3"/>
        <v>0</v>
      </c>
      <c r="T26" s="8">
        <f t="shared" si="3"/>
        <v>0</v>
      </c>
      <c r="U26" s="8">
        <f t="shared" si="3"/>
        <v>0</v>
      </c>
      <c r="V26" s="8">
        <f t="shared" si="3"/>
        <v>0</v>
      </c>
    </row>
    <row r="27" spans="1:22" x14ac:dyDescent="0.35">
      <c r="A27" s="12" t="s">
        <v>111</v>
      </c>
      <c r="B27" s="11">
        <v>2009</v>
      </c>
      <c r="C27" s="12" t="s">
        <v>111</v>
      </c>
      <c r="D27" s="31" t="s">
        <v>99</v>
      </c>
      <c r="E27" s="4" t="s">
        <v>100</v>
      </c>
      <c r="F27" s="4" t="s">
        <v>96</v>
      </c>
      <c r="G27" s="8"/>
      <c r="H27" s="8"/>
      <c r="I27" s="8"/>
      <c r="J27" s="8"/>
      <c r="K27" s="8"/>
      <c r="M27" s="4">
        <v>15</v>
      </c>
      <c r="N27" s="8">
        <f t="shared" si="0"/>
        <v>0</v>
      </c>
      <c r="O27" s="47" t="str" cm="1">
        <f t="array" ref="O27">_xlfn.IFNA(YEAR(INDEX($G$5:$K$5,,MATCH(1,G27:K27,-1))),"")</f>
        <v/>
      </c>
      <c r="R27" s="8">
        <f t="shared" si="3"/>
        <v>0</v>
      </c>
      <c r="S27" s="8">
        <f t="shared" si="3"/>
        <v>0</v>
      </c>
      <c r="T27" s="8">
        <f t="shared" si="3"/>
        <v>0</v>
      </c>
      <c r="U27" s="8">
        <f t="shared" si="3"/>
        <v>0</v>
      </c>
      <c r="V27" s="8">
        <f t="shared" si="3"/>
        <v>0</v>
      </c>
    </row>
    <row r="28" spans="1:22" x14ac:dyDescent="0.35">
      <c r="A28" s="12" t="s">
        <v>111</v>
      </c>
      <c r="B28" s="11">
        <v>2009</v>
      </c>
      <c r="C28" s="12" t="s">
        <v>111</v>
      </c>
      <c r="D28" s="31" t="s">
        <v>99</v>
      </c>
      <c r="E28" s="4" t="s">
        <v>100</v>
      </c>
      <c r="F28" s="4" t="s">
        <v>96</v>
      </c>
      <c r="G28" s="8"/>
      <c r="H28" s="8"/>
      <c r="I28" s="8"/>
      <c r="J28" s="8"/>
      <c r="K28" s="8"/>
      <c r="M28" s="4">
        <v>15</v>
      </c>
      <c r="N28" s="8">
        <f t="shared" si="0"/>
        <v>0</v>
      </c>
      <c r="O28" s="47" t="str" cm="1">
        <f t="array" ref="O28">_xlfn.IFNA(YEAR(INDEX($G$5:$K$5,,MATCH(1,G28:K28,-1))),"")</f>
        <v/>
      </c>
      <c r="R28" s="8">
        <f t="shared" si="3"/>
        <v>0</v>
      </c>
      <c r="S28" s="8">
        <f t="shared" si="3"/>
        <v>0</v>
      </c>
      <c r="T28" s="8">
        <f t="shared" si="3"/>
        <v>0</v>
      </c>
      <c r="U28" s="8">
        <f t="shared" si="3"/>
        <v>0</v>
      </c>
      <c r="V28" s="8">
        <f t="shared" si="3"/>
        <v>0</v>
      </c>
    </row>
    <row r="29" spans="1:22" x14ac:dyDescent="0.35">
      <c r="A29" s="12" t="s">
        <v>111</v>
      </c>
      <c r="B29" s="11">
        <v>2009</v>
      </c>
      <c r="C29" s="12" t="s">
        <v>111</v>
      </c>
      <c r="D29" s="31" t="s">
        <v>99</v>
      </c>
      <c r="E29" s="4" t="s">
        <v>100</v>
      </c>
      <c r="F29" s="4" t="s">
        <v>96</v>
      </c>
      <c r="G29" s="8"/>
      <c r="H29" s="8"/>
      <c r="I29" s="8"/>
      <c r="J29" s="8"/>
      <c r="K29" s="8"/>
      <c r="M29" s="4">
        <v>15</v>
      </c>
      <c r="N29" s="8">
        <f t="shared" si="0"/>
        <v>0</v>
      </c>
      <c r="O29" s="47" t="str" cm="1">
        <f t="array" ref="O29">_xlfn.IFNA(YEAR(INDEX($G$5:$K$5,,MATCH(1,G29:K29,-1))),"")</f>
        <v/>
      </c>
      <c r="R29" s="8">
        <f t="shared" si="3"/>
        <v>0</v>
      </c>
      <c r="S29" s="8">
        <f t="shared" si="3"/>
        <v>0</v>
      </c>
      <c r="T29" s="8">
        <f t="shared" si="3"/>
        <v>0</v>
      </c>
      <c r="U29" s="8">
        <f t="shared" si="3"/>
        <v>0</v>
      </c>
      <c r="V29" s="8">
        <f t="shared" si="3"/>
        <v>0</v>
      </c>
    </row>
    <row r="30" spans="1:22" x14ac:dyDescent="0.35">
      <c r="A30" s="1" t="s">
        <v>109</v>
      </c>
      <c r="B30" s="2">
        <v>2009</v>
      </c>
      <c r="C30" s="1" t="s">
        <v>112</v>
      </c>
      <c r="D30" s="31" t="s">
        <v>99</v>
      </c>
      <c r="E30" s="4" t="s">
        <v>100</v>
      </c>
      <c r="F30" s="4" t="s">
        <v>96</v>
      </c>
      <c r="G30" s="8"/>
      <c r="H30" s="8"/>
      <c r="I30" s="8"/>
      <c r="J30" s="8"/>
      <c r="K30" s="8"/>
      <c r="M30" s="4">
        <v>15</v>
      </c>
      <c r="N30" s="8">
        <f t="shared" si="0"/>
        <v>0</v>
      </c>
      <c r="O30" s="47" t="str" cm="1">
        <f t="array" ref="O30">_xlfn.IFNA(YEAR(INDEX($G$5:$K$5,,MATCH(1,G30:K30,-1))),"")</f>
        <v/>
      </c>
      <c r="R30" s="8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</row>
    <row r="31" spans="1:22" x14ac:dyDescent="0.35">
      <c r="A31" s="1" t="s">
        <v>109</v>
      </c>
      <c r="B31" s="2">
        <v>2009</v>
      </c>
      <c r="C31" s="1" t="s">
        <v>112</v>
      </c>
      <c r="D31" s="31" t="s">
        <v>99</v>
      </c>
      <c r="E31" s="4" t="s">
        <v>100</v>
      </c>
      <c r="F31" s="4" t="s">
        <v>96</v>
      </c>
      <c r="G31" s="8"/>
      <c r="H31" s="8"/>
      <c r="I31" s="8"/>
      <c r="J31" s="8"/>
      <c r="K31" s="8"/>
      <c r="M31" s="4">
        <v>15</v>
      </c>
      <c r="N31" s="8">
        <f t="shared" si="0"/>
        <v>0</v>
      </c>
      <c r="O31" s="47" t="str" cm="1">
        <f t="array" ref="O31">_xlfn.IFNA(YEAR(INDEX($G$5:$K$5,,MATCH(1,G31:K31,-1))),"")</f>
        <v/>
      </c>
      <c r="R31" s="8">
        <f t="shared" si="3"/>
        <v>0</v>
      </c>
      <c r="S31" s="8">
        <f t="shared" si="3"/>
        <v>0</v>
      </c>
      <c r="T31" s="8">
        <f t="shared" si="3"/>
        <v>0</v>
      </c>
      <c r="U31" s="8">
        <f t="shared" si="3"/>
        <v>0</v>
      </c>
      <c r="V31" s="8">
        <f t="shared" si="3"/>
        <v>0</v>
      </c>
    </row>
    <row r="32" spans="1:22" x14ac:dyDescent="0.35">
      <c r="A32" s="9" t="s">
        <v>109</v>
      </c>
      <c r="B32" s="6">
        <v>2009</v>
      </c>
      <c r="C32" s="9" t="s">
        <v>109</v>
      </c>
      <c r="D32" s="31" t="s">
        <v>99</v>
      </c>
      <c r="E32" s="4" t="s">
        <v>100</v>
      </c>
      <c r="F32" s="4" t="s">
        <v>96</v>
      </c>
      <c r="G32" s="8"/>
      <c r="H32" s="8"/>
      <c r="I32" s="8"/>
      <c r="J32" s="8"/>
      <c r="K32" s="8"/>
      <c r="M32" s="4">
        <v>15</v>
      </c>
      <c r="N32" s="8">
        <f t="shared" si="0"/>
        <v>0</v>
      </c>
      <c r="O32" s="47" t="str" cm="1">
        <f t="array" ref="O32">_xlfn.IFNA(YEAR(INDEX($G$5:$K$5,,MATCH(1,G32:K32,-1))),"")</f>
        <v/>
      </c>
      <c r="R32" s="8">
        <f t="shared" si="3"/>
        <v>0</v>
      </c>
      <c r="S32" s="8">
        <f t="shared" si="3"/>
        <v>0</v>
      </c>
      <c r="T32" s="8">
        <f t="shared" si="3"/>
        <v>0</v>
      </c>
      <c r="U32" s="8">
        <f t="shared" si="3"/>
        <v>0</v>
      </c>
      <c r="V32" s="8">
        <f t="shared" si="3"/>
        <v>0</v>
      </c>
    </row>
    <row r="33" spans="1:22" x14ac:dyDescent="0.35">
      <c r="A33" s="9" t="s">
        <v>93</v>
      </c>
      <c r="B33" s="6">
        <v>2009</v>
      </c>
      <c r="C33" s="9" t="s">
        <v>93</v>
      </c>
      <c r="D33" s="31" t="s">
        <v>22</v>
      </c>
      <c r="E33" s="4" t="s">
        <v>95</v>
      </c>
      <c r="F33" s="4" t="s">
        <v>96</v>
      </c>
      <c r="G33" s="8"/>
      <c r="H33" s="8"/>
      <c r="I33" s="8"/>
      <c r="J33" s="8"/>
      <c r="K33" s="8"/>
      <c r="M33" s="4">
        <v>15</v>
      </c>
      <c r="N33" s="8">
        <f t="shared" si="0"/>
        <v>0</v>
      </c>
      <c r="O33" s="47" t="str" cm="1">
        <f t="array" ref="O33">_xlfn.IFNA(YEAR(INDEX($G$5:$K$5,,MATCH(1,G33:K33,-1))),"")</f>
        <v/>
      </c>
      <c r="R33" s="8">
        <f t="shared" si="3"/>
        <v>0</v>
      </c>
      <c r="S33" s="8">
        <f t="shared" si="3"/>
        <v>0</v>
      </c>
      <c r="T33" s="8">
        <f t="shared" si="3"/>
        <v>0</v>
      </c>
      <c r="U33" s="8">
        <f t="shared" si="3"/>
        <v>0</v>
      </c>
      <c r="V33" s="8">
        <f t="shared" si="3"/>
        <v>0</v>
      </c>
    </row>
    <row r="34" spans="1:22" x14ac:dyDescent="0.35">
      <c r="A34" s="1" t="s">
        <v>113</v>
      </c>
      <c r="B34" s="2">
        <v>2009</v>
      </c>
      <c r="C34" s="1" t="s">
        <v>114</v>
      </c>
      <c r="D34" s="3" t="s">
        <v>22</v>
      </c>
      <c r="E34" s="4" t="s">
        <v>95</v>
      </c>
      <c r="F34" s="4" t="s">
        <v>96</v>
      </c>
      <c r="G34" s="8"/>
      <c r="H34" s="8"/>
      <c r="I34" s="8"/>
      <c r="J34" s="8"/>
      <c r="K34" s="8"/>
      <c r="M34" s="4">
        <v>15</v>
      </c>
      <c r="N34" s="8">
        <f t="shared" si="0"/>
        <v>0</v>
      </c>
      <c r="O34" s="47" t="str" cm="1">
        <f t="array" ref="O34">_xlfn.IFNA(YEAR(INDEX($G$5:$K$5,,MATCH(1,G34:K34,-1))),"")</f>
        <v/>
      </c>
      <c r="R34" s="8">
        <f t="shared" si="3"/>
        <v>0</v>
      </c>
      <c r="S34" s="8">
        <f t="shared" si="3"/>
        <v>0</v>
      </c>
      <c r="T34" s="8">
        <f t="shared" si="3"/>
        <v>0</v>
      </c>
      <c r="U34" s="8">
        <f t="shared" si="3"/>
        <v>0</v>
      </c>
      <c r="V34" s="8">
        <f t="shared" si="3"/>
        <v>0</v>
      </c>
    </row>
    <row r="35" spans="1:22" x14ac:dyDescent="0.35">
      <c r="A35" s="1" t="s">
        <v>93</v>
      </c>
      <c r="B35" s="2">
        <v>2009</v>
      </c>
      <c r="C35" s="1" t="s">
        <v>115</v>
      </c>
      <c r="D35" s="31" t="s">
        <v>72</v>
      </c>
      <c r="E35" s="4" t="s">
        <v>95</v>
      </c>
      <c r="F35" s="4" t="s">
        <v>96</v>
      </c>
      <c r="G35" s="8"/>
      <c r="H35" s="8">
        <v>920000</v>
      </c>
      <c r="I35" s="8"/>
      <c r="J35" s="8"/>
      <c r="K35" s="8"/>
      <c r="M35" s="4">
        <v>20</v>
      </c>
      <c r="N35" s="8">
        <f t="shared" si="0"/>
        <v>920000</v>
      </c>
      <c r="O35" s="47" cm="1">
        <f t="array" ref="O35">_xlfn.IFNA(YEAR(INDEX($G$5:$K$5,,MATCH(1,G35:K35,-1))),"")</f>
        <v>2028</v>
      </c>
      <c r="R35" s="8">
        <f t="shared" si="3"/>
        <v>0</v>
      </c>
      <c r="S35" s="8">
        <f t="shared" si="3"/>
        <v>920000</v>
      </c>
      <c r="T35" s="8">
        <f t="shared" si="3"/>
        <v>0</v>
      </c>
      <c r="U35" s="8">
        <f t="shared" si="3"/>
        <v>0</v>
      </c>
      <c r="V35" s="8">
        <f t="shared" si="3"/>
        <v>0</v>
      </c>
    </row>
    <row r="36" spans="1:22" x14ac:dyDescent="0.35">
      <c r="A36" s="1" t="s">
        <v>93</v>
      </c>
      <c r="B36" s="2">
        <v>2009</v>
      </c>
      <c r="C36" s="1" t="s">
        <v>116</v>
      </c>
      <c r="D36" s="31" t="s">
        <v>72</v>
      </c>
      <c r="E36" s="4" t="s">
        <v>95</v>
      </c>
      <c r="F36" s="4" t="s">
        <v>96</v>
      </c>
      <c r="G36" s="8"/>
      <c r="H36" s="8"/>
      <c r="I36" s="8"/>
      <c r="J36" s="8"/>
      <c r="K36" s="8"/>
      <c r="M36" s="4">
        <v>20</v>
      </c>
      <c r="N36" s="8">
        <f t="shared" si="0"/>
        <v>0</v>
      </c>
      <c r="O36" s="47" t="str" cm="1">
        <f t="array" ref="O36">_xlfn.IFNA(YEAR(INDEX($G$5:$K$5,,MATCH(1,G36:K36,-1))),"")</f>
        <v/>
      </c>
      <c r="R36" s="8">
        <f t="shared" ref="R36:V45" si="4">IF($O36="",0,IF(MOD(YEAR(R$5)-$O36,$M36)=0,$N36,0))</f>
        <v>0</v>
      </c>
      <c r="S36" s="8">
        <f t="shared" si="4"/>
        <v>0</v>
      </c>
      <c r="T36" s="8">
        <f t="shared" si="4"/>
        <v>0</v>
      </c>
      <c r="U36" s="8">
        <f t="shared" si="4"/>
        <v>0</v>
      </c>
      <c r="V36" s="8">
        <f t="shared" si="4"/>
        <v>0</v>
      </c>
    </row>
    <row r="37" spans="1:22" x14ac:dyDescent="0.35">
      <c r="A37" s="12" t="s">
        <v>93</v>
      </c>
      <c r="B37" s="11">
        <v>2009</v>
      </c>
      <c r="C37" s="12" t="s">
        <v>93</v>
      </c>
      <c r="D37" s="31" t="s">
        <v>72</v>
      </c>
      <c r="E37" s="4" t="s">
        <v>95</v>
      </c>
      <c r="F37" s="4" t="s">
        <v>96</v>
      </c>
      <c r="G37" s="8"/>
      <c r="H37" s="8"/>
      <c r="I37" s="8"/>
      <c r="J37" s="8"/>
      <c r="K37" s="8"/>
      <c r="M37" s="4">
        <v>20</v>
      </c>
      <c r="N37" s="8">
        <f t="shared" si="0"/>
        <v>0</v>
      </c>
      <c r="O37" s="47" t="str" cm="1">
        <f t="array" ref="O37">_xlfn.IFNA(YEAR(INDEX($G$5:$K$5,,MATCH(1,G37:K37,-1))),"")</f>
        <v/>
      </c>
      <c r="R37" s="8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</row>
    <row r="38" spans="1:22" x14ac:dyDescent="0.35">
      <c r="A38" s="12" t="s">
        <v>117</v>
      </c>
      <c r="B38" s="11">
        <v>2010</v>
      </c>
      <c r="C38" s="12" t="s">
        <v>117</v>
      </c>
      <c r="D38" s="31" t="s">
        <v>99</v>
      </c>
      <c r="E38" s="4" t="s">
        <v>95</v>
      </c>
      <c r="F38" s="4" t="s">
        <v>96</v>
      </c>
      <c r="G38" s="8">
        <v>65000</v>
      </c>
      <c r="H38" s="8"/>
      <c r="I38" s="8"/>
      <c r="J38" s="8"/>
      <c r="K38" s="8"/>
      <c r="M38" s="4">
        <v>10</v>
      </c>
      <c r="N38" s="8">
        <f t="shared" si="0"/>
        <v>65000</v>
      </c>
      <c r="O38" s="47" cm="1">
        <f t="array" ref="O38">_xlfn.IFNA(YEAR(INDEX($G$5:$K$5,,MATCH(1,G38:K38,-1))),"")</f>
        <v>2027</v>
      </c>
      <c r="R38" s="8">
        <f t="shared" si="4"/>
        <v>65000</v>
      </c>
      <c r="S38" s="8">
        <f t="shared" si="4"/>
        <v>0</v>
      </c>
      <c r="T38" s="8">
        <f t="shared" si="4"/>
        <v>0</v>
      </c>
      <c r="U38" s="8">
        <f t="shared" si="4"/>
        <v>0</v>
      </c>
      <c r="V38" s="8">
        <f t="shared" si="4"/>
        <v>0</v>
      </c>
    </row>
    <row r="39" spans="1:22" x14ac:dyDescent="0.35">
      <c r="A39" s="9" t="s">
        <v>109</v>
      </c>
      <c r="B39" s="11">
        <v>2010</v>
      </c>
      <c r="C39" s="9" t="s">
        <v>109</v>
      </c>
      <c r="D39" s="31" t="s">
        <v>99</v>
      </c>
      <c r="E39" s="4" t="s">
        <v>100</v>
      </c>
      <c r="F39" s="4" t="s">
        <v>96</v>
      </c>
      <c r="G39" s="8"/>
      <c r="H39" s="8">
        <v>100000</v>
      </c>
      <c r="I39" s="8"/>
      <c r="J39" s="8"/>
      <c r="K39" s="8"/>
      <c r="M39" s="4">
        <v>15</v>
      </c>
      <c r="N39" s="8">
        <f t="shared" si="0"/>
        <v>100000</v>
      </c>
      <c r="O39" s="47" cm="1">
        <f t="array" ref="O39">_xlfn.IFNA(YEAR(INDEX($G$5:$K$5,,MATCH(1,G39:K39,-1))),"")</f>
        <v>2028</v>
      </c>
      <c r="R39" s="8">
        <f t="shared" si="4"/>
        <v>0</v>
      </c>
      <c r="S39" s="8">
        <f t="shared" si="4"/>
        <v>100000</v>
      </c>
      <c r="T39" s="8">
        <f t="shared" si="4"/>
        <v>0</v>
      </c>
      <c r="U39" s="8">
        <f t="shared" si="4"/>
        <v>0</v>
      </c>
      <c r="V39" s="8">
        <f t="shared" si="4"/>
        <v>0</v>
      </c>
    </row>
    <row r="40" spans="1:22" x14ac:dyDescent="0.35">
      <c r="A40" s="1" t="s">
        <v>111</v>
      </c>
      <c r="B40" s="2">
        <v>2010</v>
      </c>
      <c r="C40" s="1" t="s">
        <v>118</v>
      </c>
      <c r="D40" s="31" t="s">
        <v>99</v>
      </c>
      <c r="E40" s="4" t="s">
        <v>100</v>
      </c>
      <c r="F40" s="4" t="s">
        <v>96</v>
      </c>
      <c r="G40" s="8"/>
      <c r="H40" s="8"/>
      <c r="I40" s="8"/>
      <c r="J40" s="8"/>
      <c r="K40" s="8"/>
      <c r="M40" s="4">
        <v>15</v>
      </c>
      <c r="N40" s="8">
        <f t="shared" si="0"/>
        <v>0</v>
      </c>
      <c r="O40" s="47" t="str" cm="1">
        <f t="array" ref="O40">_xlfn.IFNA(YEAR(INDEX($G$5:$K$5,,MATCH(1,G40:K40,-1))),"")</f>
        <v/>
      </c>
      <c r="R40" s="8">
        <f t="shared" si="4"/>
        <v>0</v>
      </c>
      <c r="S40" s="8">
        <f t="shared" si="4"/>
        <v>0</v>
      </c>
      <c r="T40" s="8">
        <f t="shared" si="4"/>
        <v>0</v>
      </c>
      <c r="U40" s="8">
        <f t="shared" si="4"/>
        <v>0</v>
      </c>
      <c r="V40" s="8">
        <f t="shared" si="4"/>
        <v>0</v>
      </c>
    </row>
    <row r="41" spans="1:22" x14ac:dyDescent="0.35">
      <c r="A41" s="1" t="s">
        <v>111</v>
      </c>
      <c r="B41" s="2">
        <v>2010</v>
      </c>
      <c r="C41" s="1" t="s">
        <v>118</v>
      </c>
      <c r="D41" s="31" t="s">
        <v>99</v>
      </c>
      <c r="E41" s="4" t="s">
        <v>100</v>
      </c>
      <c r="F41" s="4" t="s">
        <v>96</v>
      </c>
      <c r="G41" s="8">
        <v>10000</v>
      </c>
      <c r="H41" s="8"/>
      <c r="I41" s="8"/>
      <c r="J41" s="8"/>
      <c r="K41" s="8"/>
      <c r="M41" s="4">
        <v>15</v>
      </c>
      <c r="N41" s="8">
        <f t="shared" si="0"/>
        <v>10000</v>
      </c>
      <c r="O41" s="47" cm="1">
        <f t="array" ref="O41">_xlfn.IFNA(YEAR(INDEX($G$5:$K$5,,MATCH(1,G41:K41,-1))),"")</f>
        <v>2027</v>
      </c>
      <c r="R41" s="8">
        <f t="shared" si="4"/>
        <v>10000</v>
      </c>
      <c r="S41" s="8">
        <f t="shared" si="4"/>
        <v>0</v>
      </c>
      <c r="T41" s="8">
        <f t="shared" si="4"/>
        <v>0</v>
      </c>
      <c r="U41" s="8">
        <f t="shared" si="4"/>
        <v>0</v>
      </c>
      <c r="V41" s="8">
        <f t="shared" si="4"/>
        <v>0</v>
      </c>
    </row>
    <row r="42" spans="1:22" x14ac:dyDescent="0.35">
      <c r="A42" s="1" t="s">
        <v>111</v>
      </c>
      <c r="B42" s="2">
        <v>2010</v>
      </c>
      <c r="C42" s="1" t="s">
        <v>119</v>
      </c>
      <c r="D42" s="31" t="s">
        <v>99</v>
      </c>
      <c r="E42" s="4" t="s">
        <v>100</v>
      </c>
      <c r="F42" s="4" t="s">
        <v>96</v>
      </c>
      <c r="G42" s="8"/>
      <c r="H42" s="8"/>
      <c r="I42" s="8"/>
      <c r="J42" s="8"/>
      <c r="K42" s="8"/>
      <c r="M42" s="4">
        <v>15</v>
      </c>
      <c r="N42" s="8">
        <f t="shared" si="0"/>
        <v>0</v>
      </c>
      <c r="O42" s="47" t="str" cm="1">
        <f t="array" ref="O42">_xlfn.IFNA(YEAR(INDEX($G$5:$K$5,,MATCH(1,G42:K42,-1))),"")</f>
        <v/>
      </c>
      <c r="R42" s="8">
        <f t="shared" si="4"/>
        <v>0</v>
      </c>
      <c r="S42" s="8">
        <f t="shared" si="4"/>
        <v>0</v>
      </c>
      <c r="T42" s="8">
        <f t="shared" si="4"/>
        <v>0</v>
      </c>
      <c r="U42" s="8">
        <f t="shared" si="4"/>
        <v>0</v>
      </c>
      <c r="V42" s="8">
        <f t="shared" si="4"/>
        <v>0</v>
      </c>
    </row>
    <row r="43" spans="1:22" x14ac:dyDescent="0.35">
      <c r="A43" s="12" t="s">
        <v>93</v>
      </c>
      <c r="B43" s="6">
        <v>2010</v>
      </c>
      <c r="C43" s="12" t="s">
        <v>93</v>
      </c>
      <c r="D43" s="31" t="s">
        <v>72</v>
      </c>
      <c r="E43" s="4" t="s">
        <v>95</v>
      </c>
      <c r="F43" s="4" t="s">
        <v>96</v>
      </c>
      <c r="G43" s="8"/>
      <c r="H43" s="8"/>
      <c r="I43" s="8"/>
      <c r="J43" s="8"/>
      <c r="K43" s="8"/>
      <c r="M43" s="4">
        <v>10</v>
      </c>
      <c r="N43" s="8">
        <f t="shared" si="0"/>
        <v>0</v>
      </c>
      <c r="O43" s="47" t="str" cm="1">
        <f t="array" ref="O43">_xlfn.IFNA(YEAR(INDEX($G$5:$K$5,,MATCH(1,G43:K43,-1))),"")</f>
        <v/>
      </c>
      <c r="R43" s="8">
        <f t="shared" si="4"/>
        <v>0</v>
      </c>
      <c r="S43" s="8">
        <f t="shared" si="4"/>
        <v>0</v>
      </c>
      <c r="T43" s="8">
        <f t="shared" si="4"/>
        <v>0</v>
      </c>
      <c r="U43" s="8">
        <f t="shared" si="4"/>
        <v>0</v>
      </c>
      <c r="V43" s="8">
        <f t="shared" si="4"/>
        <v>0</v>
      </c>
    </row>
    <row r="44" spans="1:22" x14ac:dyDescent="0.35">
      <c r="A44" s="1" t="s">
        <v>93</v>
      </c>
      <c r="B44" s="2">
        <v>2010</v>
      </c>
      <c r="C44" s="1" t="s">
        <v>120</v>
      </c>
      <c r="D44" s="3" t="s">
        <v>22</v>
      </c>
      <c r="E44" s="4" t="s">
        <v>95</v>
      </c>
      <c r="F44" s="4" t="s">
        <v>96</v>
      </c>
      <c r="G44" s="8"/>
      <c r="H44" s="8"/>
      <c r="I44" s="8"/>
      <c r="J44" s="8"/>
      <c r="K44" s="8"/>
      <c r="M44" s="4">
        <v>15</v>
      </c>
      <c r="N44" s="8">
        <f t="shared" si="0"/>
        <v>0</v>
      </c>
      <c r="O44" s="47" t="str" cm="1">
        <f t="array" ref="O44">_xlfn.IFNA(YEAR(INDEX($G$5:$K$5,,MATCH(1,G44:K44,-1))),"")</f>
        <v/>
      </c>
      <c r="R44" s="8">
        <f t="shared" si="4"/>
        <v>0</v>
      </c>
      <c r="S44" s="8">
        <f t="shared" si="4"/>
        <v>0</v>
      </c>
      <c r="T44" s="8">
        <f t="shared" si="4"/>
        <v>0</v>
      </c>
      <c r="U44" s="8">
        <f t="shared" si="4"/>
        <v>0</v>
      </c>
      <c r="V44" s="8">
        <f t="shared" si="4"/>
        <v>0</v>
      </c>
    </row>
    <row r="45" spans="1:22" x14ac:dyDescent="0.35">
      <c r="A45" s="9" t="s">
        <v>106</v>
      </c>
      <c r="B45" s="11">
        <v>2011</v>
      </c>
      <c r="C45" s="9" t="s">
        <v>106</v>
      </c>
      <c r="D45" s="31" t="s">
        <v>99</v>
      </c>
      <c r="E45" s="4" t="s">
        <v>100</v>
      </c>
      <c r="F45" s="4" t="s">
        <v>96</v>
      </c>
      <c r="G45" s="8">
        <v>135000</v>
      </c>
      <c r="H45" s="8"/>
      <c r="I45" s="8"/>
      <c r="J45" s="8"/>
      <c r="K45" s="8"/>
      <c r="M45" s="4">
        <v>15</v>
      </c>
      <c r="N45" s="8">
        <f t="shared" si="0"/>
        <v>135000</v>
      </c>
      <c r="O45" s="47" cm="1">
        <f t="array" ref="O45">_xlfn.IFNA(YEAR(INDEX($G$5:$K$5,,MATCH(1,G45:K45,-1))),"")</f>
        <v>2027</v>
      </c>
      <c r="R45" s="8">
        <f t="shared" si="4"/>
        <v>135000</v>
      </c>
      <c r="S45" s="8">
        <f t="shared" si="4"/>
        <v>0</v>
      </c>
      <c r="T45" s="8">
        <f t="shared" si="4"/>
        <v>0</v>
      </c>
      <c r="U45" s="8">
        <f t="shared" si="4"/>
        <v>0</v>
      </c>
      <c r="V45" s="8">
        <f t="shared" si="4"/>
        <v>0</v>
      </c>
    </row>
    <row r="46" spans="1:22" x14ac:dyDescent="0.35">
      <c r="A46" s="9" t="s">
        <v>106</v>
      </c>
      <c r="B46" s="11">
        <v>2011</v>
      </c>
      <c r="C46" s="9" t="s">
        <v>106</v>
      </c>
      <c r="D46" s="31" t="s">
        <v>99</v>
      </c>
      <c r="E46" s="4" t="s">
        <v>100</v>
      </c>
      <c r="F46" s="4" t="s">
        <v>96</v>
      </c>
      <c r="G46" s="8">
        <v>135000</v>
      </c>
      <c r="H46" s="8"/>
      <c r="I46" s="8"/>
      <c r="J46" s="8"/>
      <c r="K46" s="8"/>
      <c r="M46" s="4">
        <v>15</v>
      </c>
      <c r="N46" s="8">
        <f t="shared" si="0"/>
        <v>135000</v>
      </c>
      <c r="O46" s="47" cm="1">
        <f t="array" ref="O46">_xlfn.IFNA(YEAR(INDEX($G$5:$K$5,,MATCH(1,G46:K46,-1))),"")</f>
        <v>2027</v>
      </c>
      <c r="R46" s="8">
        <f t="shared" ref="R46:V55" si="5">IF($O46="",0,IF(MOD(YEAR(R$5)-$O46,$M46)=0,$N46,0))</f>
        <v>135000</v>
      </c>
      <c r="S46" s="8">
        <f t="shared" si="5"/>
        <v>0</v>
      </c>
      <c r="T46" s="8">
        <f t="shared" si="5"/>
        <v>0</v>
      </c>
      <c r="U46" s="8">
        <f t="shared" si="5"/>
        <v>0</v>
      </c>
      <c r="V46" s="8">
        <f t="shared" si="5"/>
        <v>0</v>
      </c>
    </row>
    <row r="47" spans="1:22" x14ac:dyDescent="0.35">
      <c r="A47" s="12" t="s">
        <v>121</v>
      </c>
      <c r="B47" s="11">
        <v>2011</v>
      </c>
      <c r="C47" s="12" t="s">
        <v>121</v>
      </c>
      <c r="D47" s="31" t="s">
        <v>99</v>
      </c>
      <c r="E47" s="4" t="s">
        <v>100</v>
      </c>
      <c r="F47" s="4" t="s">
        <v>96</v>
      </c>
      <c r="G47" s="8">
        <v>55000</v>
      </c>
      <c r="H47" s="8"/>
      <c r="I47" s="8"/>
      <c r="J47" s="8"/>
      <c r="K47" s="8"/>
      <c r="M47" s="4">
        <v>15</v>
      </c>
      <c r="N47" s="8">
        <f t="shared" si="0"/>
        <v>55000</v>
      </c>
      <c r="O47" s="47" cm="1">
        <f t="array" ref="O47">_xlfn.IFNA(YEAR(INDEX($G$5:$K$5,,MATCH(1,G47:K47,-1))),"")</f>
        <v>2027</v>
      </c>
      <c r="R47" s="8">
        <f t="shared" si="5"/>
        <v>55000</v>
      </c>
      <c r="S47" s="8">
        <f t="shared" si="5"/>
        <v>0</v>
      </c>
      <c r="T47" s="8">
        <f t="shared" si="5"/>
        <v>0</v>
      </c>
      <c r="U47" s="8">
        <f t="shared" si="5"/>
        <v>0</v>
      </c>
      <c r="V47" s="8">
        <f t="shared" si="5"/>
        <v>0</v>
      </c>
    </row>
    <row r="48" spans="1:22" ht="26.5" x14ac:dyDescent="0.35">
      <c r="A48" s="9" t="s">
        <v>122</v>
      </c>
      <c r="B48" s="11">
        <v>2011</v>
      </c>
      <c r="C48" s="9" t="s">
        <v>122</v>
      </c>
      <c r="D48" s="31" t="s">
        <v>99</v>
      </c>
      <c r="E48" s="4" t="s">
        <v>100</v>
      </c>
      <c r="F48" s="4" t="s">
        <v>96</v>
      </c>
      <c r="G48" s="8">
        <v>22000</v>
      </c>
      <c r="H48" s="8"/>
      <c r="I48" s="8"/>
      <c r="J48" s="8"/>
      <c r="K48" s="8"/>
      <c r="M48" s="4">
        <v>15</v>
      </c>
      <c r="N48" s="8">
        <f t="shared" si="0"/>
        <v>22000</v>
      </c>
      <c r="O48" s="47" cm="1">
        <f t="array" ref="O48">_xlfn.IFNA(YEAR(INDEX($G$5:$K$5,,MATCH(1,G48:K48,-1))),"")</f>
        <v>2027</v>
      </c>
      <c r="R48" s="8">
        <f t="shared" si="5"/>
        <v>22000</v>
      </c>
      <c r="S48" s="8">
        <f t="shared" si="5"/>
        <v>0</v>
      </c>
      <c r="T48" s="8">
        <f t="shared" si="5"/>
        <v>0</v>
      </c>
      <c r="U48" s="8">
        <f t="shared" si="5"/>
        <v>0</v>
      </c>
      <c r="V48" s="8">
        <f t="shared" si="5"/>
        <v>0</v>
      </c>
    </row>
    <row r="49" spans="1:22" ht="26.5" x14ac:dyDescent="0.35">
      <c r="A49" s="9" t="s">
        <v>122</v>
      </c>
      <c r="B49" s="11">
        <v>2011</v>
      </c>
      <c r="C49" s="9" t="s">
        <v>122</v>
      </c>
      <c r="D49" s="31" t="s">
        <v>99</v>
      </c>
      <c r="E49" s="4" t="s">
        <v>100</v>
      </c>
      <c r="F49" s="4" t="s">
        <v>96</v>
      </c>
      <c r="G49" s="8">
        <v>22000</v>
      </c>
      <c r="H49" s="8"/>
      <c r="I49" s="8"/>
      <c r="J49" s="8"/>
      <c r="K49" s="8"/>
      <c r="M49" s="4">
        <v>15</v>
      </c>
      <c r="N49" s="8">
        <f t="shared" si="0"/>
        <v>22000</v>
      </c>
      <c r="O49" s="47" cm="1">
        <f t="array" ref="O49">_xlfn.IFNA(YEAR(INDEX($G$5:$K$5,,MATCH(1,G49:K49,-1))),"")</f>
        <v>2027</v>
      </c>
      <c r="R49" s="8">
        <f t="shared" si="5"/>
        <v>22000</v>
      </c>
      <c r="S49" s="8">
        <f t="shared" si="5"/>
        <v>0</v>
      </c>
      <c r="T49" s="8">
        <f t="shared" si="5"/>
        <v>0</v>
      </c>
      <c r="U49" s="8">
        <f t="shared" si="5"/>
        <v>0</v>
      </c>
      <c r="V49" s="8">
        <f t="shared" si="5"/>
        <v>0</v>
      </c>
    </row>
    <row r="50" spans="1:22" x14ac:dyDescent="0.35">
      <c r="A50" s="9" t="s">
        <v>109</v>
      </c>
      <c r="B50" s="11">
        <v>2011</v>
      </c>
      <c r="C50" s="9" t="s">
        <v>109</v>
      </c>
      <c r="D50" s="31" t="s">
        <v>99</v>
      </c>
      <c r="E50" s="4" t="s">
        <v>100</v>
      </c>
      <c r="F50" s="4" t="s">
        <v>96</v>
      </c>
      <c r="G50" s="8">
        <v>18000</v>
      </c>
      <c r="H50" s="8"/>
      <c r="I50" s="8"/>
      <c r="J50" s="8"/>
      <c r="K50" s="8"/>
      <c r="M50" s="4">
        <v>15</v>
      </c>
      <c r="N50" s="8">
        <f t="shared" si="0"/>
        <v>18000</v>
      </c>
      <c r="O50" s="47" cm="1">
        <f t="array" ref="O50">_xlfn.IFNA(YEAR(INDEX($G$5:$K$5,,MATCH(1,G50:K50,-1))),"")</f>
        <v>2027</v>
      </c>
      <c r="R50" s="8">
        <f t="shared" si="5"/>
        <v>18000</v>
      </c>
      <c r="S50" s="8">
        <f t="shared" si="5"/>
        <v>0</v>
      </c>
      <c r="T50" s="8">
        <f t="shared" si="5"/>
        <v>0</v>
      </c>
      <c r="U50" s="8">
        <f t="shared" si="5"/>
        <v>0</v>
      </c>
      <c r="V50" s="8">
        <f t="shared" si="5"/>
        <v>0</v>
      </c>
    </row>
    <row r="51" spans="1:22" x14ac:dyDescent="0.35">
      <c r="A51" s="12" t="s">
        <v>109</v>
      </c>
      <c r="B51" s="11">
        <v>2011</v>
      </c>
      <c r="C51" s="12" t="s">
        <v>109</v>
      </c>
      <c r="D51" s="31" t="s">
        <v>99</v>
      </c>
      <c r="E51" s="4" t="s">
        <v>100</v>
      </c>
      <c r="F51" s="4" t="s">
        <v>96</v>
      </c>
      <c r="G51" s="8">
        <v>18000</v>
      </c>
      <c r="H51" s="8"/>
      <c r="I51" s="8"/>
      <c r="J51" s="8"/>
      <c r="K51" s="8"/>
      <c r="M51" s="4">
        <v>15</v>
      </c>
      <c r="N51" s="8">
        <f t="shared" si="0"/>
        <v>18000</v>
      </c>
      <c r="O51" s="47" cm="1">
        <f t="array" ref="O51">_xlfn.IFNA(YEAR(INDEX($G$5:$K$5,,MATCH(1,G51:K51,-1))),"")</f>
        <v>2027</v>
      </c>
      <c r="R51" s="8">
        <f t="shared" si="5"/>
        <v>18000</v>
      </c>
      <c r="S51" s="8">
        <f t="shared" si="5"/>
        <v>0</v>
      </c>
      <c r="T51" s="8">
        <f t="shared" si="5"/>
        <v>0</v>
      </c>
      <c r="U51" s="8">
        <f t="shared" si="5"/>
        <v>0</v>
      </c>
      <c r="V51" s="8">
        <f t="shared" si="5"/>
        <v>0</v>
      </c>
    </row>
    <row r="52" spans="1:22" x14ac:dyDescent="0.35">
      <c r="A52" s="13" t="s">
        <v>111</v>
      </c>
      <c r="B52" s="2">
        <v>2011</v>
      </c>
      <c r="C52" s="1" t="s">
        <v>123</v>
      </c>
      <c r="D52" s="31" t="s">
        <v>99</v>
      </c>
      <c r="E52" s="4" t="s">
        <v>100</v>
      </c>
      <c r="F52" s="4" t="s">
        <v>96</v>
      </c>
      <c r="G52" s="8"/>
      <c r="H52" s="8">
        <v>25000</v>
      </c>
      <c r="I52" s="8"/>
      <c r="J52" s="8"/>
      <c r="K52" s="8"/>
      <c r="M52" s="4">
        <v>15</v>
      </c>
      <c r="N52" s="8">
        <f t="shared" si="0"/>
        <v>25000</v>
      </c>
      <c r="O52" s="47" cm="1">
        <f t="array" ref="O52">_xlfn.IFNA(YEAR(INDEX($G$5:$K$5,,MATCH(1,G52:K52,-1))),"")</f>
        <v>2028</v>
      </c>
      <c r="R52" s="8">
        <f t="shared" si="5"/>
        <v>0</v>
      </c>
      <c r="S52" s="8">
        <f t="shared" si="5"/>
        <v>25000</v>
      </c>
      <c r="T52" s="8">
        <f t="shared" si="5"/>
        <v>0</v>
      </c>
      <c r="U52" s="8">
        <f t="shared" si="5"/>
        <v>0</v>
      </c>
      <c r="V52" s="8">
        <f t="shared" si="5"/>
        <v>0</v>
      </c>
    </row>
    <row r="53" spans="1:22" x14ac:dyDescent="0.35">
      <c r="A53" s="12" t="s">
        <v>109</v>
      </c>
      <c r="B53" s="11">
        <v>2011</v>
      </c>
      <c r="C53" s="12" t="s">
        <v>109</v>
      </c>
      <c r="D53" s="31" t="s">
        <v>99</v>
      </c>
      <c r="E53" s="4" t="s">
        <v>100</v>
      </c>
      <c r="F53" s="4" t="s">
        <v>96</v>
      </c>
      <c r="G53" s="8">
        <v>29000</v>
      </c>
      <c r="H53" s="8"/>
      <c r="I53" s="8"/>
      <c r="J53" s="8"/>
      <c r="K53" s="8"/>
      <c r="M53" s="4">
        <v>15</v>
      </c>
      <c r="N53" s="8">
        <f t="shared" si="0"/>
        <v>29000</v>
      </c>
      <c r="O53" s="47" cm="1">
        <f t="array" ref="O53">_xlfn.IFNA(YEAR(INDEX($G$5:$K$5,,MATCH(1,G53:K53,-1))),"")</f>
        <v>2027</v>
      </c>
      <c r="R53" s="8">
        <f t="shared" si="5"/>
        <v>29000</v>
      </c>
      <c r="S53" s="8">
        <f t="shared" si="5"/>
        <v>0</v>
      </c>
      <c r="T53" s="8">
        <f t="shared" si="5"/>
        <v>0</v>
      </c>
      <c r="U53" s="8">
        <f t="shared" si="5"/>
        <v>0</v>
      </c>
      <c r="V53" s="8">
        <f t="shared" si="5"/>
        <v>0</v>
      </c>
    </row>
    <row r="54" spans="1:22" x14ac:dyDescent="0.35">
      <c r="A54" s="13" t="s">
        <v>93</v>
      </c>
      <c r="B54" s="2">
        <v>2011</v>
      </c>
      <c r="C54" s="13" t="s">
        <v>124</v>
      </c>
      <c r="D54" s="3" t="s">
        <v>22</v>
      </c>
      <c r="E54" s="4" t="s">
        <v>95</v>
      </c>
      <c r="F54" s="4" t="s">
        <v>96</v>
      </c>
      <c r="G54" s="8"/>
      <c r="H54" s="8"/>
      <c r="I54" s="8"/>
      <c r="J54" s="8"/>
      <c r="K54" s="8"/>
      <c r="M54" s="4">
        <v>15</v>
      </c>
      <c r="N54" s="8">
        <f t="shared" si="0"/>
        <v>0</v>
      </c>
      <c r="O54" s="47" t="str" cm="1">
        <f t="array" ref="O54">_xlfn.IFNA(YEAR(INDEX($G$5:$K$5,,MATCH(1,G54:K54,-1))),"")</f>
        <v/>
      </c>
      <c r="R54" s="8">
        <f t="shared" si="5"/>
        <v>0</v>
      </c>
      <c r="S54" s="8">
        <f t="shared" si="5"/>
        <v>0</v>
      </c>
      <c r="T54" s="8">
        <f t="shared" si="5"/>
        <v>0</v>
      </c>
      <c r="U54" s="8">
        <f t="shared" si="5"/>
        <v>0</v>
      </c>
      <c r="V54" s="8">
        <f t="shared" si="5"/>
        <v>0</v>
      </c>
    </row>
    <row r="55" spans="1:22" x14ac:dyDescent="0.35">
      <c r="A55" s="13" t="s">
        <v>93</v>
      </c>
      <c r="B55" s="2">
        <v>2011</v>
      </c>
      <c r="C55" s="13" t="s">
        <v>125</v>
      </c>
      <c r="D55" s="3" t="s">
        <v>22</v>
      </c>
      <c r="E55" s="4" t="s">
        <v>95</v>
      </c>
      <c r="F55" s="4" t="s">
        <v>96</v>
      </c>
      <c r="H55" s="8"/>
      <c r="I55" s="8">
        <v>835000</v>
      </c>
      <c r="J55" s="8"/>
      <c r="K55" s="8"/>
      <c r="M55" s="4">
        <v>15</v>
      </c>
      <c r="N55" s="8">
        <f t="shared" si="0"/>
        <v>835000</v>
      </c>
      <c r="O55" s="47" cm="1">
        <f t="array" ref="O55">_xlfn.IFNA(YEAR(INDEX($G$5:$K$5,,MATCH(1,G55:K55,-1))),"")</f>
        <v>2029</v>
      </c>
      <c r="R55" s="8">
        <f t="shared" si="5"/>
        <v>0</v>
      </c>
      <c r="S55" s="8">
        <f t="shared" si="5"/>
        <v>0</v>
      </c>
      <c r="T55" s="8">
        <f t="shared" si="5"/>
        <v>835000</v>
      </c>
      <c r="U55" s="8">
        <f t="shared" si="5"/>
        <v>0</v>
      </c>
      <c r="V55" s="8">
        <f t="shared" si="5"/>
        <v>0</v>
      </c>
    </row>
    <row r="56" spans="1:22" x14ac:dyDescent="0.35">
      <c r="A56" s="13" t="s">
        <v>93</v>
      </c>
      <c r="B56" s="2">
        <v>2011</v>
      </c>
      <c r="C56" s="13" t="s">
        <v>126</v>
      </c>
      <c r="D56" s="3" t="s">
        <v>22</v>
      </c>
      <c r="E56" s="4" t="s">
        <v>95</v>
      </c>
      <c r="F56" s="4" t="s">
        <v>96</v>
      </c>
      <c r="G56" s="8">
        <v>570000</v>
      </c>
      <c r="H56" s="8"/>
      <c r="I56" s="8"/>
      <c r="J56" s="8"/>
      <c r="K56" s="8"/>
      <c r="M56" s="4">
        <v>15</v>
      </c>
      <c r="N56" s="8">
        <f t="shared" si="0"/>
        <v>570000</v>
      </c>
      <c r="O56" s="47" cm="1">
        <f t="array" ref="O56">_xlfn.IFNA(YEAR(INDEX($G$5:$K$5,,MATCH(1,G56:K56,-1))),"")</f>
        <v>2027</v>
      </c>
      <c r="R56" s="8">
        <f t="shared" ref="R56:V65" si="6">IF($O56="",0,IF(MOD(YEAR(R$5)-$O56,$M56)=0,$N56,0))</f>
        <v>570000</v>
      </c>
      <c r="S56" s="8">
        <f t="shared" si="6"/>
        <v>0</v>
      </c>
      <c r="T56" s="8">
        <f t="shared" si="6"/>
        <v>0</v>
      </c>
      <c r="U56" s="8">
        <f t="shared" si="6"/>
        <v>0</v>
      </c>
      <c r="V56" s="8">
        <f t="shared" si="6"/>
        <v>0</v>
      </c>
    </row>
    <row r="57" spans="1:22" x14ac:dyDescent="0.35">
      <c r="A57" s="13" t="s">
        <v>102</v>
      </c>
      <c r="B57" s="2">
        <v>2011</v>
      </c>
      <c r="C57" s="13" t="s">
        <v>127</v>
      </c>
      <c r="D57" s="3" t="s">
        <v>72</v>
      </c>
      <c r="E57" s="4" t="s">
        <v>95</v>
      </c>
      <c r="F57" s="4" t="s">
        <v>96</v>
      </c>
      <c r="G57" s="8"/>
      <c r="H57" s="8"/>
      <c r="I57" s="8"/>
      <c r="J57" s="8"/>
      <c r="K57" s="8"/>
      <c r="M57" s="4">
        <v>10</v>
      </c>
      <c r="N57" s="8">
        <f t="shared" si="0"/>
        <v>0</v>
      </c>
      <c r="O57" s="47" t="str" cm="1">
        <f t="array" ref="O57">_xlfn.IFNA(YEAR(INDEX($G$5:$K$5,,MATCH(1,G57:K57,-1))),"")</f>
        <v/>
      </c>
      <c r="R57" s="8">
        <f t="shared" si="6"/>
        <v>0</v>
      </c>
      <c r="S57" s="8">
        <f t="shared" si="6"/>
        <v>0</v>
      </c>
      <c r="T57" s="8">
        <f t="shared" si="6"/>
        <v>0</v>
      </c>
      <c r="U57" s="8">
        <f t="shared" si="6"/>
        <v>0</v>
      </c>
      <c r="V57" s="8">
        <f t="shared" si="6"/>
        <v>0</v>
      </c>
    </row>
    <row r="58" spans="1:22" x14ac:dyDescent="0.35">
      <c r="A58" s="13" t="s">
        <v>102</v>
      </c>
      <c r="B58" s="2">
        <v>2011</v>
      </c>
      <c r="C58" s="13" t="s">
        <v>128</v>
      </c>
      <c r="D58" s="3" t="s">
        <v>72</v>
      </c>
      <c r="E58" s="4" t="s">
        <v>95</v>
      </c>
      <c r="F58" s="4" t="s">
        <v>96</v>
      </c>
      <c r="G58" s="8"/>
      <c r="H58" s="8"/>
      <c r="I58" s="8"/>
      <c r="J58" s="8"/>
      <c r="K58" s="8"/>
      <c r="M58" s="4">
        <v>10</v>
      </c>
      <c r="N58" s="8">
        <f t="shared" si="0"/>
        <v>0</v>
      </c>
      <c r="O58" s="47" t="str" cm="1">
        <f t="array" ref="O58">_xlfn.IFNA(YEAR(INDEX($G$5:$K$5,,MATCH(1,G58:K58,-1))),"")</f>
        <v/>
      </c>
      <c r="R58" s="8">
        <f t="shared" si="6"/>
        <v>0</v>
      </c>
      <c r="S58" s="8">
        <f t="shared" si="6"/>
        <v>0</v>
      </c>
      <c r="T58" s="8">
        <f t="shared" si="6"/>
        <v>0</v>
      </c>
      <c r="U58" s="8">
        <f t="shared" si="6"/>
        <v>0</v>
      </c>
      <c r="V58" s="8">
        <f t="shared" si="6"/>
        <v>0</v>
      </c>
    </row>
    <row r="59" spans="1:22" x14ac:dyDescent="0.35">
      <c r="A59" s="13" t="s">
        <v>102</v>
      </c>
      <c r="B59" s="2">
        <v>2011</v>
      </c>
      <c r="C59" s="13" t="s">
        <v>129</v>
      </c>
      <c r="D59" s="3" t="s">
        <v>72</v>
      </c>
      <c r="E59" s="4" t="s">
        <v>95</v>
      </c>
      <c r="F59" s="4" t="s">
        <v>96</v>
      </c>
      <c r="G59" s="8"/>
      <c r="H59" s="8"/>
      <c r="I59" s="8"/>
      <c r="J59" s="8"/>
      <c r="K59" s="8"/>
      <c r="M59" s="4">
        <v>10</v>
      </c>
      <c r="N59" s="8">
        <f t="shared" si="0"/>
        <v>0</v>
      </c>
      <c r="O59" s="47" t="str" cm="1">
        <f t="array" ref="O59">_xlfn.IFNA(YEAR(INDEX($G$5:$K$5,,MATCH(1,G59:K59,-1))),"")</f>
        <v/>
      </c>
      <c r="R59" s="8">
        <f t="shared" si="6"/>
        <v>0</v>
      </c>
      <c r="S59" s="8">
        <f t="shared" si="6"/>
        <v>0</v>
      </c>
      <c r="T59" s="8">
        <f t="shared" si="6"/>
        <v>0</v>
      </c>
      <c r="U59" s="8">
        <f t="shared" si="6"/>
        <v>0</v>
      </c>
      <c r="V59" s="8">
        <f t="shared" si="6"/>
        <v>0</v>
      </c>
    </row>
    <row r="60" spans="1:22" x14ac:dyDescent="0.35">
      <c r="A60" s="13" t="s">
        <v>102</v>
      </c>
      <c r="B60" s="2">
        <v>2011</v>
      </c>
      <c r="C60" s="13" t="s">
        <v>130</v>
      </c>
      <c r="D60" s="3" t="s">
        <v>72</v>
      </c>
      <c r="E60" s="4" t="s">
        <v>95</v>
      </c>
      <c r="F60" s="4" t="s">
        <v>96</v>
      </c>
      <c r="G60" s="8"/>
      <c r="H60" s="8"/>
      <c r="I60" s="8"/>
      <c r="J60" s="8"/>
      <c r="K60" s="8"/>
      <c r="M60" s="4">
        <v>10</v>
      </c>
      <c r="N60" s="8">
        <f t="shared" si="0"/>
        <v>0</v>
      </c>
      <c r="O60" s="47" t="str" cm="1">
        <f t="array" ref="O60">_xlfn.IFNA(YEAR(INDEX($G$5:$K$5,,MATCH(1,G60:K60,-1))),"")</f>
        <v/>
      </c>
      <c r="R60" s="8">
        <f t="shared" si="6"/>
        <v>0</v>
      </c>
      <c r="S60" s="8">
        <f t="shared" si="6"/>
        <v>0</v>
      </c>
      <c r="T60" s="8">
        <f t="shared" si="6"/>
        <v>0</v>
      </c>
      <c r="U60" s="8">
        <f t="shared" si="6"/>
        <v>0</v>
      </c>
      <c r="V60" s="8">
        <f t="shared" si="6"/>
        <v>0</v>
      </c>
    </row>
    <row r="61" spans="1:22" x14ac:dyDescent="0.35">
      <c r="A61" s="13" t="s">
        <v>102</v>
      </c>
      <c r="B61" s="2">
        <v>2011</v>
      </c>
      <c r="C61" s="13" t="s">
        <v>131</v>
      </c>
      <c r="D61" s="3" t="s">
        <v>22</v>
      </c>
      <c r="E61" s="4" t="s">
        <v>95</v>
      </c>
      <c r="F61" s="4" t="s">
        <v>96</v>
      </c>
      <c r="H61" s="8"/>
      <c r="I61" s="8">
        <v>570000</v>
      </c>
      <c r="J61" s="8"/>
      <c r="K61" s="8"/>
      <c r="M61" s="4">
        <v>10</v>
      </c>
      <c r="N61" s="8">
        <f t="shared" si="0"/>
        <v>570000</v>
      </c>
      <c r="O61" s="47" cm="1">
        <f t="array" ref="O61">_xlfn.IFNA(YEAR(INDEX($G$5:$K$5,,MATCH(1,G61:K61,-1))),"")</f>
        <v>2029</v>
      </c>
      <c r="R61" s="8">
        <f t="shared" si="6"/>
        <v>0</v>
      </c>
      <c r="S61" s="8">
        <f t="shared" si="6"/>
        <v>0</v>
      </c>
      <c r="T61" s="8">
        <f t="shared" si="6"/>
        <v>570000</v>
      </c>
      <c r="U61" s="8">
        <f t="shared" si="6"/>
        <v>0</v>
      </c>
      <c r="V61" s="8">
        <f t="shared" si="6"/>
        <v>0</v>
      </c>
    </row>
    <row r="62" spans="1:22" x14ac:dyDescent="0.35">
      <c r="A62" s="13" t="s">
        <v>93</v>
      </c>
      <c r="B62" s="2">
        <v>2011</v>
      </c>
      <c r="C62" s="13" t="s">
        <v>132</v>
      </c>
      <c r="D62" s="3" t="s">
        <v>72</v>
      </c>
      <c r="E62" s="4" t="s">
        <v>95</v>
      </c>
      <c r="F62" s="4" t="s">
        <v>96</v>
      </c>
      <c r="G62" s="8"/>
      <c r="H62" s="8"/>
      <c r="I62" s="8"/>
      <c r="J62" s="8"/>
      <c r="K62" s="8"/>
      <c r="M62" s="4">
        <v>10</v>
      </c>
      <c r="N62" s="8">
        <f t="shared" si="0"/>
        <v>0</v>
      </c>
      <c r="O62" s="47" t="str" cm="1">
        <f t="array" ref="O62">_xlfn.IFNA(YEAR(INDEX($G$5:$K$5,,MATCH(1,G62:K62,-1))),"")</f>
        <v/>
      </c>
      <c r="R62" s="8">
        <f t="shared" si="6"/>
        <v>0</v>
      </c>
      <c r="S62" s="8">
        <f t="shared" si="6"/>
        <v>0</v>
      </c>
      <c r="T62" s="8">
        <f t="shared" si="6"/>
        <v>0</v>
      </c>
      <c r="U62" s="8">
        <f t="shared" si="6"/>
        <v>0</v>
      </c>
      <c r="V62" s="8">
        <f t="shared" si="6"/>
        <v>0</v>
      </c>
    </row>
    <row r="63" spans="1:22" x14ac:dyDescent="0.35">
      <c r="A63" s="13" t="s">
        <v>93</v>
      </c>
      <c r="B63" s="2">
        <v>2011</v>
      </c>
      <c r="C63" s="13" t="s">
        <v>133</v>
      </c>
      <c r="D63" s="3" t="s">
        <v>72</v>
      </c>
      <c r="E63" s="4" t="s">
        <v>95</v>
      </c>
      <c r="F63" s="4" t="s">
        <v>96</v>
      </c>
      <c r="H63" s="8">
        <v>210000</v>
      </c>
      <c r="I63" s="8"/>
      <c r="J63" s="8"/>
      <c r="K63" s="8"/>
      <c r="M63" s="4">
        <v>10</v>
      </c>
      <c r="N63" s="8">
        <f t="shared" si="0"/>
        <v>210000</v>
      </c>
      <c r="O63" s="47" cm="1">
        <f t="array" ref="O63">_xlfn.IFNA(YEAR(INDEX($G$5:$K$5,,MATCH(1,G63:K63,-1))),"")</f>
        <v>2028</v>
      </c>
      <c r="R63" s="8">
        <f t="shared" si="6"/>
        <v>0</v>
      </c>
      <c r="S63" s="8">
        <f t="shared" si="6"/>
        <v>210000</v>
      </c>
      <c r="T63" s="8">
        <f t="shared" si="6"/>
        <v>0</v>
      </c>
      <c r="U63" s="8">
        <f t="shared" si="6"/>
        <v>0</v>
      </c>
      <c r="V63" s="8">
        <f t="shared" si="6"/>
        <v>0</v>
      </c>
    </row>
    <row r="64" spans="1:22" x14ac:dyDescent="0.35">
      <c r="A64" s="13" t="s">
        <v>93</v>
      </c>
      <c r="B64" s="2">
        <v>2011</v>
      </c>
      <c r="C64" s="13" t="s">
        <v>134</v>
      </c>
      <c r="D64" s="3" t="s">
        <v>72</v>
      </c>
      <c r="E64" s="4" t="s">
        <v>95</v>
      </c>
      <c r="F64" s="4" t="s">
        <v>96</v>
      </c>
      <c r="G64" s="8"/>
      <c r="H64" s="8"/>
      <c r="I64" s="8"/>
      <c r="J64" s="8"/>
      <c r="K64" s="8"/>
      <c r="M64" s="4">
        <v>10</v>
      </c>
      <c r="N64" s="8">
        <f t="shared" si="0"/>
        <v>0</v>
      </c>
      <c r="O64" s="47" t="str" cm="1">
        <f t="array" ref="O64">_xlfn.IFNA(YEAR(INDEX($G$5:$K$5,,MATCH(1,G64:K64,-1))),"")</f>
        <v/>
      </c>
      <c r="R64" s="8">
        <f t="shared" si="6"/>
        <v>0</v>
      </c>
      <c r="S64" s="8">
        <f t="shared" si="6"/>
        <v>0</v>
      </c>
      <c r="T64" s="8">
        <f t="shared" si="6"/>
        <v>0</v>
      </c>
      <c r="U64" s="8">
        <f t="shared" si="6"/>
        <v>0</v>
      </c>
      <c r="V64" s="8">
        <f t="shared" si="6"/>
        <v>0</v>
      </c>
    </row>
    <row r="65" spans="1:22" x14ac:dyDescent="0.35">
      <c r="A65" s="13" t="s">
        <v>93</v>
      </c>
      <c r="B65" s="2">
        <v>2011</v>
      </c>
      <c r="C65" s="13" t="s">
        <v>135</v>
      </c>
      <c r="D65" s="3" t="s">
        <v>72</v>
      </c>
      <c r="E65" s="4" t="s">
        <v>95</v>
      </c>
      <c r="F65" s="4" t="s">
        <v>96</v>
      </c>
      <c r="G65" s="8"/>
      <c r="H65" s="8"/>
      <c r="I65" s="8">
        <v>420000</v>
      </c>
      <c r="J65" s="8"/>
      <c r="K65" s="8"/>
      <c r="M65" s="4">
        <v>15</v>
      </c>
      <c r="N65" s="8">
        <f t="shared" si="0"/>
        <v>420000</v>
      </c>
      <c r="O65" s="47" cm="1">
        <f t="array" ref="O65">_xlfn.IFNA(YEAR(INDEX($G$5:$K$5,,MATCH(1,G65:K65,-1))),"")</f>
        <v>2029</v>
      </c>
      <c r="R65" s="8">
        <f t="shared" si="6"/>
        <v>0</v>
      </c>
      <c r="S65" s="8">
        <f t="shared" si="6"/>
        <v>0</v>
      </c>
      <c r="T65" s="8">
        <f t="shared" si="6"/>
        <v>420000</v>
      </c>
      <c r="U65" s="8">
        <f t="shared" si="6"/>
        <v>0</v>
      </c>
      <c r="V65" s="8">
        <f t="shared" si="6"/>
        <v>0</v>
      </c>
    </row>
    <row r="66" spans="1:22" x14ac:dyDescent="0.35">
      <c r="A66" s="13" t="s">
        <v>93</v>
      </c>
      <c r="B66" s="2">
        <v>2011</v>
      </c>
      <c r="C66" s="13" t="s">
        <v>136</v>
      </c>
      <c r="D66" s="3" t="s">
        <v>72</v>
      </c>
      <c r="E66" s="4" t="s">
        <v>95</v>
      </c>
      <c r="F66" s="4" t="s">
        <v>96</v>
      </c>
      <c r="G66" s="8"/>
      <c r="H66" s="8"/>
      <c r="I66" s="8"/>
      <c r="J66" s="8"/>
      <c r="K66" s="8"/>
      <c r="M66" s="4">
        <v>10</v>
      </c>
      <c r="N66" s="8">
        <f t="shared" si="0"/>
        <v>0</v>
      </c>
      <c r="O66" s="47" t="str" cm="1">
        <f t="array" ref="O66">_xlfn.IFNA(YEAR(INDEX($G$5:$K$5,,MATCH(1,G66:K66,-1))),"")</f>
        <v/>
      </c>
      <c r="R66" s="8">
        <f t="shared" ref="R66:V75" si="7">IF($O66="",0,IF(MOD(YEAR(R$5)-$O66,$M66)=0,$N66,0))</f>
        <v>0</v>
      </c>
      <c r="S66" s="8">
        <f t="shared" si="7"/>
        <v>0</v>
      </c>
      <c r="T66" s="8">
        <f t="shared" si="7"/>
        <v>0</v>
      </c>
      <c r="U66" s="8">
        <f t="shared" si="7"/>
        <v>0</v>
      </c>
      <c r="V66" s="8">
        <f t="shared" si="7"/>
        <v>0</v>
      </c>
    </row>
    <row r="67" spans="1:22" x14ac:dyDescent="0.35">
      <c r="A67" s="12" t="s">
        <v>93</v>
      </c>
      <c r="B67" s="11">
        <v>2011</v>
      </c>
      <c r="C67" s="12" t="s">
        <v>93</v>
      </c>
      <c r="D67" s="3" t="s">
        <v>72</v>
      </c>
      <c r="E67" s="4" t="s">
        <v>95</v>
      </c>
      <c r="F67" s="4" t="s">
        <v>96</v>
      </c>
      <c r="G67" s="8"/>
      <c r="H67" s="8"/>
      <c r="I67" s="8"/>
      <c r="J67" s="8"/>
      <c r="K67" s="8"/>
      <c r="M67" s="4">
        <v>10</v>
      </c>
      <c r="N67" s="8">
        <f t="shared" si="0"/>
        <v>0</v>
      </c>
      <c r="O67" s="47" t="str" cm="1">
        <f t="array" ref="O67">_xlfn.IFNA(YEAR(INDEX($G$5:$K$5,,MATCH(1,G67:K67,-1))),"")</f>
        <v/>
      </c>
      <c r="R67" s="8">
        <f t="shared" si="7"/>
        <v>0</v>
      </c>
      <c r="S67" s="8">
        <f t="shared" si="7"/>
        <v>0</v>
      </c>
      <c r="T67" s="8">
        <f t="shared" si="7"/>
        <v>0</v>
      </c>
      <c r="U67" s="8">
        <f t="shared" si="7"/>
        <v>0</v>
      </c>
      <c r="V67" s="8">
        <f t="shared" si="7"/>
        <v>0</v>
      </c>
    </row>
    <row r="68" spans="1:22" x14ac:dyDescent="0.35">
      <c r="A68" s="13" t="s">
        <v>93</v>
      </c>
      <c r="B68" s="2">
        <v>2011</v>
      </c>
      <c r="C68" s="13" t="s">
        <v>137</v>
      </c>
      <c r="D68" s="3" t="s">
        <v>22</v>
      </c>
      <c r="E68" s="4" t="s">
        <v>95</v>
      </c>
      <c r="F68" s="4" t="s">
        <v>96</v>
      </c>
      <c r="G68" s="8"/>
      <c r="H68" s="8"/>
      <c r="I68" s="8"/>
      <c r="J68" s="8"/>
      <c r="K68" s="8"/>
      <c r="M68" s="4">
        <v>10</v>
      </c>
      <c r="N68" s="8">
        <f t="shared" si="0"/>
        <v>0</v>
      </c>
      <c r="O68" s="47" t="str" cm="1">
        <f t="array" ref="O68">_xlfn.IFNA(YEAR(INDEX($G$5:$K$5,,MATCH(1,G68:K68,-1))),"")</f>
        <v/>
      </c>
      <c r="R68" s="8">
        <f t="shared" si="7"/>
        <v>0</v>
      </c>
      <c r="S68" s="8">
        <f t="shared" si="7"/>
        <v>0</v>
      </c>
      <c r="T68" s="8">
        <f t="shared" si="7"/>
        <v>0</v>
      </c>
      <c r="U68" s="8">
        <f t="shared" si="7"/>
        <v>0</v>
      </c>
      <c r="V68" s="8">
        <f t="shared" si="7"/>
        <v>0</v>
      </c>
    </row>
    <row r="69" spans="1:22" x14ac:dyDescent="0.35">
      <c r="A69" s="13" t="s">
        <v>93</v>
      </c>
      <c r="B69" s="2">
        <v>2011</v>
      </c>
      <c r="C69" s="13" t="s">
        <v>138</v>
      </c>
      <c r="D69" s="3" t="s">
        <v>22</v>
      </c>
      <c r="E69" s="4" t="s">
        <v>95</v>
      </c>
      <c r="F69" s="4" t="s">
        <v>96</v>
      </c>
      <c r="G69" s="8"/>
      <c r="H69" s="8"/>
      <c r="I69" s="8"/>
      <c r="J69" s="8"/>
      <c r="K69" s="8"/>
      <c r="M69" s="4">
        <v>10</v>
      </c>
      <c r="N69" s="8">
        <f t="shared" si="0"/>
        <v>0</v>
      </c>
      <c r="O69" s="47" t="str" cm="1">
        <f t="array" ref="O69">_xlfn.IFNA(YEAR(INDEX($G$5:$K$5,,MATCH(1,G69:K69,-1))),"")</f>
        <v/>
      </c>
      <c r="R69" s="8">
        <f t="shared" si="7"/>
        <v>0</v>
      </c>
      <c r="S69" s="8">
        <f t="shared" si="7"/>
        <v>0</v>
      </c>
      <c r="T69" s="8">
        <f t="shared" si="7"/>
        <v>0</v>
      </c>
      <c r="U69" s="8">
        <f t="shared" si="7"/>
        <v>0</v>
      </c>
      <c r="V69" s="8">
        <f t="shared" si="7"/>
        <v>0</v>
      </c>
    </row>
    <row r="70" spans="1:22" x14ac:dyDescent="0.35">
      <c r="A70" s="13" t="s">
        <v>93</v>
      </c>
      <c r="B70" s="2">
        <v>2011</v>
      </c>
      <c r="C70" s="13" t="s">
        <v>139</v>
      </c>
      <c r="D70" s="3" t="s">
        <v>22</v>
      </c>
      <c r="E70" s="4" t="s">
        <v>95</v>
      </c>
      <c r="F70" s="4" t="s">
        <v>96</v>
      </c>
      <c r="G70" s="8"/>
      <c r="H70" s="8"/>
      <c r="I70" s="8"/>
      <c r="J70" s="8"/>
      <c r="K70" s="8"/>
      <c r="M70" s="4">
        <v>10</v>
      </c>
      <c r="N70" s="8">
        <f t="shared" ref="N70:N133" si="8">MAX(G70:K70)</f>
        <v>0</v>
      </c>
      <c r="O70" s="47" t="str" cm="1">
        <f t="array" ref="O70">_xlfn.IFNA(YEAR(INDEX($G$5:$K$5,,MATCH(1,G70:K70,-1))),"")</f>
        <v/>
      </c>
      <c r="R70" s="8">
        <f t="shared" si="7"/>
        <v>0</v>
      </c>
      <c r="S70" s="8">
        <f t="shared" si="7"/>
        <v>0</v>
      </c>
      <c r="T70" s="8">
        <f t="shared" si="7"/>
        <v>0</v>
      </c>
      <c r="U70" s="8">
        <f t="shared" si="7"/>
        <v>0</v>
      </c>
      <c r="V70" s="8">
        <f t="shared" si="7"/>
        <v>0</v>
      </c>
    </row>
    <row r="71" spans="1:22" x14ac:dyDescent="0.35">
      <c r="A71" s="9" t="s">
        <v>140</v>
      </c>
      <c r="B71" s="6">
        <v>2012</v>
      </c>
      <c r="C71" s="9" t="s">
        <v>140</v>
      </c>
      <c r="D71" s="31" t="s">
        <v>99</v>
      </c>
      <c r="E71" s="4" t="s">
        <v>95</v>
      </c>
      <c r="F71" s="4" t="s">
        <v>96</v>
      </c>
      <c r="G71" s="8"/>
      <c r="H71" s="8"/>
      <c r="I71" s="8"/>
      <c r="J71" s="8"/>
      <c r="K71" s="8"/>
      <c r="M71" s="4">
        <v>10</v>
      </c>
      <c r="N71" s="8">
        <f t="shared" si="8"/>
        <v>0</v>
      </c>
      <c r="O71" s="47" t="str" cm="1">
        <f t="array" ref="O71">_xlfn.IFNA(YEAR(INDEX($G$5:$K$5,,MATCH(1,G71:K71,-1))),"")</f>
        <v/>
      </c>
      <c r="R71" s="8">
        <f t="shared" si="7"/>
        <v>0</v>
      </c>
      <c r="S71" s="8">
        <f t="shared" si="7"/>
        <v>0</v>
      </c>
      <c r="T71" s="8">
        <f t="shared" si="7"/>
        <v>0</v>
      </c>
      <c r="U71" s="8">
        <f t="shared" si="7"/>
        <v>0</v>
      </c>
      <c r="V71" s="8">
        <f t="shared" si="7"/>
        <v>0</v>
      </c>
    </row>
    <row r="72" spans="1:22" x14ac:dyDescent="0.35">
      <c r="A72" s="12" t="s">
        <v>141</v>
      </c>
      <c r="B72" s="11">
        <v>2012</v>
      </c>
      <c r="C72" s="12" t="s">
        <v>141</v>
      </c>
      <c r="D72" s="31" t="s">
        <v>99</v>
      </c>
      <c r="E72" s="4" t="s">
        <v>100</v>
      </c>
      <c r="F72" s="4" t="s">
        <v>96</v>
      </c>
      <c r="G72" s="8"/>
      <c r="H72" s="8"/>
      <c r="I72" s="8"/>
      <c r="J72" s="8"/>
      <c r="K72" s="8"/>
      <c r="M72" s="4">
        <v>15</v>
      </c>
      <c r="N72" s="8">
        <f t="shared" si="8"/>
        <v>0</v>
      </c>
      <c r="O72" s="47" t="str" cm="1">
        <f t="array" ref="O72">_xlfn.IFNA(YEAR(INDEX($G$5:$K$5,,MATCH(1,G72:K72,-1))),"")</f>
        <v/>
      </c>
      <c r="R72" s="8">
        <f t="shared" si="7"/>
        <v>0</v>
      </c>
      <c r="S72" s="8">
        <f t="shared" si="7"/>
        <v>0</v>
      </c>
      <c r="T72" s="8">
        <f t="shared" si="7"/>
        <v>0</v>
      </c>
      <c r="U72" s="8">
        <f t="shared" si="7"/>
        <v>0</v>
      </c>
      <c r="V72" s="8">
        <f t="shared" si="7"/>
        <v>0</v>
      </c>
    </row>
    <row r="73" spans="1:22" x14ac:dyDescent="0.35">
      <c r="A73" s="12" t="s">
        <v>109</v>
      </c>
      <c r="B73" s="11">
        <v>2012</v>
      </c>
      <c r="C73" s="12" t="s">
        <v>109</v>
      </c>
      <c r="D73" s="31" t="s">
        <v>99</v>
      </c>
      <c r="E73" s="4" t="s">
        <v>100</v>
      </c>
      <c r="F73" s="4" t="s">
        <v>96</v>
      </c>
      <c r="G73" s="8"/>
      <c r="H73" s="8">
        <v>40000</v>
      </c>
      <c r="I73" s="8"/>
      <c r="J73" s="8"/>
      <c r="K73" s="8"/>
      <c r="M73" s="4">
        <v>15</v>
      </c>
      <c r="N73" s="8">
        <f t="shared" si="8"/>
        <v>40000</v>
      </c>
      <c r="O73" s="47" cm="1">
        <f t="array" ref="O73">_xlfn.IFNA(YEAR(INDEX($G$5:$K$5,,MATCH(1,G73:K73,-1))),"")</f>
        <v>2028</v>
      </c>
      <c r="R73" s="8">
        <f t="shared" si="7"/>
        <v>0</v>
      </c>
      <c r="S73" s="8">
        <f t="shared" si="7"/>
        <v>40000</v>
      </c>
      <c r="T73" s="8">
        <f t="shared" si="7"/>
        <v>0</v>
      </c>
      <c r="U73" s="8">
        <f t="shared" si="7"/>
        <v>0</v>
      </c>
      <c r="V73" s="8">
        <f t="shared" si="7"/>
        <v>0</v>
      </c>
    </row>
    <row r="74" spans="1:22" x14ac:dyDescent="0.35">
      <c r="A74" s="13" t="s">
        <v>142</v>
      </c>
      <c r="B74" s="2">
        <v>2012</v>
      </c>
      <c r="C74" s="13" t="s">
        <v>143</v>
      </c>
      <c r="D74" s="31" t="s">
        <v>99</v>
      </c>
      <c r="E74" s="4" t="s">
        <v>100</v>
      </c>
      <c r="F74" s="4" t="s">
        <v>96</v>
      </c>
      <c r="G74" s="8"/>
      <c r="H74" s="8"/>
      <c r="I74" s="8">
        <v>36000</v>
      </c>
      <c r="J74" s="8"/>
      <c r="K74" s="8"/>
      <c r="M74" s="4">
        <v>15</v>
      </c>
      <c r="N74" s="8">
        <f t="shared" si="8"/>
        <v>36000</v>
      </c>
      <c r="O74" s="47" cm="1">
        <f t="array" ref="O74">_xlfn.IFNA(YEAR(INDEX($G$5:$K$5,,MATCH(1,G74:K74,-1))),"")</f>
        <v>2029</v>
      </c>
      <c r="R74" s="8">
        <f t="shared" si="7"/>
        <v>0</v>
      </c>
      <c r="S74" s="8">
        <f t="shared" si="7"/>
        <v>0</v>
      </c>
      <c r="T74" s="8">
        <f t="shared" si="7"/>
        <v>36000</v>
      </c>
      <c r="U74" s="8">
        <f t="shared" si="7"/>
        <v>0</v>
      </c>
      <c r="V74" s="8">
        <f t="shared" si="7"/>
        <v>0</v>
      </c>
    </row>
    <row r="75" spans="1:22" x14ac:dyDescent="0.35">
      <c r="A75" s="12" t="s">
        <v>93</v>
      </c>
      <c r="B75" s="11">
        <v>2012</v>
      </c>
      <c r="C75" s="12" t="s">
        <v>93</v>
      </c>
      <c r="D75" s="31" t="s">
        <v>72</v>
      </c>
      <c r="E75" s="4" t="s">
        <v>95</v>
      </c>
      <c r="F75" s="4" t="s">
        <v>96</v>
      </c>
      <c r="G75" s="8"/>
      <c r="H75" s="8"/>
      <c r="I75" s="8"/>
      <c r="J75" s="8"/>
      <c r="K75" s="8"/>
      <c r="M75" s="4">
        <v>10</v>
      </c>
      <c r="N75" s="8">
        <f t="shared" si="8"/>
        <v>0</v>
      </c>
      <c r="O75" s="47" t="str" cm="1">
        <f t="array" ref="O75">_xlfn.IFNA(YEAR(INDEX($G$5:$K$5,,MATCH(1,G75:K75,-1))),"")</f>
        <v/>
      </c>
      <c r="R75" s="8">
        <f t="shared" si="7"/>
        <v>0</v>
      </c>
      <c r="S75" s="8">
        <f t="shared" si="7"/>
        <v>0</v>
      </c>
      <c r="T75" s="8">
        <f t="shared" si="7"/>
        <v>0</v>
      </c>
      <c r="U75" s="8">
        <f t="shared" si="7"/>
        <v>0</v>
      </c>
      <c r="V75" s="8">
        <f t="shared" si="7"/>
        <v>0</v>
      </c>
    </row>
    <row r="76" spans="1:22" x14ac:dyDescent="0.35">
      <c r="A76" s="12" t="s">
        <v>93</v>
      </c>
      <c r="B76" s="11">
        <v>2012</v>
      </c>
      <c r="C76" s="12" t="s">
        <v>93</v>
      </c>
      <c r="D76" s="31" t="s">
        <v>22</v>
      </c>
      <c r="E76" s="4" t="s">
        <v>95</v>
      </c>
      <c r="F76" s="4" t="s">
        <v>96</v>
      </c>
      <c r="G76" s="8"/>
      <c r="H76" s="8"/>
      <c r="I76" s="8">
        <v>450000</v>
      </c>
      <c r="J76" s="8"/>
      <c r="K76" s="8"/>
      <c r="M76" s="4">
        <v>10</v>
      </c>
      <c r="N76" s="8">
        <f t="shared" si="8"/>
        <v>450000</v>
      </c>
      <c r="O76" s="47" cm="1">
        <f t="array" ref="O76">_xlfn.IFNA(YEAR(INDEX($G$5:$K$5,,MATCH(1,G76:K76,-1))),"")</f>
        <v>2029</v>
      </c>
      <c r="R76" s="8">
        <f t="shared" ref="R76:V85" si="9">IF($O76="",0,IF(MOD(YEAR(R$5)-$O76,$M76)=0,$N76,0))</f>
        <v>0</v>
      </c>
      <c r="S76" s="8">
        <f t="shared" si="9"/>
        <v>0</v>
      </c>
      <c r="T76" s="8">
        <f t="shared" si="9"/>
        <v>450000</v>
      </c>
      <c r="U76" s="8">
        <f t="shared" si="9"/>
        <v>0</v>
      </c>
      <c r="V76" s="8">
        <f t="shared" si="9"/>
        <v>0</v>
      </c>
    </row>
    <row r="77" spans="1:22" x14ac:dyDescent="0.35">
      <c r="A77" s="13" t="s">
        <v>93</v>
      </c>
      <c r="B77" s="2">
        <v>2012</v>
      </c>
      <c r="C77" s="13" t="s">
        <v>144</v>
      </c>
      <c r="D77" s="3" t="s">
        <v>22</v>
      </c>
      <c r="E77" s="4" t="s">
        <v>95</v>
      </c>
      <c r="F77" s="4" t="s">
        <v>96</v>
      </c>
      <c r="G77" s="8"/>
      <c r="H77" s="8"/>
      <c r="I77" s="8"/>
      <c r="J77" s="8"/>
      <c r="K77" s="8"/>
      <c r="M77" s="4">
        <v>10</v>
      </c>
      <c r="N77" s="8">
        <f t="shared" si="8"/>
        <v>0</v>
      </c>
      <c r="O77" s="47" t="str" cm="1">
        <f t="array" ref="O77">_xlfn.IFNA(YEAR(INDEX($G$5:$K$5,,MATCH(1,G77:K77,-1))),"")</f>
        <v/>
      </c>
      <c r="R77" s="8">
        <f t="shared" si="9"/>
        <v>0</v>
      </c>
      <c r="S77" s="8">
        <f t="shared" si="9"/>
        <v>0</v>
      </c>
      <c r="T77" s="8">
        <f t="shared" si="9"/>
        <v>0</v>
      </c>
      <c r="U77" s="8">
        <f t="shared" si="9"/>
        <v>0</v>
      </c>
      <c r="V77" s="8">
        <f t="shared" si="9"/>
        <v>0</v>
      </c>
    </row>
    <row r="78" spans="1:22" x14ac:dyDescent="0.35">
      <c r="A78" s="12" t="s">
        <v>117</v>
      </c>
      <c r="B78" s="11">
        <v>2013</v>
      </c>
      <c r="C78" s="12" t="s">
        <v>145</v>
      </c>
      <c r="D78" s="31" t="s">
        <v>99</v>
      </c>
      <c r="E78" s="4" t="s">
        <v>95</v>
      </c>
      <c r="F78" s="4" t="s">
        <v>96</v>
      </c>
      <c r="G78" s="8">
        <v>60000</v>
      </c>
      <c r="H78" s="8"/>
      <c r="I78" s="8"/>
      <c r="J78" s="8"/>
      <c r="K78" s="8"/>
      <c r="M78" s="4">
        <v>6</v>
      </c>
      <c r="N78" s="8">
        <f t="shared" si="8"/>
        <v>60000</v>
      </c>
      <c r="O78" s="47" cm="1">
        <f t="array" ref="O78">_xlfn.IFNA(YEAR(INDEX($G$5:$K$5,,MATCH(1,G78:K78,-1))),"")</f>
        <v>2027</v>
      </c>
      <c r="R78" s="8">
        <f t="shared" si="9"/>
        <v>60000</v>
      </c>
      <c r="S78" s="8">
        <f t="shared" si="9"/>
        <v>0</v>
      </c>
      <c r="T78" s="8">
        <f t="shared" si="9"/>
        <v>0</v>
      </c>
      <c r="U78" s="8">
        <f t="shared" si="9"/>
        <v>0</v>
      </c>
      <c r="V78" s="8">
        <f t="shared" si="9"/>
        <v>0</v>
      </c>
    </row>
    <row r="79" spans="1:22" x14ac:dyDescent="0.35">
      <c r="A79" s="1" t="s">
        <v>146</v>
      </c>
      <c r="B79" s="2">
        <v>2014</v>
      </c>
      <c r="C79" s="1" t="s">
        <v>146</v>
      </c>
      <c r="D79" s="3" t="s">
        <v>99</v>
      </c>
      <c r="E79" s="4" t="s">
        <v>95</v>
      </c>
      <c r="F79" s="4" t="s">
        <v>96</v>
      </c>
      <c r="G79" s="8">
        <v>62000</v>
      </c>
      <c r="H79" s="8"/>
      <c r="I79" s="8"/>
      <c r="J79" s="8"/>
      <c r="K79" s="8"/>
      <c r="M79" s="4">
        <v>6</v>
      </c>
      <c r="N79" s="8">
        <f t="shared" si="8"/>
        <v>62000</v>
      </c>
      <c r="O79" s="47" cm="1">
        <f t="array" ref="O79">_xlfn.IFNA(YEAR(INDEX($G$5:$K$5,,MATCH(1,G79:K79,-1))),"")</f>
        <v>2027</v>
      </c>
      <c r="R79" s="8">
        <f t="shared" si="9"/>
        <v>62000</v>
      </c>
      <c r="S79" s="8">
        <f t="shared" si="9"/>
        <v>0</v>
      </c>
      <c r="T79" s="8">
        <f t="shared" si="9"/>
        <v>0</v>
      </c>
      <c r="U79" s="8">
        <f t="shared" si="9"/>
        <v>0</v>
      </c>
      <c r="V79" s="8">
        <f t="shared" si="9"/>
        <v>0</v>
      </c>
    </row>
    <row r="80" spans="1:22" x14ac:dyDescent="0.35">
      <c r="A80" s="1" t="s">
        <v>102</v>
      </c>
      <c r="B80" s="2">
        <v>2014</v>
      </c>
      <c r="C80" s="1" t="s">
        <v>93</v>
      </c>
      <c r="D80" s="31" t="s">
        <v>22</v>
      </c>
      <c r="E80" s="4" t="s">
        <v>95</v>
      </c>
      <c r="F80" s="4" t="s">
        <v>96</v>
      </c>
      <c r="G80" s="8"/>
      <c r="H80" s="8"/>
      <c r="I80" s="8"/>
      <c r="J80" s="8"/>
      <c r="K80" s="8"/>
      <c r="M80" s="4">
        <v>10</v>
      </c>
      <c r="N80" s="8">
        <f t="shared" si="8"/>
        <v>0</v>
      </c>
      <c r="O80" s="47" t="str" cm="1">
        <f t="array" ref="O80">_xlfn.IFNA(YEAR(INDEX($G$5:$K$5,,MATCH(1,G80:K80,-1))),"")</f>
        <v/>
      </c>
      <c r="R80" s="8">
        <f t="shared" si="9"/>
        <v>0</v>
      </c>
      <c r="S80" s="8">
        <f t="shared" si="9"/>
        <v>0</v>
      </c>
      <c r="T80" s="8">
        <f t="shared" si="9"/>
        <v>0</v>
      </c>
      <c r="U80" s="8">
        <f t="shared" si="9"/>
        <v>0</v>
      </c>
      <c r="V80" s="8">
        <f t="shared" si="9"/>
        <v>0</v>
      </c>
    </row>
    <row r="81" spans="1:22" x14ac:dyDescent="0.35">
      <c r="A81" s="1" t="s">
        <v>93</v>
      </c>
      <c r="B81" s="2">
        <v>2014</v>
      </c>
      <c r="C81" s="1" t="s">
        <v>147</v>
      </c>
      <c r="D81" s="31" t="s">
        <v>22</v>
      </c>
      <c r="E81" s="4" t="s">
        <v>95</v>
      </c>
      <c r="F81" s="4" t="s">
        <v>96</v>
      </c>
      <c r="G81" s="8"/>
      <c r="H81" s="8"/>
      <c r="I81" s="8"/>
      <c r="J81" s="8"/>
      <c r="K81" s="8"/>
      <c r="M81" s="4">
        <v>10</v>
      </c>
      <c r="N81" s="8">
        <f t="shared" si="8"/>
        <v>0</v>
      </c>
      <c r="O81" s="47" t="str" cm="1">
        <f t="array" ref="O81">_xlfn.IFNA(YEAR(INDEX($G$5:$K$5,,MATCH(1,G81:K81,-1))),"")</f>
        <v/>
      </c>
      <c r="R81" s="8">
        <f t="shared" si="9"/>
        <v>0</v>
      </c>
      <c r="S81" s="8">
        <f t="shared" si="9"/>
        <v>0</v>
      </c>
      <c r="T81" s="8">
        <f t="shared" si="9"/>
        <v>0</v>
      </c>
      <c r="U81" s="8">
        <f t="shared" si="9"/>
        <v>0</v>
      </c>
      <c r="V81" s="8">
        <f t="shared" si="9"/>
        <v>0</v>
      </c>
    </row>
    <row r="82" spans="1:22" x14ac:dyDescent="0.35">
      <c r="A82" s="1" t="s">
        <v>148</v>
      </c>
      <c r="B82" s="2">
        <v>2014</v>
      </c>
      <c r="C82" s="1" t="s">
        <v>149</v>
      </c>
      <c r="D82" s="3" t="s">
        <v>99</v>
      </c>
      <c r="E82" s="4" t="s">
        <v>95</v>
      </c>
      <c r="F82" s="4" t="s">
        <v>96</v>
      </c>
      <c r="G82" s="8"/>
      <c r="H82" s="8"/>
      <c r="I82" s="8"/>
      <c r="J82" s="8"/>
      <c r="K82" s="8"/>
      <c r="M82" s="4">
        <v>6</v>
      </c>
      <c r="N82" s="8">
        <f t="shared" si="8"/>
        <v>0</v>
      </c>
      <c r="O82" s="47" t="str" cm="1">
        <f t="array" ref="O82">_xlfn.IFNA(YEAR(INDEX($G$5:$K$5,,MATCH(1,G82:K82,-1))),"")</f>
        <v/>
      </c>
      <c r="R82" s="8">
        <f t="shared" si="9"/>
        <v>0</v>
      </c>
      <c r="S82" s="8">
        <f t="shared" si="9"/>
        <v>0</v>
      </c>
      <c r="T82" s="8">
        <f t="shared" si="9"/>
        <v>0</v>
      </c>
      <c r="U82" s="8">
        <f t="shared" si="9"/>
        <v>0</v>
      </c>
      <c r="V82" s="8">
        <f t="shared" si="9"/>
        <v>0</v>
      </c>
    </row>
    <row r="83" spans="1:22" x14ac:dyDescent="0.35">
      <c r="A83" s="1" t="s">
        <v>148</v>
      </c>
      <c r="B83" s="2">
        <v>2014</v>
      </c>
      <c r="C83" s="1" t="s">
        <v>149</v>
      </c>
      <c r="D83" s="3" t="s">
        <v>99</v>
      </c>
      <c r="E83" s="4" t="s">
        <v>95</v>
      </c>
      <c r="F83" s="4" t="s">
        <v>96</v>
      </c>
      <c r="G83" s="8"/>
      <c r="H83" s="8"/>
      <c r="I83" s="8"/>
      <c r="J83" s="8"/>
      <c r="K83" s="8"/>
      <c r="M83" s="4">
        <v>6</v>
      </c>
      <c r="N83" s="8">
        <f t="shared" si="8"/>
        <v>0</v>
      </c>
      <c r="O83" s="47" t="str" cm="1">
        <f t="array" ref="O83">_xlfn.IFNA(YEAR(INDEX($G$5:$K$5,,MATCH(1,G83:K83,-1))),"")</f>
        <v/>
      </c>
      <c r="R83" s="8">
        <f t="shared" si="9"/>
        <v>0</v>
      </c>
      <c r="S83" s="8">
        <f t="shared" si="9"/>
        <v>0</v>
      </c>
      <c r="T83" s="8">
        <f t="shared" si="9"/>
        <v>0</v>
      </c>
      <c r="U83" s="8">
        <f t="shared" si="9"/>
        <v>0</v>
      </c>
      <c r="V83" s="8">
        <f t="shared" si="9"/>
        <v>0</v>
      </c>
    </row>
    <row r="84" spans="1:22" x14ac:dyDescent="0.35">
      <c r="A84" s="1" t="s">
        <v>148</v>
      </c>
      <c r="B84" s="2">
        <v>2014</v>
      </c>
      <c r="C84" s="1" t="s">
        <v>149</v>
      </c>
      <c r="D84" s="3" t="s">
        <v>99</v>
      </c>
      <c r="E84" s="4" t="s">
        <v>95</v>
      </c>
      <c r="F84" s="4" t="s">
        <v>96</v>
      </c>
      <c r="G84" s="8"/>
      <c r="H84" s="8"/>
      <c r="I84" s="8"/>
      <c r="J84" s="8"/>
      <c r="K84" s="8"/>
      <c r="M84" s="4">
        <v>6</v>
      </c>
      <c r="N84" s="8">
        <f t="shared" si="8"/>
        <v>0</v>
      </c>
      <c r="O84" s="47" t="str" cm="1">
        <f t="array" ref="O84">_xlfn.IFNA(YEAR(INDEX($G$5:$K$5,,MATCH(1,G84:K84,-1))),"")</f>
        <v/>
      </c>
      <c r="R84" s="8">
        <f t="shared" si="9"/>
        <v>0</v>
      </c>
      <c r="S84" s="8">
        <f t="shared" si="9"/>
        <v>0</v>
      </c>
      <c r="T84" s="8">
        <f t="shared" si="9"/>
        <v>0</v>
      </c>
      <c r="U84" s="8">
        <f t="shared" si="9"/>
        <v>0</v>
      </c>
      <c r="V84" s="8">
        <f t="shared" si="9"/>
        <v>0</v>
      </c>
    </row>
    <row r="85" spans="1:22" x14ac:dyDescent="0.35">
      <c r="A85" s="12" t="s">
        <v>117</v>
      </c>
      <c r="B85" s="11">
        <v>2014</v>
      </c>
      <c r="C85" s="12" t="s">
        <v>150</v>
      </c>
      <c r="D85" s="31" t="s">
        <v>99</v>
      </c>
      <c r="E85" s="4" t="s">
        <v>95</v>
      </c>
      <c r="F85" s="4" t="s">
        <v>96</v>
      </c>
      <c r="G85" s="8">
        <v>65000</v>
      </c>
      <c r="H85" s="8"/>
      <c r="I85" s="8"/>
      <c r="J85" s="8"/>
      <c r="K85" s="8"/>
      <c r="M85" s="4">
        <v>10</v>
      </c>
      <c r="N85" s="8">
        <f t="shared" si="8"/>
        <v>65000</v>
      </c>
      <c r="O85" s="47" cm="1">
        <f t="array" ref="O85">_xlfn.IFNA(YEAR(INDEX($G$5:$K$5,,MATCH(1,G85:K85,-1))),"")</f>
        <v>2027</v>
      </c>
      <c r="R85" s="8">
        <f t="shared" si="9"/>
        <v>65000</v>
      </c>
      <c r="S85" s="8">
        <f t="shared" si="9"/>
        <v>0</v>
      </c>
      <c r="T85" s="8">
        <f t="shared" si="9"/>
        <v>0</v>
      </c>
      <c r="U85" s="8">
        <f t="shared" si="9"/>
        <v>0</v>
      </c>
      <c r="V85" s="8">
        <f t="shared" si="9"/>
        <v>0</v>
      </c>
    </row>
    <row r="86" spans="1:22" x14ac:dyDescent="0.35">
      <c r="A86" s="66" t="s">
        <v>151</v>
      </c>
      <c r="B86" s="2">
        <v>2014</v>
      </c>
      <c r="C86" s="1" t="s">
        <v>152</v>
      </c>
      <c r="D86" s="31" t="s">
        <v>99</v>
      </c>
      <c r="E86" s="4" t="s">
        <v>100</v>
      </c>
      <c r="F86" s="4" t="s">
        <v>96</v>
      </c>
      <c r="G86" s="8"/>
      <c r="H86" s="8">
        <v>22000</v>
      </c>
      <c r="I86" s="8"/>
      <c r="J86" s="8"/>
      <c r="K86" s="8"/>
      <c r="M86" s="4">
        <v>15</v>
      </c>
      <c r="N86" s="8">
        <f t="shared" si="8"/>
        <v>22000</v>
      </c>
      <c r="O86" s="47" cm="1">
        <f t="array" ref="O86">_xlfn.IFNA(YEAR(INDEX($G$5:$K$5,,MATCH(1,G86:K86,-1))),"")</f>
        <v>2028</v>
      </c>
      <c r="R86" s="8">
        <f t="shared" ref="R86:V95" si="10">IF($O86="",0,IF(MOD(YEAR(R$5)-$O86,$M86)=0,$N86,0))</f>
        <v>0</v>
      </c>
      <c r="S86" s="8">
        <f t="shared" si="10"/>
        <v>22000</v>
      </c>
      <c r="T86" s="8">
        <f t="shared" si="10"/>
        <v>0</v>
      </c>
      <c r="U86" s="8">
        <f t="shared" si="10"/>
        <v>0</v>
      </c>
      <c r="V86" s="8">
        <f t="shared" si="10"/>
        <v>0</v>
      </c>
    </row>
    <row r="87" spans="1:22" x14ac:dyDescent="0.35">
      <c r="A87" s="1" t="s">
        <v>109</v>
      </c>
      <c r="B87" s="2">
        <v>2014</v>
      </c>
      <c r="C87" s="1" t="s">
        <v>153</v>
      </c>
      <c r="D87" s="31" t="s">
        <v>99</v>
      </c>
      <c r="E87" s="4" t="s">
        <v>100</v>
      </c>
      <c r="F87" s="4" t="s">
        <v>96</v>
      </c>
      <c r="G87" s="8"/>
      <c r="H87" s="8">
        <v>15000</v>
      </c>
      <c r="I87" s="8"/>
      <c r="J87" s="8"/>
      <c r="K87" s="8"/>
      <c r="M87" s="4">
        <v>15</v>
      </c>
      <c r="N87" s="8">
        <f t="shared" si="8"/>
        <v>15000</v>
      </c>
      <c r="O87" s="47" cm="1">
        <f t="array" ref="O87">_xlfn.IFNA(YEAR(INDEX($G$5:$K$5,,MATCH(1,G87:K87,-1))),"")</f>
        <v>2028</v>
      </c>
      <c r="R87" s="8">
        <f t="shared" si="10"/>
        <v>0</v>
      </c>
      <c r="S87" s="8">
        <f t="shared" si="10"/>
        <v>15000</v>
      </c>
      <c r="T87" s="8">
        <f t="shared" si="10"/>
        <v>0</v>
      </c>
      <c r="U87" s="8">
        <f t="shared" si="10"/>
        <v>0</v>
      </c>
      <c r="V87" s="8">
        <f t="shared" si="10"/>
        <v>0</v>
      </c>
    </row>
    <row r="88" spans="1:22" x14ac:dyDescent="0.35">
      <c r="A88" s="9" t="s">
        <v>93</v>
      </c>
      <c r="B88" s="6">
        <v>2015</v>
      </c>
      <c r="C88" s="9" t="s">
        <v>93</v>
      </c>
      <c r="D88" s="31" t="s">
        <v>72</v>
      </c>
      <c r="E88" s="4" t="s">
        <v>95</v>
      </c>
      <c r="F88" s="4" t="s">
        <v>96</v>
      </c>
      <c r="G88" s="8"/>
      <c r="H88" s="8">
        <v>450000</v>
      </c>
      <c r="I88" s="8"/>
      <c r="J88" s="8"/>
      <c r="K88" s="8"/>
      <c r="M88" s="4">
        <v>10</v>
      </c>
      <c r="N88" s="8">
        <f t="shared" si="8"/>
        <v>450000</v>
      </c>
      <c r="O88" s="47" cm="1">
        <f t="array" ref="O88">_xlfn.IFNA(YEAR(INDEX($G$5:$K$5,,MATCH(1,G88:K88,-1))),"")</f>
        <v>2028</v>
      </c>
      <c r="R88" s="8">
        <f t="shared" si="10"/>
        <v>0</v>
      </c>
      <c r="S88" s="8">
        <f t="shared" si="10"/>
        <v>450000</v>
      </c>
      <c r="T88" s="8">
        <f t="shared" si="10"/>
        <v>0</v>
      </c>
      <c r="U88" s="8">
        <f t="shared" si="10"/>
        <v>0</v>
      </c>
      <c r="V88" s="8">
        <f t="shared" si="10"/>
        <v>0</v>
      </c>
    </row>
    <row r="89" spans="1:22" x14ac:dyDescent="0.35">
      <c r="A89" s="9" t="s">
        <v>93</v>
      </c>
      <c r="B89" s="6">
        <v>2015</v>
      </c>
      <c r="C89" s="9" t="s">
        <v>93</v>
      </c>
      <c r="D89" s="31" t="s">
        <v>72</v>
      </c>
      <c r="E89" s="4" t="s">
        <v>95</v>
      </c>
      <c r="F89" s="4" t="s">
        <v>96</v>
      </c>
      <c r="G89" s="8"/>
      <c r="H89" s="8"/>
      <c r="I89" s="8"/>
      <c r="J89" s="8"/>
      <c r="K89" s="8"/>
      <c r="M89" s="4">
        <v>10</v>
      </c>
      <c r="N89" s="8">
        <f t="shared" si="8"/>
        <v>0</v>
      </c>
      <c r="O89" s="47" t="str" cm="1">
        <f t="array" ref="O89">_xlfn.IFNA(YEAR(INDEX($G$5:$K$5,,MATCH(1,G89:K89,-1))),"")</f>
        <v/>
      </c>
      <c r="R89" s="8">
        <f t="shared" si="10"/>
        <v>0</v>
      </c>
      <c r="S89" s="8">
        <f t="shared" si="10"/>
        <v>0</v>
      </c>
      <c r="T89" s="8">
        <f t="shared" si="10"/>
        <v>0</v>
      </c>
      <c r="U89" s="8">
        <f t="shared" si="10"/>
        <v>0</v>
      </c>
      <c r="V89" s="8">
        <f t="shared" si="10"/>
        <v>0</v>
      </c>
    </row>
    <row r="90" spans="1:22" x14ac:dyDescent="0.35">
      <c r="A90" s="14" t="s">
        <v>93</v>
      </c>
      <c r="B90" s="15">
        <v>2015</v>
      </c>
      <c r="C90" s="14" t="s">
        <v>93</v>
      </c>
      <c r="D90" s="31" t="s">
        <v>72</v>
      </c>
      <c r="E90" s="4" t="s">
        <v>95</v>
      </c>
      <c r="F90" s="4" t="s">
        <v>96</v>
      </c>
      <c r="G90" s="8">
        <v>400000</v>
      </c>
      <c r="H90" s="8"/>
      <c r="I90" s="8"/>
      <c r="J90" s="8"/>
      <c r="K90" s="8"/>
      <c r="M90" s="4">
        <v>10</v>
      </c>
      <c r="N90" s="8">
        <f t="shared" si="8"/>
        <v>400000</v>
      </c>
      <c r="O90" s="47" cm="1">
        <f t="array" ref="O90">_xlfn.IFNA(YEAR(INDEX($G$5:$K$5,,MATCH(1,G90:K90,-1))),"")</f>
        <v>2027</v>
      </c>
      <c r="R90" s="8">
        <f t="shared" si="10"/>
        <v>400000</v>
      </c>
      <c r="S90" s="8">
        <f t="shared" si="10"/>
        <v>0</v>
      </c>
      <c r="T90" s="8">
        <f t="shared" si="10"/>
        <v>0</v>
      </c>
      <c r="U90" s="8">
        <f t="shared" si="10"/>
        <v>0</v>
      </c>
      <c r="V90" s="8">
        <f t="shared" si="10"/>
        <v>0</v>
      </c>
    </row>
    <row r="91" spans="1:22" x14ac:dyDescent="0.35">
      <c r="A91" s="12" t="s">
        <v>93</v>
      </c>
      <c r="B91" s="11">
        <v>2015</v>
      </c>
      <c r="C91" s="12" t="s">
        <v>154</v>
      </c>
      <c r="D91" s="31" t="s">
        <v>22</v>
      </c>
      <c r="E91" s="4" t="s">
        <v>95</v>
      </c>
      <c r="F91" s="4" t="s">
        <v>96</v>
      </c>
      <c r="G91" s="8">
        <v>800000</v>
      </c>
      <c r="H91" s="8"/>
      <c r="I91" s="8"/>
      <c r="J91" s="8"/>
      <c r="K91" s="8"/>
      <c r="M91" s="4">
        <v>15</v>
      </c>
      <c r="N91" s="8">
        <f t="shared" si="8"/>
        <v>800000</v>
      </c>
      <c r="O91" s="47" cm="1">
        <f t="array" ref="O91">_xlfn.IFNA(YEAR(INDEX($G$5:$K$5,,MATCH(1,G91:K91,-1))),"")</f>
        <v>2027</v>
      </c>
      <c r="R91" s="8">
        <f t="shared" si="10"/>
        <v>800000</v>
      </c>
      <c r="S91" s="8">
        <f t="shared" si="10"/>
        <v>0</v>
      </c>
      <c r="T91" s="8">
        <f t="shared" si="10"/>
        <v>0</v>
      </c>
      <c r="U91" s="8">
        <f t="shared" si="10"/>
        <v>0</v>
      </c>
      <c r="V91" s="8">
        <f t="shared" si="10"/>
        <v>0</v>
      </c>
    </row>
    <row r="92" spans="1:22" x14ac:dyDescent="0.35">
      <c r="A92" s="12" t="s">
        <v>106</v>
      </c>
      <c r="B92" s="11">
        <v>2015</v>
      </c>
      <c r="C92" s="12" t="s">
        <v>118</v>
      </c>
      <c r="D92" s="31" t="s">
        <v>99</v>
      </c>
      <c r="E92" s="4" t="s">
        <v>100</v>
      </c>
      <c r="F92" s="4" t="s">
        <v>96</v>
      </c>
      <c r="G92" s="8"/>
      <c r="H92" s="8"/>
      <c r="I92" s="8"/>
      <c r="J92" s="8"/>
      <c r="K92" s="8">
        <v>135000</v>
      </c>
      <c r="M92" s="4">
        <v>15</v>
      </c>
      <c r="N92" s="8">
        <f t="shared" si="8"/>
        <v>135000</v>
      </c>
      <c r="O92" s="47" cm="1">
        <f t="array" ref="O92">_xlfn.IFNA(YEAR(INDEX($G$5:$K$5,,MATCH(1,G92:K92,-1))),"")</f>
        <v>2031</v>
      </c>
      <c r="R92" s="8">
        <f t="shared" si="10"/>
        <v>0</v>
      </c>
      <c r="S92" s="8">
        <f t="shared" si="10"/>
        <v>0</v>
      </c>
      <c r="T92" s="8">
        <f t="shared" si="10"/>
        <v>0</v>
      </c>
      <c r="U92" s="8">
        <f t="shared" si="10"/>
        <v>0</v>
      </c>
      <c r="V92" s="8">
        <f t="shared" si="10"/>
        <v>135000</v>
      </c>
    </row>
    <row r="93" spans="1:22" x14ac:dyDescent="0.35">
      <c r="A93" s="12" t="s">
        <v>93</v>
      </c>
      <c r="B93" s="11">
        <v>2016</v>
      </c>
      <c r="C93" s="12" t="s">
        <v>155</v>
      </c>
      <c r="D93" s="31" t="s">
        <v>22</v>
      </c>
      <c r="E93" s="4" t="s">
        <v>95</v>
      </c>
      <c r="F93" s="4" t="s">
        <v>96</v>
      </c>
      <c r="G93" s="8">
        <v>420000</v>
      </c>
      <c r="H93" s="8"/>
      <c r="I93" s="8"/>
      <c r="J93" s="8"/>
      <c r="K93" s="8"/>
      <c r="M93" s="4">
        <v>10</v>
      </c>
      <c r="N93" s="8">
        <f t="shared" si="8"/>
        <v>420000</v>
      </c>
      <c r="O93" s="47" cm="1">
        <f t="array" ref="O93">_xlfn.IFNA(YEAR(INDEX($G$5:$K$5,,MATCH(1,G93:K93,-1))),"")</f>
        <v>2027</v>
      </c>
      <c r="R93" s="8">
        <f t="shared" si="10"/>
        <v>420000</v>
      </c>
      <c r="S93" s="8">
        <f t="shared" si="10"/>
        <v>0</v>
      </c>
      <c r="T93" s="8">
        <f t="shared" si="10"/>
        <v>0</v>
      </c>
      <c r="U93" s="8">
        <f t="shared" si="10"/>
        <v>0</v>
      </c>
      <c r="V93" s="8">
        <f t="shared" si="10"/>
        <v>0</v>
      </c>
    </row>
    <row r="94" spans="1:22" x14ac:dyDescent="0.35">
      <c r="A94" s="12" t="s">
        <v>93</v>
      </c>
      <c r="B94" s="11">
        <v>2016</v>
      </c>
      <c r="C94" s="12" t="s">
        <v>155</v>
      </c>
      <c r="D94" s="31" t="s">
        <v>22</v>
      </c>
      <c r="E94" s="4" t="s">
        <v>95</v>
      </c>
      <c r="F94" s="4" t="s">
        <v>96</v>
      </c>
      <c r="G94" s="8">
        <v>420000</v>
      </c>
      <c r="H94" s="8"/>
      <c r="I94" s="8"/>
      <c r="J94" s="8"/>
      <c r="K94" s="8"/>
      <c r="M94" s="4">
        <v>10</v>
      </c>
      <c r="N94" s="8">
        <f t="shared" si="8"/>
        <v>420000</v>
      </c>
      <c r="O94" s="47" cm="1">
        <f t="array" ref="O94">_xlfn.IFNA(YEAR(INDEX($G$5:$K$5,,MATCH(1,G94:K94,-1))),"")</f>
        <v>2027</v>
      </c>
      <c r="R94" s="8">
        <f t="shared" si="10"/>
        <v>420000</v>
      </c>
      <c r="S94" s="8">
        <f t="shared" si="10"/>
        <v>0</v>
      </c>
      <c r="T94" s="8">
        <f t="shared" si="10"/>
        <v>0</v>
      </c>
      <c r="U94" s="8">
        <f t="shared" si="10"/>
        <v>0</v>
      </c>
      <c r="V94" s="8">
        <f t="shared" si="10"/>
        <v>0</v>
      </c>
    </row>
    <row r="95" spans="1:22" x14ac:dyDescent="0.35">
      <c r="A95" s="12" t="s">
        <v>93</v>
      </c>
      <c r="B95" s="11">
        <v>2016</v>
      </c>
      <c r="C95" s="12" t="s">
        <v>155</v>
      </c>
      <c r="D95" s="31" t="s">
        <v>22</v>
      </c>
      <c r="E95" s="4" t="s">
        <v>95</v>
      </c>
      <c r="F95" s="4" t="s">
        <v>96</v>
      </c>
      <c r="G95" s="8"/>
      <c r="H95" s="8">
        <v>420000</v>
      </c>
      <c r="I95" s="8"/>
      <c r="J95" s="8"/>
      <c r="K95" s="8"/>
      <c r="M95" s="4">
        <v>10</v>
      </c>
      <c r="N95" s="8">
        <f t="shared" si="8"/>
        <v>420000</v>
      </c>
      <c r="O95" s="47" cm="1">
        <f t="array" ref="O95">_xlfn.IFNA(YEAR(INDEX($G$5:$K$5,,MATCH(1,G95:K95,-1))),"")</f>
        <v>2028</v>
      </c>
      <c r="R95" s="8">
        <f t="shared" si="10"/>
        <v>0</v>
      </c>
      <c r="S95" s="8">
        <f t="shared" si="10"/>
        <v>420000</v>
      </c>
      <c r="T95" s="8">
        <f t="shared" si="10"/>
        <v>0</v>
      </c>
      <c r="U95" s="8">
        <f t="shared" si="10"/>
        <v>0</v>
      </c>
      <c r="V95" s="8">
        <f t="shared" si="10"/>
        <v>0</v>
      </c>
    </row>
    <row r="96" spans="1:22" x14ac:dyDescent="0.35">
      <c r="A96" s="12" t="s">
        <v>93</v>
      </c>
      <c r="B96" s="11">
        <v>2016</v>
      </c>
      <c r="C96" s="12" t="s">
        <v>155</v>
      </c>
      <c r="D96" s="31" t="s">
        <v>22</v>
      </c>
      <c r="E96" s="4" t="s">
        <v>95</v>
      </c>
      <c r="F96" s="4" t="s">
        <v>96</v>
      </c>
      <c r="G96" s="8"/>
      <c r="H96" s="8">
        <v>420000</v>
      </c>
      <c r="I96" s="8"/>
      <c r="J96" s="8"/>
      <c r="K96" s="8"/>
      <c r="M96" s="4">
        <v>10</v>
      </c>
      <c r="N96" s="8">
        <f t="shared" si="8"/>
        <v>420000</v>
      </c>
      <c r="O96" s="47" cm="1">
        <f t="array" ref="O96">_xlfn.IFNA(YEAR(INDEX($G$5:$K$5,,MATCH(1,G96:K96,-1))),"")</f>
        <v>2028</v>
      </c>
      <c r="R96" s="8">
        <f t="shared" ref="R96:V105" si="11">IF($O96="",0,IF(MOD(YEAR(R$5)-$O96,$M96)=0,$N96,0))</f>
        <v>0</v>
      </c>
      <c r="S96" s="8">
        <f t="shared" si="11"/>
        <v>420000</v>
      </c>
      <c r="T96" s="8">
        <f t="shared" si="11"/>
        <v>0</v>
      </c>
      <c r="U96" s="8">
        <f t="shared" si="11"/>
        <v>0</v>
      </c>
      <c r="V96" s="8">
        <f t="shared" si="11"/>
        <v>0</v>
      </c>
    </row>
    <row r="97" spans="1:22" x14ac:dyDescent="0.35">
      <c r="A97" s="12" t="s">
        <v>109</v>
      </c>
      <c r="B97" s="11">
        <v>2017</v>
      </c>
      <c r="C97" s="12" t="s">
        <v>156</v>
      </c>
      <c r="D97" s="31" t="s">
        <v>99</v>
      </c>
      <c r="E97" s="4" t="s">
        <v>100</v>
      </c>
      <c r="F97" s="4" t="s">
        <v>96</v>
      </c>
      <c r="G97" s="8"/>
      <c r="H97" s="8"/>
      <c r="I97" s="8"/>
      <c r="J97" s="8"/>
      <c r="K97" s="8"/>
      <c r="M97" s="4">
        <v>15</v>
      </c>
      <c r="N97" s="8">
        <f t="shared" si="8"/>
        <v>0</v>
      </c>
      <c r="O97" s="47" t="str" cm="1">
        <f t="array" ref="O97">_xlfn.IFNA(YEAR(INDEX($G$5:$K$5,,MATCH(1,G97:K97,-1))),"")</f>
        <v/>
      </c>
      <c r="R97" s="8">
        <f t="shared" si="11"/>
        <v>0</v>
      </c>
      <c r="S97" s="8">
        <f t="shared" si="11"/>
        <v>0</v>
      </c>
      <c r="T97" s="8">
        <f t="shared" si="11"/>
        <v>0</v>
      </c>
      <c r="U97" s="8">
        <f t="shared" si="11"/>
        <v>0</v>
      </c>
      <c r="V97" s="8">
        <f t="shared" si="11"/>
        <v>0</v>
      </c>
    </row>
    <row r="98" spans="1:22" x14ac:dyDescent="0.35">
      <c r="A98" s="12" t="s">
        <v>102</v>
      </c>
      <c r="B98" s="11">
        <v>2008</v>
      </c>
      <c r="C98" s="12" t="s">
        <v>157</v>
      </c>
      <c r="D98" s="31" t="s">
        <v>22</v>
      </c>
      <c r="E98" s="4" t="s">
        <v>95</v>
      </c>
      <c r="F98" s="4" t="s">
        <v>96</v>
      </c>
      <c r="G98" s="8"/>
      <c r="H98" s="8"/>
      <c r="I98" s="8"/>
      <c r="J98" s="8"/>
      <c r="K98" s="8"/>
      <c r="M98" s="4">
        <v>15</v>
      </c>
      <c r="N98" s="8">
        <f t="shared" si="8"/>
        <v>0</v>
      </c>
      <c r="O98" s="47" t="str" cm="1">
        <f t="array" ref="O98">_xlfn.IFNA(YEAR(INDEX($G$5:$K$5,,MATCH(1,G98:K98,-1))),"")</f>
        <v/>
      </c>
      <c r="R98" s="8">
        <f t="shared" si="11"/>
        <v>0</v>
      </c>
      <c r="S98" s="8">
        <f t="shared" si="11"/>
        <v>0</v>
      </c>
      <c r="T98" s="8">
        <f t="shared" si="11"/>
        <v>0</v>
      </c>
      <c r="U98" s="8">
        <f t="shared" si="11"/>
        <v>0</v>
      </c>
      <c r="V98" s="8">
        <f t="shared" si="11"/>
        <v>0</v>
      </c>
    </row>
    <row r="99" spans="1:22" x14ac:dyDescent="0.35">
      <c r="A99" s="12" t="s">
        <v>158</v>
      </c>
      <c r="B99" s="11">
        <v>2019</v>
      </c>
      <c r="C99" s="12" t="s">
        <v>159</v>
      </c>
      <c r="D99" s="31" t="s">
        <v>22</v>
      </c>
      <c r="E99" s="4" t="s">
        <v>95</v>
      </c>
      <c r="F99" s="4" t="s">
        <v>96</v>
      </c>
      <c r="G99" s="8"/>
      <c r="H99" s="8"/>
      <c r="I99" s="8"/>
      <c r="J99" s="8">
        <v>450000</v>
      </c>
      <c r="K99" s="8"/>
      <c r="M99" s="4">
        <v>10</v>
      </c>
      <c r="N99" s="8">
        <f t="shared" si="8"/>
        <v>450000</v>
      </c>
      <c r="O99" s="47" cm="1">
        <f t="array" ref="O99">_xlfn.IFNA(YEAR(INDEX($G$5:$K$5,,MATCH(1,G99:K99,-1))),"")</f>
        <v>2030</v>
      </c>
      <c r="R99" s="8">
        <f t="shared" si="11"/>
        <v>0</v>
      </c>
      <c r="S99" s="8">
        <f t="shared" si="11"/>
        <v>0</v>
      </c>
      <c r="T99" s="8">
        <f t="shared" si="11"/>
        <v>0</v>
      </c>
      <c r="U99" s="8">
        <f t="shared" si="11"/>
        <v>450000</v>
      </c>
      <c r="V99" s="8">
        <f t="shared" si="11"/>
        <v>0</v>
      </c>
    </row>
    <row r="100" spans="1:22" x14ac:dyDescent="0.35">
      <c r="A100" s="12" t="s">
        <v>158</v>
      </c>
      <c r="B100" s="11">
        <v>2019</v>
      </c>
      <c r="C100" s="12" t="s">
        <v>160</v>
      </c>
      <c r="D100" s="31" t="s">
        <v>22</v>
      </c>
      <c r="E100" s="4" t="s">
        <v>95</v>
      </c>
      <c r="F100" s="4" t="s">
        <v>96</v>
      </c>
      <c r="G100" s="8"/>
      <c r="H100" s="8"/>
      <c r="I100" s="8"/>
      <c r="J100" s="8">
        <v>450000</v>
      </c>
      <c r="K100" s="8"/>
      <c r="M100" s="4">
        <v>10</v>
      </c>
      <c r="N100" s="8">
        <f t="shared" si="8"/>
        <v>450000</v>
      </c>
      <c r="O100" s="47" cm="1">
        <f t="array" ref="O100">_xlfn.IFNA(YEAR(INDEX($G$5:$K$5,,MATCH(1,G100:K100,-1))),"")</f>
        <v>2030</v>
      </c>
      <c r="R100" s="8">
        <f t="shared" si="11"/>
        <v>0</v>
      </c>
      <c r="S100" s="8">
        <f t="shared" si="11"/>
        <v>0</v>
      </c>
      <c r="T100" s="8">
        <f t="shared" si="11"/>
        <v>0</v>
      </c>
      <c r="U100" s="8">
        <f t="shared" si="11"/>
        <v>450000</v>
      </c>
      <c r="V100" s="8">
        <f t="shared" si="11"/>
        <v>0</v>
      </c>
    </row>
    <row r="101" spans="1:22" x14ac:dyDescent="0.35">
      <c r="A101" s="12" t="s">
        <v>158</v>
      </c>
      <c r="B101" s="11">
        <v>2019</v>
      </c>
      <c r="C101" s="12" t="s">
        <v>160</v>
      </c>
      <c r="D101" s="31" t="s">
        <v>22</v>
      </c>
      <c r="E101" s="4" t="s">
        <v>95</v>
      </c>
      <c r="F101" s="4" t="s">
        <v>96</v>
      </c>
      <c r="G101" s="8"/>
      <c r="H101" s="8"/>
      <c r="I101" s="8"/>
      <c r="J101" s="8">
        <v>450000</v>
      </c>
      <c r="K101" s="8"/>
      <c r="M101" s="4">
        <v>10</v>
      </c>
      <c r="N101" s="8">
        <f t="shared" si="8"/>
        <v>450000</v>
      </c>
      <c r="O101" s="47" cm="1">
        <f t="array" ref="O101">_xlfn.IFNA(YEAR(INDEX($G$5:$K$5,,MATCH(1,G101:K101,-1))),"")</f>
        <v>2030</v>
      </c>
      <c r="R101" s="8">
        <f t="shared" si="11"/>
        <v>0</v>
      </c>
      <c r="S101" s="8">
        <f t="shared" si="11"/>
        <v>0</v>
      </c>
      <c r="T101" s="8">
        <f t="shared" si="11"/>
        <v>0</v>
      </c>
      <c r="U101" s="8">
        <f t="shared" si="11"/>
        <v>450000</v>
      </c>
      <c r="V101" s="8">
        <f t="shared" si="11"/>
        <v>0</v>
      </c>
    </row>
    <row r="102" spans="1:22" x14ac:dyDescent="0.35">
      <c r="A102" s="12" t="s">
        <v>158</v>
      </c>
      <c r="B102" s="11">
        <v>2019</v>
      </c>
      <c r="C102" s="12" t="s">
        <v>160</v>
      </c>
      <c r="D102" s="31" t="s">
        <v>22</v>
      </c>
      <c r="E102" s="4" t="s">
        <v>95</v>
      </c>
      <c r="F102" s="4" t="s">
        <v>96</v>
      </c>
      <c r="G102" s="8"/>
      <c r="H102" s="8"/>
      <c r="I102" s="8"/>
      <c r="J102" s="8">
        <v>450000</v>
      </c>
      <c r="K102" s="8"/>
      <c r="M102" s="4">
        <v>10</v>
      </c>
      <c r="N102" s="8">
        <f t="shared" si="8"/>
        <v>450000</v>
      </c>
      <c r="O102" s="47" cm="1">
        <f t="array" ref="O102">_xlfn.IFNA(YEAR(INDEX($G$5:$K$5,,MATCH(1,G102:K102,-1))),"")</f>
        <v>2030</v>
      </c>
      <c r="R102" s="8">
        <f t="shared" si="11"/>
        <v>0</v>
      </c>
      <c r="S102" s="8">
        <f t="shared" si="11"/>
        <v>0</v>
      </c>
      <c r="T102" s="8">
        <f t="shared" si="11"/>
        <v>0</v>
      </c>
      <c r="U102" s="8">
        <f t="shared" si="11"/>
        <v>450000</v>
      </c>
      <c r="V102" s="8">
        <f t="shared" si="11"/>
        <v>0</v>
      </c>
    </row>
    <row r="103" spans="1:22" x14ac:dyDescent="0.35">
      <c r="A103" s="12" t="s">
        <v>158</v>
      </c>
      <c r="B103" s="11">
        <v>2019</v>
      </c>
      <c r="C103" s="12" t="s">
        <v>160</v>
      </c>
      <c r="D103" s="31" t="s">
        <v>22</v>
      </c>
      <c r="E103" s="4" t="s">
        <v>95</v>
      </c>
      <c r="F103" s="4" t="s">
        <v>96</v>
      </c>
      <c r="G103" s="8"/>
      <c r="H103" s="8"/>
      <c r="I103" s="8"/>
      <c r="J103" s="8">
        <v>450000</v>
      </c>
      <c r="K103" s="8"/>
      <c r="M103" s="4">
        <v>10</v>
      </c>
      <c r="N103" s="8">
        <f t="shared" si="8"/>
        <v>450000</v>
      </c>
      <c r="O103" s="47" cm="1">
        <f t="array" ref="O103">_xlfn.IFNA(YEAR(INDEX($G$5:$K$5,,MATCH(1,G103:K103,-1))),"")</f>
        <v>2030</v>
      </c>
      <c r="R103" s="8">
        <f t="shared" si="11"/>
        <v>0</v>
      </c>
      <c r="S103" s="8">
        <f t="shared" si="11"/>
        <v>0</v>
      </c>
      <c r="T103" s="8">
        <f t="shared" si="11"/>
        <v>0</v>
      </c>
      <c r="U103" s="8">
        <f t="shared" si="11"/>
        <v>450000</v>
      </c>
      <c r="V103" s="8">
        <f t="shared" si="11"/>
        <v>0</v>
      </c>
    </row>
    <row r="104" spans="1:22" x14ac:dyDescent="0.35">
      <c r="A104" s="12" t="s">
        <v>146</v>
      </c>
      <c r="B104" s="11">
        <v>2019</v>
      </c>
      <c r="C104" s="12" t="s">
        <v>161</v>
      </c>
      <c r="D104" s="31" t="s">
        <v>99</v>
      </c>
      <c r="E104" s="4" t="s">
        <v>95</v>
      </c>
      <c r="F104" s="4" t="s">
        <v>96</v>
      </c>
      <c r="G104" s="8"/>
      <c r="H104" s="8"/>
      <c r="I104" s="8"/>
      <c r="J104" s="8"/>
      <c r="K104" s="8">
        <v>85000</v>
      </c>
      <c r="M104" s="4">
        <v>6</v>
      </c>
      <c r="N104" s="8">
        <f t="shared" si="8"/>
        <v>85000</v>
      </c>
      <c r="O104" s="47" cm="1">
        <f t="array" ref="O104">_xlfn.IFNA(YEAR(INDEX($G$5:$K$5,,MATCH(1,G104:K104,-1))),"")</f>
        <v>2031</v>
      </c>
      <c r="R104" s="8">
        <f t="shared" si="11"/>
        <v>0</v>
      </c>
      <c r="S104" s="8">
        <f t="shared" si="11"/>
        <v>0</v>
      </c>
      <c r="T104" s="8">
        <f t="shared" si="11"/>
        <v>0</v>
      </c>
      <c r="U104" s="8">
        <f t="shared" si="11"/>
        <v>0</v>
      </c>
      <c r="V104" s="8">
        <f t="shared" si="11"/>
        <v>85000</v>
      </c>
    </row>
    <row r="105" spans="1:22" x14ac:dyDescent="0.35">
      <c r="A105" s="12" t="s">
        <v>146</v>
      </c>
      <c r="B105" s="11">
        <v>2019</v>
      </c>
      <c r="C105" s="12" t="s">
        <v>161</v>
      </c>
      <c r="D105" s="31" t="s">
        <v>99</v>
      </c>
      <c r="E105" s="4" t="s">
        <v>95</v>
      </c>
      <c r="F105" s="4" t="s">
        <v>96</v>
      </c>
      <c r="G105" s="8"/>
      <c r="H105" s="8"/>
      <c r="I105" s="8"/>
      <c r="J105" s="8"/>
      <c r="K105" s="8">
        <v>85000</v>
      </c>
      <c r="M105" s="4">
        <v>6</v>
      </c>
      <c r="N105" s="8">
        <f t="shared" si="8"/>
        <v>85000</v>
      </c>
      <c r="O105" s="47" cm="1">
        <f t="array" ref="O105">_xlfn.IFNA(YEAR(INDEX($G$5:$K$5,,MATCH(1,G105:K105,-1))),"")</f>
        <v>2031</v>
      </c>
      <c r="R105" s="8">
        <f t="shared" si="11"/>
        <v>0</v>
      </c>
      <c r="S105" s="8">
        <f t="shared" si="11"/>
        <v>0</v>
      </c>
      <c r="T105" s="8">
        <f t="shared" si="11"/>
        <v>0</v>
      </c>
      <c r="U105" s="8">
        <f t="shared" si="11"/>
        <v>0</v>
      </c>
      <c r="V105" s="8">
        <f t="shared" si="11"/>
        <v>85000</v>
      </c>
    </row>
    <row r="106" spans="1:22" x14ac:dyDescent="0.35">
      <c r="A106" s="12" t="s">
        <v>146</v>
      </c>
      <c r="B106" s="11">
        <v>2019</v>
      </c>
      <c r="C106" s="12" t="s">
        <v>161</v>
      </c>
      <c r="D106" s="31" t="s">
        <v>99</v>
      </c>
      <c r="E106" s="4" t="s">
        <v>95</v>
      </c>
      <c r="F106" s="4" t="s">
        <v>96</v>
      </c>
      <c r="G106" s="8"/>
      <c r="H106" s="8"/>
      <c r="I106" s="8"/>
      <c r="J106" s="8"/>
      <c r="K106" s="8">
        <v>85000</v>
      </c>
      <c r="M106" s="4">
        <v>6</v>
      </c>
      <c r="N106" s="8">
        <f t="shared" si="8"/>
        <v>85000</v>
      </c>
      <c r="O106" s="47" cm="1">
        <f t="array" ref="O106">_xlfn.IFNA(YEAR(INDEX($G$5:$K$5,,MATCH(1,G106:K106,-1))),"")</f>
        <v>2031</v>
      </c>
      <c r="R106" s="8">
        <f t="shared" ref="R106:V115" si="12">IF($O106="",0,IF(MOD(YEAR(R$5)-$O106,$M106)=0,$N106,0))</f>
        <v>0</v>
      </c>
      <c r="S106" s="8">
        <f t="shared" si="12"/>
        <v>0</v>
      </c>
      <c r="T106" s="8">
        <f t="shared" si="12"/>
        <v>0</v>
      </c>
      <c r="U106" s="8">
        <f t="shared" si="12"/>
        <v>0</v>
      </c>
      <c r="V106" s="8">
        <f t="shared" si="12"/>
        <v>85000</v>
      </c>
    </row>
    <row r="107" spans="1:22" x14ac:dyDescent="0.35">
      <c r="A107" s="12" t="s">
        <v>146</v>
      </c>
      <c r="B107" s="11">
        <v>2019</v>
      </c>
      <c r="C107" s="12" t="s">
        <v>161</v>
      </c>
      <c r="D107" s="31" t="s">
        <v>99</v>
      </c>
      <c r="E107" s="4" t="s">
        <v>95</v>
      </c>
      <c r="F107" s="4" t="s">
        <v>96</v>
      </c>
      <c r="G107" s="8"/>
      <c r="H107" s="8"/>
      <c r="I107" s="8"/>
      <c r="J107" s="8"/>
      <c r="K107" s="8">
        <v>85000</v>
      </c>
      <c r="M107" s="4">
        <v>6</v>
      </c>
      <c r="N107" s="8">
        <f t="shared" si="8"/>
        <v>85000</v>
      </c>
      <c r="O107" s="47" cm="1">
        <f t="array" ref="O107">_xlfn.IFNA(YEAR(INDEX($G$5:$K$5,,MATCH(1,G107:K107,-1))),"")</f>
        <v>2031</v>
      </c>
      <c r="R107" s="8">
        <f t="shared" si="12"/>
        <v>0</v>
      </c>
      <c r="S107" s="8">
        <f t="shared" si="12"/>
        <v>0</v>
      </c>
      <c r="T107" s="8">
        <f t="shared" si="12"/>
        <v>0</v>
      </c>
      <c r="U107" s="8">
        <f t="shared" si="12"/>
        <v>0</v>
      </c>
      <c r="V107" s="8">
        <f t="shared" si="12"/>
        <v>85000</v>
      </c>
    </row>
    <row r="108" spans="1:22" x14ac:dyDescent="0.35">
      <c r="A108" s="12" t="s">
        <v>146</v>
      </c>
      <c r="B108" s="11">
        <v>2019</v>
      </c>
      <c r="C108" s="12" t="s">
        <v>161</v>
      </c>
      <c r="D108" s="31" t="s">
        <v>99</v>
      </c>
      <c r="E108" s="4" t="s">
        <v>95</v>
      </c>
      <c r="F108" s="4" t="s">
        <v>96</v>
      </c>
      <c r="G108" s="8"/>
      <c r="H108" s="8"/>
      <c r="I108" s="8"/>
      <c r="J108" s="8"/>
      <c r="K108" s="8">
        <v>85000</v>
      </c>
      <c r="M108" s="4">
        <v>6</v>
      </c>
      <c r="N108" s="8">
        <f t="shared" si="8"/>
        <v>85000</v>
      </c>
      <c r="O108" s="47" cm="1">
        <f t="array" ref="O108">_xlfn.IFNA(YEAR(INDEX($G$5:$K$5,,MATCH(1,G108:K108,-1))),"")</f>
        <v>2031</v>
      </c>
      <c r="R108" s="8">
        <f t="shared" si="12"/>
        <v>0</v>
      </c>
      <c r="S108" s="8">
        <f t="shared" si="12"/>
        <v>0</v>
      </c>
      <c r="T108" s="8">
        <f t="shared" si="12"/>
        <v>0</v>
      </c>
      <c r="U108" s="8">
        <f t="shared" si="12"/>
        <v>0</v>
      </c>
      <c r="V108" s="8">
        <f t="shared" si="12"/>
        <v>85000</v>
      </c>
    </row>
    <row r="109" spans="1:22" x14ac:dyDescent="0.35">
      <c r="A109" s="12" t="s">
        <v>146</v>
      </c>
      <c r="B109" s="11">
        <v>2019</v>
      </c>
      <c r="C109" s="12" t="s">
        <v>161</v>
      </c>
      <c r="D109" s="31" t="s">
        <v>99</v>
      </c>
      <c r="E109" s="4" t="s">
        <v>95</v>
      </c>
      <c r="F109" s="4" t="s">
        <v>96</v>
      </c>
      <c r="G109" s="8"/>
      <c r="H109" s="8"/>
      <c r="I109" s="8"/>
      <c r="J109" s="8"/>
      <c r="K109" s="8">
        <v>85000</v>
      </c>
      <c r="M109" s="4">
        <v>6</v>
      </c>
      <c r="N109" s="8">
        <f t="shared" si="8"/>
        <v>85000</v>
      </c>
      <c r="O109" s="47" cm="1">
        <f t="array" ref="O109">_xlfn.IFNA(YEAR(INDEX($G$5:$K$5,,MATCH(1,G109:K109,-1))),"")</f>
        <v>2031</v>
      </c>
      <c r="R109" s="8">
        <f t="shared" si="12"/>
        <v>0</v>
      </c>
      <c r="S109" s="8">
        <f t="shared" si="12"/>
        <v>0</v>
      </c>
      <c r="T109" s="8">
        <f t="shared" si="12"/>
        <v>0</v>
      </c>
      <c r="U109" s="8">
        <f t="shared" si="12"/>
        <v>0</v>
      </c>
      <c r="V109" s="8">
        <f t="shared" si="12"/>
        <v>85000</v>
      </c>
    </row>
    <row r="110" spans="1:22" x14ac:dyDescent="0.35">
      <c r="A110" s="12" t="s">
        <v>146</v>
      </c>
      <c r="B110" s="11">
        <v>2020</v>
      </c>
      <c r="C110" s="12" t="s">
        <v>162</v>
      </c>
      <c r="D110" s="31" t="s">
        <v>99</v>
      </c>
      <c r="E110" s="4" t="s">
        <v>95</v>
      </c>
      <c r="F110" s="4" t="s">
        <v>96</v>
      </c>
      <c r="G110" s="8"/>
      <c r="H110" s="8"/>
      <c r="I110" s="8"/>
      <c r="J110" s="8"/>
      <c r="K110" s="8">
        <v>65000</v>
      </c>
      <c r="M110" s="4">
        <v>6</v>
      </c>
      <c r="N110" s="8">
        <f t="shared" si="8"/>
        <v>65000</v>
      </c>
      <c r="O110" s="47" cm="1">
        <f t="array" ref="O110">_xlfn.IFNA(YEAR(INDEX($G$5:$K$5,,MATCH(1,G110:K110,-1))),"")</f>
        <v>2031</v>
      </c>
      <c r="R110" s="8">
        <f t="shared" si="12"/>
        <v>0</v>
      </c>
      <c r="S110" s="8">
        <f t="shared" si="12"/>
        <v>0</v>
      </c>
      <c r="T110" s="8">
        <f t="shared" si="12"/>
        <v>0</v>
      </c>
      <c r="U110" s="8">
        <f t="shared" si="12"/>
        <v>0</v>
      </c>
      <c r="V110" s="8">
        <f t="shared" si="12"/>
        <v>65000</v>
      </c>
    </row>
    <row r="111" spans="1:22" x14ac:dyDescent="0.35">
      <c r="A111" s="12" t="s">
        <v>146</v>
      </c>
      <c r="B111" s="11">
        <v>2020</v>
      </c>
      <c r="C111" s="12" t="s">
        <v>162</v>
      </c>
      <c r="D111" s="31" t="s">
        <v>99</v>
      </c>
      <c r="E111" s="4" t="s">
        <v>95</v>
      </c>
      <c r="F111" s="4" t="s">
        <v>96</v>
      </c>
      <c r="G111" s="8"/>
      <c r="H111" s="8"/>
      <c r="I111" s="8"/>
      <c r="J111" s="8"/>
      <c r="K111" s="8">
        <v>65000</v>
      </c>
      <c r="M111" s="4">
        <v>6</v>
      </c>
      <c r="N111" s="8">
        <f t="shared" si="8"/>
        <v>65000</v>
      </c>
      <c r="O111" s="47" cm="1">
        <f t="array" ref="O111">_xlfn.IFNA(YEAR(INDEX($G$5:$K$5,,MATCH(1,G111:K111,-1))),"")</f>
        <v>2031</v>
      </c>
      <c r="R111" s="8">
        <f t="shared" si="12"/>
        <v>0</v>
      </c>
      <c r="S111" s="8">
        <f t="shared" si="12"/>
        <v>0</v>
      </c>
      <c r="T111" s="8">
        <f t="shared" si="12"/>
        <v>0</v>
      </c>
      <c r="U111" s="8">
        <f t="shared" si="12"/>
        <v>0</v>
      </c>
      <c r="V111" s="8">
        <f t="shared" si="12"/>
        <v>65000</v>
      </c>
    </row>
    <row r="112" spans="1:22" x14ac:dyDescent="0.35">
      <c r="A112" s="12" t="s">
        <v>109</v>
      </c>
      <c r="B112" s="11">
        <v>2020</v>
      </c>
      <c r="C112" s="12" t="s">
        <v>163</v>
      </c>
      <c r="D112" s="31" t="s">
        <v>99</v>
      </c>
      <c r="E112" s="4" t="s">
        <v>100</v>
      </c>
      <c r="F112" s="4" t="s">
        <v>96</v>
      </c>
      <c r="G112" s="8"/>
      <c r="H112" s="8"/>
      <c r="I112" s="8"/>
      <c r="J112" s="8"/>
      <c r="K112" s="8"/>
      <c r="M112" s="4">
        <v>15</v>
      </c>
      <c r="N112" s="8">
        <f t="shared" si="8"/>
        <v>0</v>
      </c>
      <c r="O112" s="47" t="str" cm="1">
        <f t="array" ref="O112">_xlfn.IFNA(YEAR(INDEX($G$5:$K$5,,MATCH(1,G112:K112,-1))),"")</f>
        <v/>
      </c>
      <c r="R112" s="8">
        <f t="shared" si="12"/>
        <v>0</v>
      </c>
      <c r="S112" s="8">
        <f t="shared" si="12"/>
        <v>0</v>
      </c>
      <c r="T112" s="8">
        <f t="shared" si="12"/>
        <v>0</v>
      </c>
      <c r="U112" s="8">
        <f t="shared" si="12"/>
        <v>0</v>
      </c>
      <c r="V112" s="8">
        <f t="shared" si="12"/>
        <v>0</v>
      </c>
    </row>
    <row r="113" spans="1:22" x14ac:dyDescent="0.35">
      <c r="A113" s="12" t="s">
        <v>109</v>
      </c>
      <c r="B113" s="11">
        <v>2020</v>
      </c>
      <c r="C113" s="12" t="s">
        <v>163</v>
      </c>
      <c r="D113" s="31" t="s">
        <v>99</v>
      </c>
      <c r="E113" s="4" t="s">
        <v>100</v>
      </c>
      <c r="F113" s="4" t="s">
        <v>96</v>
      </c>
      <c r="G113" s="8"/>
      <c r="H113" s="8"/>
      <c r="I113" s="8"/>
      <c r="J113" s="8"/>
      <c r="K113" s="8"/>
      <c r="M113" s="4">
        <v>15</v>
      </c>
      <c r="N113" s="8">
        <f t="shared" si="8"/>
        <v>0</v>
      </c>
      <c r="O113" s="47" t="str" cm="1">
        <f t="array" ref="O113">_xlfn.IFNA(YEAR(INDEX($G$5:$K$5,,MATCH(1,G113:K113,-1))),"")</f>
        <v/>
      </c>
      <c r="R113" s="8">
        <f t="shared" si="12"/>
        <v>0</v>
      </c>
      <c r="S113" s="8">
        <f t="shared" si="12"/>
        <v>0</v>
      </c>
      <c r="T113" s="8">
        <f t="shared" si="12"/>
        <v>0</v>
      </c>
      <c r="U113" s="8">
        <f t="shared" si="12"/>
        <v>0</v>
      </c>
      <c r="V113" s="8">
        <f t="shared" si="12"/>
        <v>0</v>
      </c>
    </row>
    <row r="114" spans="1:22" x14ac:dyDescent="0.35">
      <c r="A114" s="12" t="s">
        <v>109</v>
      </c>
      <c r="B114" s="11">
        <v>2020</v>
      </c>
      <c r="C114" s="12" t="s">
        <v>163</v>
      </c>
      <c r="D114" s="31" t="s">
        <v>99</v>
      </c>
      <c r="E114" s="4" t="s">
        <v>100</v>
      </c>
      <c r="F114" s="4" t="s">
        <v>96</v>
      </c>
      <c r="G114" s="8"/>
      <c r="H114" s="8"/>
      <c r="I114" s="8"/>
      <c r="J114" s="8"/>
      <c r="K114" s="8"/>
      <c r="M114" s="4">
        <v>15</v>
      </c>
      <c r="N114" s="8">
        <f t="shared" si="8"/>
        <v>0</v>
      </c>
      <c r="O114" s="47" t="str" cm="1">
        <f t="array" ref="O114">_xlfn.IFNA(YEAR(INDEX($G$5:$K$5,,MATCH(1,G114:K114,-1))),"")</f>
        <v/>
      </c>
      <c r="R114" s="8">
        <f t="shared" si="12"/>
        <v>0</v>
      </c>
      <c r="S114" s="8">
        <f t="shared" si="12"/>
        <v>0</v>
      </c>
      <c r="T114" s="8">
        <f t="shared" si="12"/>
        <v>0</v>
      </c>
      <c r="U114" s="8">
        <f t="shared" si="12"/>
        <v>0</v>
      </c>
      <c r="V114" s="8">
        <f t="shared" si="12"/>
        <v>0</v>
      </c>
    </row>
    <row r="115" spans="1:22" x14ac:dyDescent="0.35">
      <c r="A115" s="1" t="s">
        <v>148</v>
      </c>
      <c r="B115" s="2">
        <v>2018</v>
      </c>
      <c r="C115" s="1" t="s">
        <v>164</v>
      </c>
      <c r="D115" s="3" t="s">
        <v>99</v>
      </c>
      <c r="E115" s="4" t="s">
        <v>95</v>
      </c>
      <c r="F115" s="4" t="s">
        <v>96</v>
      </c>
      <c r="G115" s="8"/>
      <c r="H115" s="8"/>
      <c r="I115" s="8"/>
      <c r="J115" s="8"/>
      <c r="K115" s="8">
        <v>92000</v>
      </c>
      <c r="M115" s="4">
        <v>6</v>
      </c>
      <c r="N115" s="8">
        <f t="shared" si="8"/>
        <v>92000</v>
      </c>
      <c r="O115" s="47" cm="1">
        <f t="array" ref="O115">_xlfn.IFNA(YEAR(INDEX($G$5:$K$5,,MATCH(1,G115:K115,-1))),"")</f>
        <v>2031</v>
      </c>
      <c r="R115" s="8">
        <f t="shared" si="12"/>
        <v>0</v>
      </c>
      <c r="S115" s="8">
        <f t="shared" si="12"/>
        <v>0</v>
      </c>
      <c r="T115" s="8">
        <f t="shared" si="12"/>
        <v>0</v>
      </c>
      <c r="U115" s="8">
        <f t="shared" si="12"/>
        <v>0</v>
      </c>
      <c r="V115" s="8">
        <f t="shared" si="12"/>
        <v>92000</v>
      </c>
    </row>
    <row r="116" spans="1:22" x14ac:dyDescent="0.35">
      <c r="A116" s="1" t="s">
        <v>148</v>
      </c>
      <c r="B116" s="2">
        <v>2018</v>
      </c>
      <c r="C116" s="1" t="s">
        <v>164</v>
      </c>
      <c r="D116" s="3" t="s">
        <v>99</v>
      </c>
      <c r="E116" s="4" t="s">
        <v>95</v>
      </c>
      <c r="F116" s="4" t="s">
        <v>96</v>
      </c>
      <c r="G116" s="8"/>
      <c r="H116" s="8"/>
      <c r="I116" s="8"/>
      <c r="J116" s="8"/>
      <c r="K116" s="8">
        <v>92000</v>
      </c>
      <c r="M116" s="4">
        <v>6</v>
      </c>
      <c r="N116" s="8">
        <f t="shared" si="8"/>
        <v>92000</v>
      </c>
      <c r="O116" s="47" cm="1">
        <f t="array" ref="O116">_xlfn.IFNA(YEAR(INDEX($G$5:$K$5,,MATCH(1,G116:K116,-1))),"")</f>
        <v>2031</v>
      </c>
      <c r="R116" s="8">
        <f t="shared" ref="R116:V125" si="13">IF($O116="",0,IF(MOD(YEAR(R$5)-$O116,$M116)=0,$N116,0))</f>
        <v>0</v>
      </c>
      <c r="S116" s="8">
        <f t="shared" si="13"/>
        <v>0</v>
      </c>
      <c r="T116" s="8">
        <f t="shared" si="13"/>
        <v>0</v>
      </c>
      <c r="U116" s="8">
        <f t="shared" si="13"/>
        <v>0</v>
      </c>
      <c r="V116" s="8">
        <f t="shared" si="13"/>
        <v>92000</v>
      </c>
    </row>
    <row r="117" spans="1:22" x14ac:dyDescent="0.35">
      <c r="A117" s="1" t="s">
        <v>148</v>
      </c>
      <c r="B117" s="2">
        <v>2018</v>
      </c>
      <c r="C117" s="1" t="s">
        <v>164</v>
      </c>
      <c r="D117" s="3" t="s">
        <v>99</v>
      </c>
      <c r="E117" s="4" t="s">
        <v>95</v>
      </c>
      <c r="F117" s="4" t="s">
        <v>96</v>
      </c>
      <c r="G117" s="8"/>
      <c r="H117" s="8"/>
      <c r="I117" s="8"/>
      <c r="J117" s="8"/>
      <c r="K117" s="8">
        <v>92000</v>
      </c>
      <c r="M117" s="4">
        <v>6</v>
      </c>
      <c r="N117" s="8">
        <f t="shared" si="8"/>
        <v>92000</v>
      </c>
      <c r="O117" s="47" cm="1">
        <f t="array" ref="O117">_xlfn.IFNA(YEAR(INDEX($G$5:$K$5,,MATCH(1,G117:K117,-1))),"")</f>
        <v>2031</v>
      </c>
      <c r="R117" s="8">
        <f t="shared" si="13"/>
        <v>0</v>
      </c>
      <c r="S117" s="8">
        <f t="shared" si="13"/>
        <v>0</v>
      </c>
      <c r="T117" s="8">
        <f t="shared" si="13"/>
        <v>0</v>
      </c>
      <c r="U117" s="8">
        <f t="shared" si="13"/>
        <v>0</v>
      </c>
      <c r="V117" s="8">
        <f t="shared" si="13"/>
        <v>92000</v>
      </c>
    </row>
    <row r="118" spans="1:22" x14ac:dyDescent="0.35">
      <c r="A118" s="1" t="s">
        <v>148</v>
      </c>
      <c r="B118" s="2">
        <v>2018</v>
      </c>
      <c r="C118" s="1" t="s">
        <v>164</v>
      </c>
      <c r="D118" s="3" t="s">
        <v>99</v>
      </c>
      <c r="E118" s="4" t="s">
        <v>95</v>
      </c>
      <c r="F118" s="4" t="s">
        <v>96</v>
      </c>
      <c r="G118" s="8"/>
      <c r="H118" s="8"/>
      <c r="I118" s="8"/>
      <c r="J118" s="8"/>
      <c r="K118" s="8">
        <v>92000</v>
      </c>
      <c r="M118" s="4">
        <v>6</v>
      </c>
      <c r="N118" s="8">
        <f t="shared" si="8"/>
        <v>92000</v>
      </c>
      <c r="O118" s="47" cm="1">
        <f t="array" ref="O118">_xlfn.IFNA(YEAR(INDEX($G$5:$K$5,,MATCH(1,G118:K118,-1))),"")</f>
        <v>2031</v>
      </c>
      <c r="R118" s="8">
        <f t="shared" si="13"/>
        <v>0</v>
      </c>
      <c r="S118" s="8">
        <f t="shared" si="13"/>
        <v>0</v>
      </c>
      <c r="T118" s="8">
        <f t="shared" si="13"/>
        <v>0</v>
      </c>
      <c r="U118" s="8">
        <f t="shared" si="13"/>
        <v>0</v>
      </c>
      <c r="V118" s="8">
        <f t="shared" si="13"/>
        <v>92000</v>
      </c>
    </row>
    <row r="119" spans="1:22" x14ac:dyDescent="0.35">
      <c r="A119" s="1" t="s">
        <v>148</v>
      </c>
      <c r="B119" s="2">
        <v>2018</v>
      </c>
      <c r="C119" s="1" t="s">
        <v>164</v>
      </c>
      <c r="D119" s="3" t="s">
        <v>99</v>
      </c>
      <c r="E119" s="4" t="s">
        <v>95</v>
      </c>
      <c r="F119" s="4" t="s">
        <v>96</v>
      </c>
      <c r="G119" s="8"/>
      <c r="H119" s="8"/>
      <c r="I119" s="8"/>
      <c r="J119" s="8"/>
      <c r="K119" s="8">
        <v>92000</v>
      </c>
      <c r="M119" s="4">
        <v>6</v>
      </c>
      <c r="N119" s="8">
        <f t="shared" si="8"/>
        <v>92000</v>
      </c>
      <c r="O119" s="47" cm="1">
        <f t="array" ref="O119">_xlfn.IFNA(YEAR(INDEX($G$5:$K$5,,MATCH(1,G119:K119,-1))),"")</f>
        <v>2031</v>
      </c>
      <c r="R119" s="8">
        <f t="shared" si="13"/>
        <v>0</v>
      </c>
      <c r="S119" s="8">
        <f t="shared" si="13"/>
        <v>0</v>
      </c>
      <c r="T119" s="8">
        <f t="shared" si="13"/>
        <v>0</v>
      </c>
      <c r="U119" s="8">
        <f t="shared" si="13"/>
        <v>0</v>
      </c>
      <c r="V119" s="8">
        <f t="shared" si="13"/>
        <v>92000</v>
      </c>
    </row>
    <row r="120" spans="1:22" x14ac:dyDescent="0.35">
      <c r="A120" s="1" t="s">
        <v>102</v>
      </c>
      <c r="B120" s="2">
        <v>2020</v>
      </c>
      <c r="C120" s="1" t="s">
        <v>165</v>
      </c>
      <c r="D120" s="3" t="s">
        <v>72</v>
      </c>
      <c r="E120" s="4" t="s">
        <v>95</v>
      </c>
      <c r="F120" s="4" t="s">
        <v>96</v>
      </c>
      <c r="G120" s="8"/>
      <c r="H120" s="8"/>
      <c r="I120" s="8"/>
      <c r="J120" s="8"/>
      <c r="K120" s="8">
        <v>175000</v>
      </c>
      <c r="M120" s="4">
        <v>20</v>
      </c>
      <c r="N120" s="8">
        <f t="shared" si="8"/>
        <v>175000</v>
      </c>
      <c r="O120" s="47" cm="1">
        <f t="array" ref="O120">_xlfn.IFNA(YEAR(INDEX($G$5:$K$5,,MATCH(1,G120:K120,-1))),"")</f>
        <v>2031</v>
      </c>
      <c r="R120" s="8">
        <f t="shared" si="13"/>
        <v>0</v>
      </c>
      <c r="S120" s="8">
        <f t="shared" si="13"/>
        <v>0</v>
      </c>
      <c r="T120" s="8">
        <f t="shared" si="13"/>
        <v>0</v>
      </c>
      <c r="U120" s="8">
        <f t="shared" si="13"/>
        <v>0</v>
      </c>
      <c r="V120" s="8">
        <f t="shared" si="13"/>
        <v>175000</v>
      </c>
    </row>
    <row r="121" spans="1:22" x14ac:dyDescent="0.35">
      <c r="A121" s="1" t="s">
        <v>102</v>
      </c>
      <c r="B121" s="2">
        <v>2020</v>
      </c>
      <c r="C121" s="1" t="s">
        <v>166</v>
      </c>
      <c r="D121" s="3" t="s">
        <v>72</v>
      </c>
      <c r="E121" s="4" t="s">
        <v>95</v>
      </c>
      <c r="F121" s="4" t="s">
        <v>96</v>
      </c>
      <c r="G121" s="8"/>
      <c r="H121" s="8"/>
      <c r="I121" s="8"/>
      <c r="J121" s="8"/>
      <c r="K121" s="8">
        <v>185000</v>
      </c>
      <c r="M121" s="4">
        <v>10</v>
      </c>
      <c r="N121" s="8">
        <f t="shared" si="8"/>
        <v>185000</v>
      </c>
      <c r="O121" s="47" cm="1">
        <f t="array" ref="O121">_xlfn.IFNA(YEAR(INDEX($G$5:$K$5,,MATCH(1,G121:K121,-1))),"")</f>
        <v>2031</v>
      </c>
      <c r="R121" s="8">
        <f t="shared" si="13"/>
        <v>0</v>
      </c>
      <c r="S121" s="8">
        <f t="shared" si="13"/>
        <v>0</v>
      </c>
      <c r="T121" s="8">
        <f t="shared" si="13"/>
        <v>0</v>
      </c>
      <c r="U121" s="8">
        <f t="shared" si="13"/>
        <v>0</v>
      </c>
      <c r="V121" s="8">
        <f t="shared" si="13"/>
        <v>185000</v>
      </c>
    </row>
    <row r="122" spans="1:22" x14ac:dyDescent="0.35">
      <c r="A122" s="1" t="s">
        <v>102</v>
      </c>
      <c r="B122" s="2">
        <v>2020</v>
      </c>
      <c r="C122" s="1" t="s">
        <v>166</v>
      </c>
      <c r="D122" s="3" t="s">
        <v>72</v>
      </c>
      <c r="E122" s="4" t="s">
        <v>95</v>
      </c>
      <c r="F122" s="4" t="s">
        <v>96</v>
      </c>
      <c r="G122" s="8"/>
      <c r="H122" s="8"/>
      <c r="I122" s="8"/>
      <c r="J122" s="8"/>
      <c r="K122" s="8">
        <v>185000</v>
      </c>
      <c r="M122" s="4">
        <v>10</v>
      </c>
      <c r="N122" s="8">
        <f t="shared" si="8"/>
        <v>185000</v>
      </c>
      <c r="O122" s="47" cm="1">
        <f t="array" ref="O122">_xlfn.IFNA(YEAR(INDEX($G$5:$K$5,,MATCH(1,G122:K122,-1))),"")</f>
        <v>2031</v>
      </c>
      <c r="R122" s="8">
        <f t="shared" si="13"/>
        <v>0</v>
      </c>
      <c r="S122" s="8">
        <f t="shared" si="13"/>
        <v>0</v>
      </c>
      <c r="T122" s="8">
        <f t="shared" si="13"/>
        <v>0</v>
      </c>
      <c r="U122" s="8">
        <f t="shared" si="13"/>
        <v>0</v>
      </c>
      <c r="V122" s="8">
        <f t="shared" si="13"/>
        <v>185000</v>
      </c>
    </row>
    <row r="123" spans="1:22" x14ac:dyDescent="0.35">
      <c r="A123" s="1" t="s">
        <v>102</v>
      </c>
      <c r="B123" s="2">
        <v>2020</v>
      </c>
      <c r="C123" s="1" t="s">
        <v>167</v>
      </c>
      <c r="D123" s="3" t="s">
        <v>72</v>
      </c>
      <c r="E123" s="4" t="s">
        <v>95</v>
      </c>
      <c r="F123" s="4" t="s">
        <v>96</v>
      </c>
      <c r="G123" s="8"/>
      <c r="H123" s="8"/>
      <c r="I123" s="8"/>
      <c r="J123" s="8"/>
      <c r="K123" s="8"/>
      <c r="M123" s="4">
        <v>10</v>
      </c>
      <c r="N123" s="8">
        <f t="shared" si="8"/>
        <v>0</v>
      </c>
      <c r="O123" s="47" t="str" cm="1">
        <f t="array" ref="O123">_xlfn.IFNA(YEAR(INDEX($G$5:$K$5,,MATCH(1,G123:K123,-1))),"")</f>
        <v/>
      </c>
      <c r="R123" s="8">
        <f t="shared" si="13"/>
        <v>0</v>
      </c>
      <c r="S123" s="8">
        <f t="shared" si="13"/>
        <v>0</v>
      </c>
      <c r="T123" s="8">
        <f t="shared" si="13"/>
        <v>0</v>
      </c>
      <c r="U123" s="8">
        <f t="shared" si="13"/>
        <v>0</v>
      </c>
      <c r="V123" s="8">
        <f t="shared" si="13"/>
        <v>0</v>
      </c>
    </row>
    <row r="124" spans="1:22" x14ac:dyDescent="0.35">
      <c r="A124" s="1" t="s">
        <v>102</v>
      </c>
      <c r="B124" s="2">
        <v>2020</v>
      </c>
      <c r="C124" s="1" t="s">
        <v>168</v>
      </c>
      <c r="D124" s="3" t="s">
        <v>22</v>
      </c>
      <c r="E124" s="4" t="s">
        <v>95</v>
      </c>
      <c r="F124" s="4" t="s">
        <v>96</v>
      </c>
      <c r="G124" s="8"/>
      <c r="H124" s="8"/>
      <c r="I124" s="8"/>
      <c r="J124" s="8"/>
      <c r="K124" s="8"/>
      <c r="M124" s="4">
        <v>10</v>
      </c>
      <c r="N124" s="8">
        <f t="shared" si="8"/>
        <v>0</v>
      </c>
      <c r="O124" s="47" t="str" cm="1">
        <f t="array" ref="O124">_xlfn.IFNA(YEAR(INDEX($G$5:$K$5,,MATCH(1,G124:K124,-1))),"")</f>
        <v/>
      </c>
      <c r="R124" s="8">
        <f t="shared" si="13"/>
        <v>0</v>
      </c>
      <c r="S124" s="8">
        <f t="shared" si="13"/>
        <v>0</v>
      </c>
      <c r="T124" s="8">
        <f t="shared" si="13"/>
        <v>0</v>
      </c>
      <c r="U124" s="8">
        <f t="shared" si="13"/>
        <v>0</v>
      </c>
      <c r="V124" s="8">
        <f t="shared" si="13"/>
        <v>0</v>
      </c>
    </row>
    <row r="125" spans="1:22" x14ac:dyDescent="0.35">
      <c r="A125" s="1" t="s">
        <v>102</v>
      </c>
      <c r="B125" s="2">
        <v>2020</v>
      </c>
      <c r="C125" s="1" t="s">
        <v>168</v>
      </c>
      <c r="D125" s="3" t="s">
        <v>22</v>
      </c>
      <c r="E125" s="4" t="s">
        <v>95</v>
      </c>
      <c r="F125" s="4" t="s">
        <v>96</v>
      </c>
      <c r="G125" s="8"/>
      <c r="H125" s="8"/>
      <c r="I125" s="8"/>
      <c r="J125" s="8"/>
      <c r="K125" s="8"/>
      <c r="M125" s="4">
        <v>10</v>
      </c>
      <c r="N125" s="8">
        <f t="shared" si="8"/>
        <v>0</v>
      </c>
      <c r="O125" s="47" t="str" cm="1">
        <f t="array" ref="O125">_xlfn.IFNA(YEAR(INDEX($G$5:$K$5,,MATCH(1,G125:K125,-1))),"")</f>
        <v/>
      </c>
      <c r="R125" s="8">
        <f t="shared" si="13"/>
        <v>0</v>
      </c>
      <c r="S125" s="8">
        <f t="shared" si="13"/>
        <v>0</v>
      </c>
      <c r="T125" s="8">
        <f t="shared" si="13"/>
        <v>0</v>
      </c>
      <c r="U125" s="8">
        <f t="shared" si="13"/>
        <v>0</v>
      </c>
      <c r="V125" s="8">
        <f t="shared" si="13"/>
        <v>0</v>
      </c>
    </row>
    <row r="126" spans="1:22" x14ac:dyDescent="0.35">
      <c r="A126" s="1" t="s">
        <v>102</v>
      </c>
      <c r="B126" s="2">
        <v>2020</v>
      </c>
      <c r="C126" s="1" t="s">
        <v>168</v>
      </c>
      <c r="D126" s="3" t="s">
        <v>22</v>
      </c>
      <c r="E126" s="4" t="s">
        <v>95</v>
      </c>
      <c r="F126" s="4" t="s">
        <v>96</v>
      </c>
      <c r="G126" s="8"/>
      <c r="H126" s="8"/>
      <c r="I126" s="8"/>
      <c r="J126" s="8"/>
      <c r="K126" s="8"/>
      <c r="M126" s="4">
        <v>10</v>
      </c>
      <c r="N126" s="8">
        <f t="shared" si="8"/>
        <v>0</v>
      </c>
      <c r="O126" s="47" t="str" cm="1">
        <f t="array" ref="O126">_xlfn.IFNA(YEAR(INDEX($G$5:$K$5,,MATCH(1,G126:K126,-1))),"")</f>
        <v/>
      </c>
      <c r="R126" s="8">
        <f t="shared" ref="R126:V135" si="14">IF($O126="",0,IF(MOD(YEAR(R$5)-$O126,$M126)=0,$N126,0))</f>
        <v>0</v>
      </c>
      <c r="S126" s="8">
        <f t="shared" si="14"/>
        <v>0</v>
      </c>
      <c r="T126" s="8">
        <f t="shared" si="14"/>
        <v>0</v>
      </c>
      <c r="U126" s="8">
        <f t="shared" si="14"/>
        <v>0</v>
      </c>
      <c r="V126" s="8">
        <f t="shared" si="14"/>
        <v>0</v>
      </c>
    </row>
    <row r="127" spans="1:22" x14ac:dyDescent="0.35">
      <c r="A127" s="1" t="s">
        <v>102</v>
      </c>
      <c r="B127" s="2">
        <v>2020</v>
      </c>
      <c r="C127" s="1" t="s">
        <v>168</v>
      </c>
      <c r="D127" s="3" t="s">
        <v>22</v>
      </c>
      <c r="E127" s="4" t="s">
        <v>95</v>
      </c>
      <c r="F127" s="4" t="s">
        <v>96</v>
      </c>
      <c r="G127" s="8"/>
      <c r="H127" s="8"/>
      <c r="I127" s="8"/>
      <c r="J127" s="8"/>
      <c r="K127" s="8"/>
      <c r="M127" s="4">
        <v>10</v>
      </c>
      <c r="N127" s="8">
        <f t="shared" si="8"/>
        <v>0</v>
      </c>
      <c r="O127" s="47" t="str" cm="1">
        <f t="array" ref="O127">_xlfn.IFNA(YEAR(INDEX($G$5:$K$5,,MATCH(1,G127:K127,-1))),"")</f>
        <v/>
      </c>
      <c r="R127" s="8">
        <f t="shared" si="14"/>
        <v>0</v>
      </c>
      <c r="S127" s="8">
        <f t="shared" si="14"/>
        <v>0</v>
      </c>
      <c r="T127" s="8">
        <f t="shared" si="14"/>
        <v>0</v>
      </c>
      <c r="U127" s="8">
        <f t="shared" si="14"/>
        <v>0</v>
      </c>
      <c r="V127" s="8">
        <f t="shared" si="14"/>
        <v>0</v>
      </c>
    </row>
    <row r="128" spans="1:22" x14ac:dyDescent="0.35">
      <c r="A128" s="1" t="s">
        <v>102</v>
      </c>
      <c r="B128" s="2">
        <v>2020</v>
      </c>
      <c r="C128" s="1" t="s">
        <v>168</v>
      </c>
      <c r="D128" s="3" t="s">
        <v>22</v>
      </c>
      <c r="E128" s="4" t="s">
        <v>95</v>
      </c>
      <c r="F128" s="4" t="s">
        <v>96</v>
      </c>
      <c r="G128" s="8"/>
      <c r="H128" s="8"/>
      <c r="I128" s="8"/>
      <c r="J128" s="8"/>
      <c r="K128" s="8"/>
      <c r="M128" s="4">
        <v>10</v>
      </c>
      <c r="N128" s="8">
        <f t="shared" si="8"/>
        <v>0</v>
      </c>
      <c r="O128" s="47" t="str" cm="1">
        <f t="array" ref="O128">_xlfn.IFNA(YEAR(INDEX($G$5:$K$5,,MATCH(1,G128:K128,-1))),"")</f>
        <v/>
      </c>
      <c r="R128" s="8">
        <f t="shared" si="14"/>
        <v>0</v>
      </c>
      <c r="S128" s="8">
        <f t="shared" si="14"/>
        <v>0</v>
      </c>
      <c r="T128" s="8">
        <f t="shared" si="14"/>
        <v>0</v>
      </c>
      <c r="U128" s="8">
        <f t="shared" si="14"/>
        <v>0</v>
      </c>
      <c r="V128" s="8">
        <f t="shared" si="14"/>
        <v>0</v>
      </c>
    </row>
    <row r="129" spans="1:22" x14ac:dyDescent="0.35">
      <c r="A129" s="1" t="s">
        <v>102</v>
      </c>
      <c r="B129" s="2">
        <v>2020</v>
      </c>
      <c r="C129" s="1" t="s">
        <v>169</v>
      </c>
      <c r="D129" s="3" t="s">
        <v>72</v>
      </c>
      <c r="E129" s="4" t="s">
        <v>95</v>
      </c>
      <c r="F129" s="4" t="s">
        <v>96</v>
      </c>
      <c r="G129" s="8"/>
      <c r="H129" s="8"/>
      <c r="I129" s="8"/>
      <c r="J129" s="8"/>
      <c r="K129" s="8"/>
      <c r="M129" s="4">
        <v>10</v>
      </c>
      <c r="N129" s="8">
        <f t="shared" si="8"/>
        <v>0</v>
      </c>
      <c r="O129" s="47" t="str" cm="1">
        <f t="array" ref="O129">_xlfn.IFNA(YEAR(INDEX($G$5:$K$5,,MATCH(1,G129:K129,-1))),"")</f>
        <v/>
      </c>
      <c r="R129" s="8">
        <f t="shared" si="14"/>
        <v>0</v>
      </c>
      <c r="S129" s="8">
        <f t="shared" si="14"/>
        <v>0</v>
      </c>
      <c r="T129" s="8">
        <f t="shared" si="14"/>
        <v>0</v>
      </c>
      <c r="U129" s="8">
        <f t="shared" si="14"/>
        <v>0</v>
      </c>
      <c r="V129" s="8">
        <f t="shared" si="14"/>
        <v>0</v>
      </c>
    </row>
    <row r="130" spans="1:22" x14ac:dyDescent="0.35">
      <c r="A130" s="1" t="s">
        <v>102</v>
      </c>
      <c r="B130" s="2">
        <v>2020</v>
      </c>
      <c r="C130" s="1" t="s">
        <v>170</v>
      </c>
      <c r="D130" s="3" t="s">
        <v>22</v>
      </c>
      <c r="E130" s="4" t="s">
        <v>95</v>
      </c>
      <c r="F130" s="4" t="s">
        <v>96</v>
      </c>
      <c r="G130" s="8"/>
      <c r="H130" s="8"/>
      <c r="I130" s="8"/>
      <c r="J130" s="8"/>
      <c r="K130" s="8"/>
      <c r="M130" s="4">
        <v>10</v>
      </c>
      <c r="N130" s="8">
        <f t="shared" si="8"/>
        <v>0</v>
      </c>
      <c r="O130" s="47" t="str" cm="1">
        <f t="array" ref="O130">_xlfn.IFNA(YEAR(INDEX($G$5:$K$5,,MATCH(1,G130:K130,-1))),"")</f>
        <v/>
      </c>
      <c r="R130" s="8">
        <f t="shared" si="14"/>
        <v>0</v>
      </c>
      <c r="S130" s="8">
        <f t="shared" si="14"/>
        <v>0</v>
      </c>
      <c r="T130" s="8">
        <f t="shared" si="14"/>
        <v>0</v>
      </c>
      <c r="U130" s="8">
        <f t="shared" si="14"/>
        <v>0</v>
      </c>
      <c r="V130" s="8">
        <f t="shared" si="14"/>
        <v>0</v>
      </c>
    </row>
    <row r="131" spans="1:22" x14ac:dyDescent="0.35">
      <c r="A131" s="1" t="s">
        <v>102</v>
      </c>
      <c r="B131" s="2">
        <v>2020</v>
      </c>
      <c r="C131" s="1" t="s">
        <v>170</v>
      </c>
      <c r="D131" s="3" t="s">
        <v>22</v>
      </c>
      <c r="E131" s="4" t="s">
        <v>95</v>
      </c>
      <c r="F131" s="4" t="s">
        <v>96</v>
      </c>
      <c r="G131" s="8"/>
      <c r="H131" s="8"/>
      <c r="I131" s="8"/>
      <c r="J131" s="8"/>
      <c r="K131" s="8"/>
      <c r="M131" s="4">
        <v>10</v>
      </c>
      <c r="N131" s="8">
        <f t="shared" si="8"/>
        <v>0</v>
      </c>
      <c r="O131" s="47" t="str" cm="1">
        <f t="array" ref="O131">_xlfn.IFNA(YEAR(INDEX($G$5:$K$5,,MATCH(1,G131:K131,-1))),"")</f>
        <v/>
      </c>
      <c r="R131" s="8">
        <f t="shared" si="14"/>
        <v>0</v>
      </c>
      <c r="S131" s="8">
        <f t="shared" si="14"/>
        <v>0</v>
      </c>
      <c r="T131" s="8">
        <f t="shared" si="14"/>
        <v>0</v>
      </c>
      <c r="U131" s="8">
        <f t="shared" si="14"/>
        <v>0</v>
      </c>
      <c r="V131" s="8">
        <f t="shared" si="14"/>
        <v>0</v>
      </c>
    </row>
    <row r="132" spans="1:22" x14ac:dyDescent="0.35">
      <c r="A132" s="1" t="s">
        <v>113</v>
      </c>
      <c r="B132" s="2">
        <v>2020</v>
      </c>
      <c r="C132" s="1" t="s">
        <v>171</v>
      </c>
      <c r="D132" s="3" t="s">
        <v>22</v>
      </c>
      <c r="E132" s="4" t="s">
        <v>95</v>
      </c>
      <c r="F132" s="4" t="s">
        <v>96</v>
      </c>
      <c r="G132" s="8"/>
      <c r="H132" s="8"/>
      <c r="I132" s="8"/>
      <c r="J132" s="8"/>
      <c r="K132" s="8"/>
      <c r="M132" s="4">
        <v>15</v>
      </c>
      <c r="N132" s="8">
        <f t="shared" si="8"/>
        <v>0</v>
      </c>
      <c r="O132" s="47" t="str" cm="1">
        <f t="array" ref="O132">_xlfn.IFNA(YEAR(INDEX($G$5:$K$5,,MATCH(1,G132:K132,-1))),"")</f>
        <v/>
      </c>
      <c r="R132" s="8">
        <f t="shared" si="14"/>
        <v>0</v>
      </c>
      <c r="S132" s="8">
        <f t="shared" si="14"/>
        <v>0</v>
      </c>
      <c r="T132" s="8">
        <f t="shared" si="14"/>
        <v>0</v>
      </c>
      <c r="U132" s="8">
        <f t="shared" si="14"/>
        <v>0</v>
      </c>
      <c r="V132" s="8">
        <f t="shared" si="14"/>
        <v>0</v>
      </c>
    </row>
    <row r="133" spans="1:22" x14ac:dyDescent="0.35">
      <c r="A133" s="1" t="s">
        <v>156</v>
      </c>
      <c r="B133" s="2">
        <v>2021</v>
      </c>
      <c r="C133" s="1" t="s">
        <v>172</v>
      </c>
      <c r="D133" s="3" t="s">
        <v>99</v>
      </c>
      <c r="E133" s="4" t="s">
        <v>100</v>
      </c>
      <c r="F133" s="4" t="s">
        <v>96</v>
      </c>
      <c r="G133" s="8"/>
      <c r="H133" s="8"/>
      <c r="I133" s="8"/>
      <c r="J133" s="8"/>
      <c r="K133" s="8"/>
      <c r="M133" s="4">
        <v>15</v>
      </c>
      <c r="N133" s="8">
        <f t="shared" si="8"/>
        <v>0</v>
      </c>
      <c r="O133" s="47" t="str" cm="1">
        <f t="array" ref="O133">_xlfn.IFNA(YEAR(INDEX($G$5:$K$5,,MATCH(1,G133:K133,-1))),"")</f>
        <v/>
      </c>
      <c r="R133" s="8">
        <f t="shared" si="14"/>
        <v>0</v>
      </c>
      <c r="S133" s="8">
        <f t="shared" si="14"/>
        <v>0</v>
      </c>
      <c r="T133" s="8">
        <f t="shared" si="14"/>
        <v>0</v>
      </c>
      <c r="U133" s="8">
        <f t="shared" si="14"/>
        <v>0</v>
      </c>
      <c r="V133" s="8">
        <f t="shared" si="14"/>
        <v>0</v>
      </c>
    </row>
    <row r="134" spans="1:22" x14ac:dyDescent="0.35">
      <c r="A134" s="1" t="s">
        <v>156</v>
      </c>
      <c r="B134" s="2">
        <v>2021</v>
      </c>
      <c r="C134" s="1" t="s">
        <v>172</v>
      </c>
      <c r="D134" s="3" t="s">
        <v>99</v>
      </c>
      <c r="E134" s="4" t="s">
        <v>100</v>
      </c>
      <c r="F134" s="4" t="s">
        <v>96</v>
      </c>
      <c r="G134" s="8"/>
      <c r="H134" s="8"/>
      <c r="I134" s="8"/>
      <c r="J134" s="8"/>
      <c r="K134" s="8"/>
      <c r="M134" s="4">
        <v>15</v>
      </c>
      <c r="N134" s="8">
        <f t="shared" ref="N134:N197" si="15">MAX(G134:K134)</f>
        <v>0</v>
      </c>
      <c r="O134" s="47" t="str" cm="1">
        <f t="array" ref="O134">_xlfn.IFNA(YEAR(INDEX($G$5:$K$5,,MATCH(1,G134:K134,-1))),"")</f>
        <v/>
      </c>
      <c r="R134" s="8">
        <f t="shared" si="14"/>
        <v>0</v>
      </c>
      <c r="S134" s="8">
        <f t="shared" si="14"/>
        <v>0</v>
      </c>
      <c r="T134" s="8">
        <f t="shared" si="14"/>
        <v>0</v>
      </c>
      <c r="U134" s="8">
        <f t="shared" si="14"/>
        <v>0</v>
      </c>
      <c r="V134" s="8">
        <f t="shared" si="14"/>
        <v>0</v>
      </c>
    </row>
    <row r="135" spans="1:22" x14ac:dyDescent="0.35">
      <c r="A135" s="1" t="s">
        <v>156</v>
      </c>
      <c r="B135" s="2">
        <v>2021</v>
      </c>
      <c r="C135" s="1" t="s">
        <v>172</v>
      </c>
      <c r="D135" s="3" t="s">
        <v>99</v>
      </c>
      <c r="E135" s="4" t="s">
        <v>100</v>
      </c>
      <c r="F135" s="4" t="s">
        <v>96</v>
      </c>
      <c r="G135" s="8"/>
      <c r="H135" s="8"/>
      <c r="I135" s="8"/>
      <c r="J135" s="8"/>
      <c r="K135" s="8"/>
      <c r="M135" s="4">
        <v>15</v>
      </c>
      <c r="N135" s="8">
        <f t="shared" si="15"/>
        <v>0</v>
      </c>
      <c r="O135" s="47" t="str" cm="1">
        <f t="array" ref="O135">_xlfn.IFNA(YEAR(INDEX($G$5:$K$5,,MATCH(1,G135:K135,-1))),"")</f>
        <v/>
      </c>
      <c r="R135" s="8">
        <f t="shared" si="14"/>
        <v>0</v>
      </c>
      <c r="S135" s="8">
        <f t="shared" si="14"/>
        <v>0</v>
      </c>
      <c r="T135" s="8">
        <f t="shared" si="14"/>
        <v>0</v>
      </c>
      <c r="U135" s="8">
        <f t="shared" si="14"/>
        <v>0</v>
      </c>
      <c r="V135" s="8">
        <f t="shared" si="14"/>
        <v>0</v>
      </c>
    </row>
    <row r="136" spans="1:22" x14ac:dyDescent="0.35">
      <c r="A136" s="1" t="s">
        <v>156</v>
      </c>
      <c r="B136" s="2">
        <v>2021</v>
      </c>
      <c r="C136" s="1" t="s">
        <v>172</v>
      </c>
      <c r="D136" s="3" t="s">
        <v>99</v>
      </c>
      <c r="E136" s="4" t="s">
        <v>100</v>
      </c>
      <c r="F136" s="4" t="s">
        <v>96</v>
      </c>
      <c r="G136" s="8"/>
      <c r="H136" s="8"/>
      <c r="I136" s="8"/>
      <c r="J136" s="8"/>
      <c r="K136" s="8"/>
      <c r="M136" s="4">
        <v>15</v>
      </c>
      <c r="N136" s="8">
        <f t="shared" si="15"/>
        <v>0</v>
      </c>
      <c r="O136" s="47" t="str" cm="1">
        <f t="array" ref="O136">_xlfn.IFNA(YEAR(INDEX($G$5:$K$5,,MATCH(1,G136:K136,-1))),"")</f>
        <v/>
      </c>
      <c r="R136" s="8">
        <f t="shared" ref="R136:V145" si="16">IF($O136="",0,IF(MOD(YEAR(R$5)-$O136,$M136)=0,$N136,0))</f>
        <v>0</v>
      </c>
      <c r="S136" s="8">
        <f t="shared" si="16"/>
        <v>0</v>
      </c>
      <c r="T136" s="8">
        <f t="shared" si="16"/>
        <v>0</v>
      </c>
      <c r="U136" s="8">
        <f t="shared" si="16"/>
        <v>0</v>
      </c>
      <c r="V136" s="8">
        <f t="shared" si="16"/>
        <v>0</v>
      </c>
    </row>
    <row r="137" spans="1:22" x14ac:dyDescent="0.35">
      <c r="A137" s="12" t="s">
        <v>146</v>
      </c>
      <c r="B137" s="2">
        <v>2021</v>
      </c>
      <c r="C137" s="12" t="s">
        <v>161</v>
      </c>
      <c r="D137" s="31" t="s">
        <v>74</v>
      </c>
      <c r="E137" s="4" t="s">
        <v>95</v>
      </c>
      <c r="F137" s="4" t="s">
        <v>96</v>
      </c>
      <c r="G137" s="8">
        <v>72000</v>
      </c>
      <c r="H137" s="8"/>
      <c r="I137" s="8"/>
      <c r="J137" s="8"/>
      <c r="K137" s="8"/>
      <c r="M137" s="4">
        <v>6</v>
      </c>
      <c r="N137" s="8">
        <f t="shared" si="15"/>
        <v>72000</v>
      </c>
      <c r="O137" s="47" cm="1">
        <f t="array" ref="O137">_xlfn.IFNA(YEAR(INDEX($G$5:$K$5,,MATCH(1,G137:K137,-1))),"")</f>
        <v>2027</v>
      </c>
      <c r="R137" s="8">
        <f t="shared" si="16"/>
        <v>72000</v>
      </c>
      <c r="S137" s="8">
        <f t="shared" si="16"/>
        <v>0</v>
      </c>
      <c r="T137" s="8">
        <f t="shared" si="16"/>
        <v>0</v>
      </c>
      <c r="U137" s="8">
        <f t="shared" si="16"/>
        <v>0</v>
      </c>
      <c r="V137" s="8">
        <f t="shared" si="16"/>
        <v>0</v>
      </c>
    </row>
    <row r="138" spans="1:22" x14ac:dyDescent="0.35">
      <c r="A138" s="12" t="s">
        <v>146</v>
      </c>
      <c r="B138" s="2">
        <v>2021</v>
      </c>
      <c r="C138" s="12" t="s">
        <v>161</v>
      </c>
      <c r="D138" s="31" t="s">
        <v>74</v>
      </c>
      <c r="E138" s="4" t="s">
        <v>95</v>
      </c>
      <c r="F138" s="4" t="s">
        <v>96</v>
      </c>
      <c r="G138" s="8">
        <v>72000</v>
      </c>
      <c r="H138" s="8"/>
      <c r="I138" s="8"/>
      <c r="J138" s="8"/>
      <c r="K138" s="8"/>
      <c r="M138" s="4">
        <v>6</v>
      </c>
      <c r="N138" s="8">
        <f t="shared" si="15"/>
        <v>72000</v>
      </c>
      <c r="O138" s="47" cm="1">
        <f t="array" ref="O138">_xlfn.IFNA(YEAR(INDEX($G$5:$K$5,,MATCH(1,G138:K138,-1))),"")</f>
        <v>2027</v>
      </c>
      <c r="R138" s="8">
        <f t="shared" si="16"/>
        <v>72000</v>
      </c>
      <c r="S138" s="8">
        <f t="shared" si="16"/>
        <v>0</v>
      </c>
      <c r="T138" s="8">
        <f t="shared" si="16"/>
        <v>0</v>
      </c>
      <c r="U138" s="8">
        <f t="shared" si="16"/>
        <v>0</v>
      </c>
      <c r="V138" s="8">
        <f t="shared" si="16"/>
        <v>0</v>
      </c>
    </row>
    <row r="139" spans="1:22" x14ac:dyDescent="0.35">
      <c r="A139" s="12" t="s">
        <v>146</v>
      </c>
      <c r="B139" s="2">
        <v>2021</v>
      </c>
      <c r="C139" s="12" t="s">
        <v>161</v>
      </c>
      <c r="D139" s="31" t="s">
        <v>74</v>
      </c>
      <c r="E139" s="4" t="s">
        <v>95</v>
      </c>
      <c r="F139" s="4" t="s">
        <v>96</v>
      </c>
      <c r="G139" s="8">
        <v>72000</v>
      </c>
      <c r="H139" s="8"/>
      <c r="I139" s="8"/>
      <c r="J139" s="8"/>
      <c r="K139" s="8"/>
      <c r="M139" s="4">
        <v>6</v>
      </c>
      <c r="N139" s="8">
        <f t="shared" si="15"/>
        <v>72000</v>
      </c>
      <c r="O139" s="47" cm="1">
        <f t="array" ref="O139">_xlfn.IFNA(YEAR(INDEX($G$5:$K$5,,MATCH(1,G139:K139,-1))),"")</f>
        <v>2027</v>
      </c>
      <c r="R139" s="8">
        <f t="shared" si="16"/>
        <v>72000</v>
      </c>
      <c r="S139" s="8">
        <f t="shared" si="16"/>
        <v>0</v>
      </c>
      <c r="T139" s="8">
        <f t="shared" si="16"/>
        <v>0</v>
      </c>
      <c r="U139" s="8">
        <f t="shared" si="16"/>
        <v>0</v>
      </c>
      <c r="V139" s="8">
        <f t="shared" si="16"/>
        <v>0</v>
      </c>
    </row>
    <row r="140" spans="1:22" x14ac:dyDescent="0.35">
      <c r="A140" s="12" t="s">
        <v>146</v>
      </c>
      <c r="B140" s="2">
        <v>2021</v>
      </c>
      <c r="C140" s="12" t="s">
        <v>161</v>
      </c>
      <c r="D140" s="31" t="s">
        <v>74</v>
      </c>
      <c r="E140" s="4" t="s">
        <v>95</v>
      </c>
      <c r="F140" s="4" t="s">
        <v>96</v>
      </c>
      <c r="G140" s="8">
        <v>72000</v>
      </c>
      <c r="H140" s="8"/>
      <c r="I140" s="8"/>
      <c r="J140" s="8"/>
      <c r="K140" s="8"/>
      <c r="M140" s="4">
        <v>6</v>
      </c>
      <c r="N140" s="8">
        <f t="shared" si="15"/>
        <v>72000</v>
      </c>
      <c r="O140" s="47" cm="1">
        <f t="array" ref="O140">_xlfn.IFNA(YEAR(INDEX($G$5:$K$5,,MATCH(1,G140:K140,-1))),"")</f>
        <v>2027</v>
      </c>
      <c r="R140" s="8">
        <f t="shared" si="16"/>
        <v>72000</v>
      </c>
      <c r="S140" s="8">
        <f t="shared" si="16"/>
        <v>0</v>
      </c>
      <c r="T140" s="8">
        <f t="shared" si="16"/>
        <v>0</v>
      </c>
      <c r="U140" s="8">
        <f t="shared" si="16"/>
        <v>0</v>
      </c>
      <c r="V140" s="8">
        <f t="shared" si="16"/>
        <v>0</v>
      </c>
    </row>
    <row r="141" spans="1:22" x14ac:dyDescent="0.35">
      <c r="A141" s="12" t="s">
        <v>146</v>
      </c>
      <c r="B141" s="2">
        <v>2021</v>
      </c>
      <c r="C141" s="12" t="s">
        <v>173</v>
      </c>
      <c r="D141" s="31" t="s">
        <v>74</v>
      </c>
      <c r="E141" s="4" t="s">
        <v>95</v>
      </c>
      <c r="F141" s="4" t="s">
        <v>96</v>
      </c>
      <c r="G141" s="8">
        <v>56000</v>
      </c>
      <c r="H141" s="8"/>
      <c r="I141" s="8"/>
      <c r="J141" s="8"/>
      <c r="K141" s="8"/>
      <c r="M141" s="4">
        <v>6</v>
      </c>
      <c r="N141" s="8">
        <f t="shared" si="15"/>
        <v>56000</v>
      </c>
      <c r="O141" s="47" cm="1">
        <f t="array" ref="O141">_xlfn.IFNA(YEAR(INDEX($G$5:$K$5,,MATCH(1,G141:K141,-1))),"")</f>
        <v>2027</v>
      </c>
      <c r="R141" s="8">
        <f t="shared" si="16"/>
        <v>56000</v>
      </c>
      <c r="S141" s="8">
        <f t="shared" si="16"/>
        <v>0</v>
      </c>
      <c r="T141" s="8">
        <f t="shared" si="16"/>
        <v>0</v>
      </c>
      <c r="U141" s="8">
        <f t="shared" si="16"/>
        <v>0</v>
      </c>
      <c r="V141" s="8">
        <f t="shared" si="16"/>
        <v>0</v>
      </c>
    </row>
    <row r="142" spans="1:22" x14ac:dyDescent="0.35">
      <c r="A142" s="12" t="s">
        <v>146</v>
      </c>
      <c r="B142" s="2">
        <v>2021</v>
      </c>
      <c r="C142" s="12" t="s">
        <v>173</v>
      </c>
      <c r="D142" s="31" t="s">
        <v>74</v>
      </c>
      <c r="E142" s="4" t="s">
        <v>95</v>
      </c>
      <c r="F142" s="4" t="s">
        <v>96</v>
      </c>
      <c r="G142" s="8">
        <v>56000</v>
      </c>
      <c r="H142" s="8"/>
      <c r="I142" s="8"/>
      <c r="J142" s="8"/>
      <c r="K142" s="8"/>
      <c r="M142" s="4">
        <v>6</v>
      </c>
      <c r="N142" s="8">
        <f t="shared" si="15"/>
        <v>56000</v>
      </c>
      <c r="O142" s="47" cm="1">
        <f t="array" ref="O142">_xlfn.IFNA(YEAR(INDEX($G$5:$K$5,,MATCH(1,G142:K142,-1))),"")</f>
        <v>2027</v>
      </c>
      <c r="R142" s="8">
        <f t="shared" si="16"/>
        <v>56000</v>
      </c>
      <c r="S142" s="8">
        <f t="shared" si="16"/>
        <v>0</v>
      </c>
      <c r="T142" s="8">
        <f t="shared" si="16"/>
        <v>0</v>
      </c>
      <c r="U142" s="8">
        <f t="shared" si="16"/>
        <v>0</v>
      </c>
      <c r="V142" s="8">
        <f t="shared" si="16"/>
        <v>0</v>
      </c>
    </row>
    <row r="143" spans="1:22" x14ac:dyDescent="0.35">
      <c r="A143" s="12" t="s">
        <v>146</v>
      </c>
      <c r="B143" s="2">
        <v>2020</v>
      </c>
      <c r="C143" s="12" t="s">
        <v>173</v>
      </c>
      <c r="D143" s="31" t="s">
        <v>74</v>
      </c>
      <c r="E143" s="4" t="s">
        <v>95</v>
      </c>
      <c r="F143" s="4" t="s">
        <v>96</v>
      </c>
      <c r="G143" s="8">
        <v>56000</v>
      </c>
      <c r="H143" s="8"/>
      <c r="I143" s="8"/>
      <c r="J143" s="8"/>
      <c r="K143" s="8"/>
      <c r="M143" s="4">
        <v>6</v>
      </c>
      <c r="N143" s="8">
        <f t="shared" si="15"/>
        <v>56000</v>
      </c>
      <c r="O143" s="47" cm="1">
        <f t="array" ref="O143">_xlfn.IFNA(YEAR(INDEX($G$5:$K$5,,MATCH(1,G143:K143,-1))),"")</f>
        <v>2027</v>
      </c>
      <c r="R143" s="8">
        <f t="shared" si="16"/>
        <v>56000</v>
      </c>
      <c r="S143" s="8">
        <f t="shared" si="16"/>
        <v>0</v>
      </c>
      <c r="T143" s="8">
        <f t="shared" si="16"/>
        <v>0</v>
      </c>
      <c r="U143" s="8">
        <f t="shared" si="16"/>
        <v>0</v>
      </c>
      <c r="V143" s="8">
        <f t="shared" si="16"/>
        <v>0</v>
      </c>
    </row>
    <row r="144" spans="1:22" x14ac:dyDescent="0.35">
      <c r="A144" s="12" t="s">
        <v>102</v>
      </c>
      <c r="B144" s="2">
        <v>2020</v>
      </c>
      <c r="C144" s="12" t="s">
        <v>174</v>
      </c>
      <c r="D144" s="31" t="s">
        <v>22</v>
      </c>
      <c r="E144" s="4" t="s">
        <v>95</v>
      </c>
      <c r="F144" s="4" t="s">
        <v>96</v>
      </c>
      <c r="G144" s="8"/>
      <c r="H144" s="8"/>
      <c r="I144" s="8"/>
      <c r="J144" s="8"/>
      <c r="K144" s="8">
        <v>175000</v>
      </c>
      <c r="M144" s="4">
        <v>15</v>
      </c>
      <c r="N144" s="8">
        <f t="shared" si="15"/>
        <v>175000</v>
      </c>
      <c r="O144" s="47" cm="1">
        <f t="array" ref="O144">_xlfn.IFNA(YEAR(INDEX($G$5:$K$5,,MATCH(1,G144:K144,-1))),"")</f>
        <v>2031</v>
      </c>
      <c r="R144" s="8">
        <f t="shared" si="16"/>
        <v>0</v>
      </c>
      <c r="S144" s="8">
        <f t="shared" si="16"/>
        <v>0</v>
      </c>
      <c r="T144" s="8">
        <f t="shared" si="16"/>
        <v>0</v>
      </c>
      <c r="U144" s="8">
        <f t="shared" si="16"/>
        <v>0</v>
      </c>
      <c r="V144" s="8">
        <f t="shared" si="16"/>
        <v>175000</v>
      </c>
    </row>
    <row r="145" spans="1:22" x14ac:dyDescent="0.35">
      <c r="A145" s="12" t="s">
        <v>102</v>
      </c>
      <c r="B145" s="2">
        <v>2021</v>
      </c>
      <c r="C145" s="12" t="s">
        <v>174</v>
      </c>
      <c r="D145" s="31" t="s">
        <v>22</v>
      </c>
      <c r="E145" s="4" t="s">
        <v>95</v>
      </c>
      <c r="F145" s="4" t="s">
        <v>96</v>
      </c>
      <c r="G145" s="8"/>
      <c r="H145" s="8"/>
      <c r="I145" s="8"/>
      <c r="J145" s="8"/>
      <c r="K145" s="8"/>
      <c r="M145" s="4">
        <v>15</v>
      </c>
      <c r="N145" s="8">
        <f t="shared" si="15"/>
        <v>0</v>
      </c>
      <c r="O145" s="47" t="str" cm="1">
        <f t="array" ref="O145">_xlfn.IFNA(YEAR(INDEX($G$5:$K$5,,MATCH(1,G145:K145,-1))),"")</f>
        <v/>
      </c>
      <c r="R145" s="8">
        <f t="shared" si="16"/>
        <v>0</v>
      </c>
      <c r="S145" s="8">
        <f t="shared" si="16"/>
        <v>0</v>
      </c>
      <c r="T145" s="8">
        <f t="shared" si="16"/>
        <v>0</v>
      </c>
      <c r="U145" s="8">
        <f t="shared" si="16"/>
        <v>0</v>
      </c>
      <c r="V145" s="8">
        <f t="shared" si="16"/>
        <v>0</v>
      </c>
    </row>
    <row r="146" spans="1:22" x14ac:dyDescent="0.35">
      <c r="A146" s="12" t="s">
        <v>146</v>
      </c>
      <c r="B146" s="11">
        <v>2021</v>
      </c>
      <c r="C146" s="12" t="s">
        <v>175</v>
      </c>
      <c r="D146" s="31" t="s">
        <v>99</v>
      </c>
      <c r="E146" s="4" t="s">
        <v>95</v>
      </c>
      <c r="F146" s="4" t="s">
        <v>96</v>
      </c>
      <c r="G146" s="8">
        <v>63000</v>
      </c>
      <c r="H146" s="8"/>
      <c r="I146" s="8"/>
      <c r="J146" s="8"/>
      <c r="K146" s="8"/>
      <c r="M146" s="4">
        <v>6</v>
      </c>
      <c r="N146" s="8">
        <f t="shared" si="15"/>
        <v>63000</v>
      </c>
      <c r="O146" s="47" cm="1">
        <f t="array" ref="O146">_xlfn.IFNA(YEAR(INDEX($G$5:$K$5,,MATCH(1,G146:K146,-1))),"")</f>
        <v>2027</v>
      </c>
      <c r="R146" s="8">
        <f t="shared" ref="R146:V155" si="17">IF($O146="",0,IF(MOD(YEAR(R$5)-$O146,$M146)=0,$N146,0))</f>
        <v>63000</v>
      </c>
      <c r="S146" s="8">
        <f t="shared" si="17"/>
        <v>0</v>
      </c>
      <c r="T146" s="8">
        <f t="shared" si="17"/>
        <v>0</v>
      </c>
      <c r="U146" s="8">
        <f t="shared" si="17"/>
        <v>0</v>
      </c>
      <c r="V146" s="8">
        <f t="shared" si="17"/>
        <v>0</v>
      </c>
    </row>
    <row r="147" spans="1:22" x14ac:dyDescent="0.35">
      <c r="A147" s="1" t="s">
        <v>156</v>
      </c>
      <c r="B147" s="2">
        <v>2021</v>
      </c>
      <c r="C147" s="1" t="s">
        <v>172</v>
      </c>
      <c r="D147" s="3" t="s">
        <v>99</v>
      </c>
      <c r="E147" s="4" t="s">
        <v>100</v>
      </c>
      <c r="F147" s="4" t="s">
        <v>96</v>
      </c>
      <c r="G147" s="8"/>
      <c r="H147" s="8"/>
      <c r="I147" s="8"/>
      <c r="J147" s="8"/>
      <c r="K147" s="8"/>
      <c r="M147" s="4">
        <v>15</v>
      </c>
      <c r="N147" s="8">
        <f t="shared" si="15"/>
        <v>0</v>
      </c>
      <c r="O147" s="47" t="str" cm="1">
        <f t="array" ref="O147">_xlfn.IFNA(YEAR(INDEX($G$5:$K$5,,MATCH(1,G147:K147,-1))),"")</f>
        <v/>
      </c>
      <c r="R147" s="8">
        <f t="shared" si="17"/>
        <v>0</v>
      </c>
      <c r="S147" s="8">
        <f t="shared" si="17"/>
        <v>0</v>
      </c>
      <c r="T147" s="8">
        <f t="shared" si="17"/>
        <v>0</v>
      </c>
      <c r="U147" s="8">
        <f t="shared" si="17"/>
        <v>0</v>
      </c>
      <c r="V147" s="8">
        <f t="shared" si="17"/>
        <v>0</v>
      </c>
    </row>
    <row r="148" spans="1:22" x14ac:dyDescent="0.35">
      <c r="A148" s="1" t="s">
        <v>156</v>
      </c>
      <c r="B148" s="2">
        <v>2021</v>
      </c>
      <c r="C148" s="1" t="s">
        <v>172</v>
      </c>
      <c r="D148" s="3" t="s">
        <v>99</v>
      </c>
      <c r="E148" s="4" t="s">
        <v>100</v>
      </c>
      <c r="F148" s="4" t="s">
        <v>96</v>
      </c>
      <c r="G148" s="8"/>
      <c r="H148" s="8"/>
      <c r="I148" s="8"/>
      <c r="J148" s="8"/>
      <c r="K148" s="8"/>
      <c r="M148" s="4">
        <v>15</v>
      </c>
      <c r="N148" s="8">
        <f t="shared" si="15"/>
        <v>0</v>
      </c>
      <c r="O148" s="47" t="str" cm="1">
        <f t="array" ref="O148">_xlfn.IFNA(YEAR(INDEX($G$5:$K$5,,MATCH(1,G148:K148,-1))),"")</f>
        <v/>
      </c>
      <c r="R148" s="8">
        <f t="shared" si="17"/>
        <v>0</v>
      </c>
      <c r="S148" s="8">
        <f t="shared" si="17"/>
        <v>0</v>
      </c>
      <c r="T148" s="8">
        <f t="shared" si="17"/>
        <v>0</v>
      </c>
      <c r="U148" s="8">
        <f t="shared" si="17"/>
        <v>0</v>
      </c>
      <c r="V148" s="8">
        <f t="shared" si="17"/>
        <v>0</v>
      </c>
    </row>
    <row r="149" spans="1:22" x14ac:dyDescent="0.35">
      <c r="A149" s="1" t="s">
        <v>156</v>
      </c>
      <c r="B149" s="2">
        <v>2021</v>
      </c>
      <c r="C149" s="1" t="s">
        <v>172</v>
      </c>
      <c r="D149" s="3" t="s">
        <v>99</v>
      </c>
      <c r="E149" s="4" t="s">
        <v>100</v>
      </c>
      <c r="F149" s="4" t="s">
        <v>96</v>
      </c>
      <c r="G149" s="8"/>
      <c r="H149" s="8"/>
      <c r="I149" s="8"/>
      <c r="J149" s="8"/>
      <c r="K149" s="8"/>
      <c r="M149" s="4">
        <v>15</v>
      </c>
      <c r="N149" s="8">
        <f t="shared" si="15"/>
        <v>0</v>
      </c>
      <c r="O149" s="47" t="str" cm="1">
        <f t="array" ref="O149">_xlfn.IFNA(YEAR(INDEX($G$5:$K$5,,MATCH(1,G149:K149,-1))),"")</f>
        <v/>
      </c>
      <c r="R149" s="8">
        <f t="shared" si="17"/>
        <v>0</v>
      </c>
      <c r="S149" s="8">
        <f t="shared" si="17"/>
        <v>0</v>
      </c>
      <c r="T149" s="8">
        <f t="shared" si="17"/>
        <v>0</v>
      </c>
      <c r="U149" s="8">
        <f t="shared" si="17"/>
        <v>0</v>
      </c>
      <c r="V149" s="8">
        <f t="shared" si="17"/>
        <v>0</v>
      </c>
    </row>
    <row r="150" spans="1:22" x14ac:dyDescent="0.35">
      <c r="A150" s="1" t="s">
        <v>156</v>
      </c>
      <c r="B150" s="2">
        <v>2021</v>
      </c>
      <c r="C150" s="1" t="s">
        <v>172</v>
      </c>
      <c r="D150" s="3" t="s">
        <v>99</v>
      </c>
      <c r="E150" s="4" t="s">
        <v>100</v>
      </c>
      <c r="F150" s="4" t="s">
        <v>96</v>
      </c>
      <c r="G150" s="8"/>
      <c r="H150" s="8"/>
      <c r="I150" s="8"/>
      <c r="J150" s="8"/>
      <c r="K150" s="8"/>
      <c r="M150" s="4">
        <v>15</v>
      </c>
      <c r="N150" s="8">
        <f t="shared" si="15"/>
        <v>0</v>
      </c>
      <c r="O150" s="47" t="str" cm="1">
        <f t="array" ref="O150">_xlfn.IFNA(YEAR(INDEX($G$5:$K$5,,MATCH(1,G150:K150,-1))),"")</f>
        <v/>
      </c>
      <c r="R150" s="8">
        <f t="shared" si="17"/>
        <v>0</v>
      </c>
      <c r="S150" s="8">
        <f t="shared" si="17"/>
        <v>0</v>
      </c>
      <c r="T150" s="8">
        <f t="shared" si="17"/>
        <v>0</v>
      </c>
      <c r="U150" s="8">
        <f t="shared" si="17"/>
        <v>0</v>
      </c>
      <c r="V150" s="8">
        <f t="shared" si="17"/>
        <v>0</v>
      </c>
    </row>
    <row r="151" spans="1:22" x14ac:dyDescent="0.35">
      <c r="A151" s="1" t="s">
        <v>156</v>
      </c>
      <c r="B151" s="2">
        <v>2021</v>
      </c>
      <c r="C151" s="1" t="s">
        <v>172</v>
      </c>
      <c r="D151" s="3" t="s">
        <v>99</v>
      </c>
      <c r="E151" s="4" t="s">
        <v>100</v>
      </c>
      <c r="F151" s="4" t="s">
        <v>96</v>
      </c>
      <c r="G151" s="8"/>
      <c r="H151" s="8"/>
      <c r="I151" s="8"/>
      <c r="J151" s="8"/>
      <c r="K151" s="8"/>
      <c r="M151" s="4">
        <v>15</v>
      </c>
      <c r="N151" s="8">
        <f t="shared" si="15"/>
        <v>0</v>
      </c>
      <c r="O151" s="47" t="str" cm="1">
        <f t="array" ref="O151">_xlfn.IFNA(YEAR(INDEX($G$5:$K$5,,MATCH(1,G151:K151,-1))),"")</f>
        <v/>
      </c>
      <c r="R151" s="8">
        <f t="shared" si="17"/>
        <v>0</v>
      </c>
      <c r="S151" s="8">
        <f t="shared" si="17"/>
        <v>0</v>
      </c>
      <c r="T151" s="8">
        <f t="shared" si="17"/>
        <v>0</v>
      </c>
      <c r="U151" s="8">
        <f t="shared" si="17"/>
        <v>0</v>
      </c>
      <c r="V151" s="8">
        <f t="shared" si="17"/>
        <v>0</v>
      </c>
    </row>
    <row r="152" spans="1:22" x14ac:dyDescent="0.35">
      <c r="A152" s="12" t="s">
        <v>146</v>
      </c>
      <c r="B152" s="2">
        <v>2021</v>
      </c>
      <c r="C152" s="1" t="s">
        <v>176</v>
      </c>
      <c r="D152" s="3" t="s">
        <v>74</v>
      </c>
      <c r="E152" s="4" t="s">
        <v>95</v>
      </c>
      <c r="F152" s="4" t="s">
        <v>96</v>
      </c>
      <c r="G152" s="8">
        <v>63000</v>
      </c>
      <c r="H152" s="8"/>
      <c r="I152" s="8"/>
      <c r="J152" s="8"/>
      <c r="K152" s="8"/>
      <c r="M152" s="4">
        <v>6</v>
      </c>
      <c r="N152" s="8">
        <f t="shared" si="15"/>
        <v>63000</v>
      </c>
      <c r="O152" s="47" cm="1">
        <f t="array" ref="O152">_xlfn.IFNA(YEAR(INDEX($G$5:$K$5,,MATCH(1,G152:K152,-1))),"")</f>
        <v>2027</v>
      </c>
      <c r="R152" s="8">
        <f t="shared" si="17"/>
        <v>63000</v>
      </c>
      <c r="S152" s="8">
        <f t="shared" si="17"/>
        <v>0</v>
      </c>
      <c r="T152" s="8">
        <f t="shared" si="17"/>
        <v>0</v>
      </c>
      <c r="U152" s="8">
        <f t="shared" si="17"/>
        <v>0</v>
      </c>
      <c r="V152" s="8">
        <f t="shared" si="17"/>
        <v>0</v>
      </c>
    </row>
    <row r="153" spans="1:22" x14ac:dyDescent="0.35">
      <c r="A153" s="12" t="s">
        <v>146</v>
      </c>
      <c r="B153" s="2">
        <v>2020</v>
      </c>
      <c r="C153" s="1" t="s">
        <v>177</v>
      </c>
      <c r="D153" s="3" t="s">
        <v>74</v>
      </c>
      <c r="E153" s="4" t="s">
        <v>95</v>
      </c>
      <c r="F153" s="4" t="s">
        <v>96</v>
      </c>
      <c r="G153" s="8">
        <v>63000</v>
      </c>
      <c r="H153" s="8"/>
      <c r="I153" s="8"/>
      <c r="J153" s="8"/>
      <c r="K153" s="8"/>
      <c r="M153" s="4">
        <v>6</v>
      </c>
      <c r="N153" s="8">
        <f t="shared" si="15"/>
        <v>63000</v>
      </c>
      <c r="O153" s="47" cm="1">
        <f t="array" ref="O153">_xlfn.IFNA(YEAR(INDEX($G$5:$K$5,,MATCH(1,G153:K153,-1))),"")</f>
        <v>2027</v>
      </c>
      <c r="R153" s="8">
        <f t="shared" si="17"/>
        <v>63000</v>
      </c>
      <c r="S153" s="8">
        <f t="shared" si="17"/>
        <v>0</v>
      </c>
      <c r="T153" s="8">
        <f t="shared" si="17"/>
        <v>0</v>
      </c>
      <c r="U153" s="8">
        <f t="shared" si="17"/>
        <v>0</v>
      </c>
      <c r="V153" s="8">
        <f t="shared" si="17"/>
        <v>0</v>
      </c>
    </row>
    <row r="154" spans="1:22" x14ac:dyDescent="0.35">
      <c r="A154" s="12" t="s">
        <v>146</v>
      </c>
      <c r="B154" s="2">
        <v>2020</v>
      </c>
      <c r="C154" s="1" t="s">
        <v>177</v>
      </c>
      <c r="D154" s="3" t="s">
        <v>74</v>
      </c>
      <c r="E154" s="4" t="s">
        <v>95</v>
      </c>
      <c r="F154" s="4" t="s">
        <v>96</v>
      </c>
      <c r="G154" s="8">
        <v>63000</v>
      </c>
      <c r="H154" s="8"/>
      <c r="I154" s="8"/>
      <c r="J154" s="8"/>
      <c r="K154" s="8"/>
      <c r="M154" s="4">
        <v>6</v>
      </c>
      <c r="N154" s="8">
        <f t="shared" si="15"/>
        <v>63000</v>
      </c>
      <c r="O154" s="47" cm="1">
        <f t="array" ref="O154">_xlfn.IFNA(YEAR(INDEX($G$5:$K$5,,MATCH(1,G154:K154,-1))),"")</f>
        <v>2027</v>
      </c>
      <c r="R154" s="8">
        <f t="shared" si="17"/>
        <v>63000</v>
      </c>
      <c r="S154" s="8">
        <f t="shared" si="17"/>
        <v>0</v>
      </c>
      <c r="T154" s="8">
        <f t="shared" si="17"/>
        <v>0</v>
      </c>
      <c r="U154" s="8">
        <f t="shared" si="17"/>
        <v>0</v>
      </c>
      <c r="V154" s="8">
        <f t="shared" si="17"/>
        <v>0</v>
      </c>
    </row>
    <row r="155" spans="1:22" x14ac:dyDescent="0.35">
      <c r="A155" s="12" t="s">
        <v>146</v>
      </c>
      <c r="B155" s="2">
        <v>2020</v>
      </c>
      <c r="C155" s="1" t="s">
        <v>177</v>
      </c>
      <c r="D155" s="3" t="s">
        <v>74</v>
      </c>
      <c r="E155" s="4" t="s">
        <v>95</v>
      </c>
      <c r="F155" s="4" t="s">
        <v>96</v>
      </c>
      <c r="G155" s="8">
        <v>63000</v>
      </c>
      <c r="H155" s="8"/>
      <c r="I155" s="8"/>
      <c r="J155" s="8"/>
      <c r="K155" s="8"/>
      <c r="M155" s="4">
        <v>6</v>
      </c>
      <c r="N155" s="8">
        <f t="shared" si="15"/>
        <v>63000</v>
      </c>
      <c r="O155" s="47" cm="1">
        <f t="array" ref="O155">_xlfn.IFNA(YEAR(INDEX($G$5:$K$5,,MATCH(1,G155:K155,-1))),"")</f>
        <v>2027</v>
      </c>
      <c r="R155" s="8">
        <f t="shared" si="17"/>
        <v>63000</v>
      </c>
      <c r="S155" s="8">
        <f t="shared" si="17"/>
        <v>0</v>
      </c>
      <c r="T155" s="8">
        <f t="shared" si="17"/>
        <v>0</v>
      </c>
      <c r="U155" s="8">
        <f t="shared" si="17"/>
        <v>0</v>
      </c>
      <c r="V155" s="8">
        <f t="shared" si="17"/>
        <v>0</v>
      </c>
    </row>
    <row r="156" spans="1:22" x14ac:dyDescent="0.35">
      <c r="A156" s="12" t="s">
        <v>146</v>
      </c>
      <c r="B156" s="2">
        <v>2021</v>
      </c>
      <c r="C156" s="1" t="s">
        <v>176</v>
      </c>
      <c r="D156" s="3" t="s">
        <v>74</v>
      </c>
      <c r="E156" s="4" t="s">
        <v>95</v>
      </c>
      <c r="F156" s="4" t="s">
        <v>96</v>
      </c>
      <c r="G156" s="8">
        <v>63000</v>
      </c>
      <c r="H156" s="8"/>
      <c r="I156" s="8"/>
      <c r="J156" s="8"/>
      <c r="K156" s="8"/>
      <c r="M156" s="4">
        <v>6</v>
      </c>
      <c r="N156" s="8">
        <f t="shared" si="15"/>
        <v>63000</v>
      </c>
      <c r="O156" s="47" cm="1">
        <f t="array" ref="O156">_xlfn.IFNA(YEAR(INDEX($G$5:$K$5,,MATCH(1,G156:K156,-1))),"")</f>
        <v>2027</v>
      </c>
      <c r="R156" s="8">
        <f t="shared" ref="R156:V165" si="18">IF($O156="",0,IF(MOD(YEAR(R$5)-$O156,$M156)=0,$N156,0))</f>
        <v>63000</v>
      </c>
      <c r="S156" s="8">
        <f t="shared" si="18"/>
        <v>0</v>
      </c>
      <c r="T156" s="8">
        <f t="shared" si="18"/>
        <v>0</v>
      </c>
      <c r="U156" s="8">
        <f t="shared" si="18"/>
        <v>0</v>
      </c>
      <c r="V156" s="8">
        <f t="shared" si="18"/>
        <v>0</v>
      </c>
    </row>
    <row r="157" spans="1:22" x14ac:dyDescent="0.35">
      <c r="A157" s="12" t="s">
        <v>146</v>
      </c>
      <c r="B157" s="2">
        <v>2021</v>
      </c>
      <c r="C157" s="1" t="s">
        <v>176</v>
      </c>
      <c r="D157" s="3" t="s">
        <v>74</v>
      </c>
      <c r="E157" s="4" t="s">
        <v>95</v>
      </c>
      <c r="F157" s="4" t="s">
        <v>96</v>
      </c>
      <c r="G157" s="8">
        <v>63000</v>
      </c>
      <c r="H157" s="8"/>
      <c r="I157" s="8"/>
      <c r="J157" s="8"/>
      <c r="K157" s="8"/>
      <c r="M157" s="4">
        <v>6</v>
      </c>
      <c r="N157" s="8">
        <f t="shared" si="15"/>
        <v>63000</v>
      </c>
      <c r="O157" s="47" cm="1">
        <f t="array" ref="O157">_xlfn.IFNA(YEAR(INDEX($G$5:$K$5,,MATCH(1,G157:K157,-1))),"")</f>
        <v>2027</v>
      </c>
      <c r="R157" s="8">
        <f t="shared" si="18"/>
        <v>63000</v>
      </c>
      <c r="S157" s="8">
        <f t="shared" si="18"/>
        <v>0</v>
      </c>
      <c r="T157" s="8">
        <f t="shared" si="18"/>
        <v>0</v>
      </c>
      <c r="U157" s="8">
        <f t="shared" si="18"/>
        <v>0</v>
      </c>
      <c r="V157" s="8">
        <f t="shared" si="18"/>
        <v>0</v>
      </c>
    </row>
    <row r="158" spans="1:22" x14ac:dyDescent="0.35">
      <c r="A158" s="12" t="s">
        <v>146</v>
      </c>
      <c r="B158" s="2">
        <v>2021</v>
      </c>
      <c r="C158" s="1" t="s">
        <v>176</v>
      </c>
      <c r="D158" s="3" t="s">
        <v>74</v>
      </c>
      <c r="E158" s="4" t="s">
        <v>95</v>
      </c>
      <c r="F158" s="4" t="s">
        <v>96</v>
      </c>
      <c r="G158" s="8">
        <v>63000</v>
      </c>
      <c r="H158" s="8"/>
      <c r="I158" s="8"/>
      <c r="J158" s="8"/>
      <c r="K158" s="8"/>
      <c r="M158" s="4">
        <v>6</v>
      </c>
      <c r="N158" s="8">
        <f t="shared" si="15"/>
        <v>63000</v>
      </c>
      <c r="O158" s="47" cm="1">
        <f t="array" ref="O158">_xlfn.IFNA(YEAR(INDEX($G$5:$K$5,,MATCH(1,G158:K158,-1))),"")</f>
        <v>2027</v>
      </c>
      <c r="R158" s="8">
        <f t="shared" si="18"/>
        <v>63000</v>
      </c>
      <c r="S158" s="8">
        <f t="shared" si="18"/>
        <v>0</v>
      </c>
      <c r="T158" s="8">
        <f t="shared" si="18"/>
        <v>0</v>
      </c>
      <c r="U158" s="8">
        <f t="shared" si="18"/>
        <v>0</v>
      </c>
      <c r="V158" s="8">
        <f t="shared" si="18"/>
        <v>0</v>
      </c>
    </row>
    <row r="159" spans="1:22" x14ac:dyDescent="0.35">
      <c r="A159" s="12" t="s">
        <v>146</v>
      </c>
      <c r="B159" s="2">
        <v>2021</v>
      </c>
      <c r="C159" s="1" t="s">
        <v>176</v>
      </c>
      <c r="D159" s="3" t="s">
        <v>74</v>
      </c>
      <c r="E159" s="4" t="s">
        <v>95</v>
      </c>
      <c r="F159" s="4" t="s">
        <v>96</v>
      </c>
      <c r="G159" s="8">
        <v>63000</v>
      </c>
      <c r="H159" s="8"/>
      <c r="I159" s="8"/>
      <c r="J159" s="8"/>
      <c r="K159" s="8"/>
      <c r="M159" s="4">
        <v>6</v>
      </c>
      <c r="N159" s="8">
        <f t="shared" si="15"/>
        <v>63000</v>
      </c>
      <c r="O159" s="47" cm="1">
        <f t="array" ref="O159">_xlfn.IFNA(YEAR(INDEX($G$5:$K$5,,MATCH(1,G159:K159,-1))),"")</f>
        <v>2027</v>
      </c>
      <c r="R159" s="8">
        <f t="shared" si="18"/>
        <v>63000</v>
      </c>
      <c r="S159" s="8">
        <f t="shared" si="18"/>
        <v>0</v>
      </c>
      <c r="T159" s="8">
        <f t="shared" si="18"/>
        <v>0</v>
      </c>
      <c r="U159" s="8">
        <f t="shared" si="18"/>
        <v>0</v>
      </c>
      <c r="V159" s="8">
        <f t="shared" si="18"/>
        <v>0</v>
      </c>
    </row>
    <row r="160" spans="1:22" x14ac:dyDescent="0.35">
      <c r="A160" s="12" t="s">
        <v>148</v>
      </c>
      <c r="B160" s="2">
        <v>2021</v>
      </c>
      <c r="C160" s="1" t="s">
        <v>178</v>
      </c>
      <c r="D160" s="3" t="s">
        <v>99</v>
      </c>
      <c r="E160" s="4" t="s">
        <v>95</v>
      </c>
      <c r="F160" s="4" t="s">
        <v>96</v>
      </c>
      <c r="G160" s="8"/>
      <c r="H160" s="8">
        <v>90000</v>
      </c>
      <c r="I160" s="8"/>
      <c r="J160" s="8"/>
      <c r="K160" s="8"/>
      <c r="M160" s="4">
        <v>6</v>
      </c>
      <c r="N160" s="8">
        <f t="shared" si="15"/>
        <v>90000</v>
      </c>
      <c r="O160" s="47" cm="1">
        <f t="array" ref="O160">_xlfn.IFNA(YEAR(INDEX($G$5:$K$5,,MATCH(1,G160:K160,-1))),"")</f>
        <v>2028</v>
      </c>
      <c r="R160" s="8">
        <f t="shared" si="18"/>
        <v>0</v>
      </c>
      <c r="S160" s="8">
        <f t="shared" si="18"/>
        <v>90000</v>
      </c>
      <c r="T160" s="8">
        <f t="shared" si="18"/>
        <v>0</v>
      </c>
      <c r="U160" s="8">
        <f t="shared" si="18"/>
        <v>0</v>
      </c>
      <c r="V160" s="8">
        <f t="shared" si="18"/>
        <v>0</v>
      </c>
    </row>
    <row r="161" spans="1:22" x14ac:dyDescent="0.35">
      <c r="A161" s="12" t="s">
        <v>102</v>
      </c>
      <c r="B161" s="2">
        <v>2021</v>
      </c>
      <c r="C161" s="1" t="s">
        <v>170</v>
      </c>
      <c r="D161" s="3" t="s">
        <v>22</v>
      </c>
      <c r="E161" s="4" t="s">
        <v>95</v>
      </c>
      <c r="F161" s="4" t="s">
        <v>96</v>
      </c>
      <c r="G161" s="8"/>
      <c r="H161" s="8"/>
      <c r="I161" s="8"/>
      <c r="J161" s="8"/>
      <c r="K161" s="8"/>
      <c r="M161" s="4">
        <v>10</v>
      </c>
      <c r="N161" s="8">
        <f t="shared" si="15"/>
        <v>0</v>
      </c>
      <c r="O161" s="47" t="str" cm="1">
        <f t="array" ref="O161">_xlfn.IFNA(YEAR(INDEX($G$5:$K$5,,MATCH(1,G161:K161,-1))),"")</f>
        <v/>
      </c>
      <c r="R161" s="8">
        <f t="shared" si="18"/>
        <v>0</v>
      </c>
      <c r="S161" s="8">
        <f t="shared" si="18"/>
        <v>0</v>
      </c>
      <c r="T161" s="8">
        <f t="shared" si="18"/>
        <v>0</v>
      </c>
      <c r="U161" s="8">
        <f t="shared" si="18"/>
        <v>0</v>
      </c>
      <c r="V161" s="8">
        <f t="shared" si="18"/>
        <v>0</v>
      </c>
    </row>
    <row r="162" spans="1:22" x14ac:dyDescent="0.35">
      <c r="A162" s="12" t="s">
        <v>102</v>
      </c>
      <c r="B162" s="2">
        <v>2021</v>
      </c>
      <c r="C162" s="1" t="s">
        <v>179</v>
      </c>
      <c r="D162" s="3" t="s">
        <v>22</v>
      </c>
      <c r="E162" s="4" t="s">
        <v>95</v>
      </c>
      <c r="F162" s="4" t="s">
        <v>96</v>
      </c>
      <c r="G162" s="8"/>
      <c r="H162" s="8"/>
      <c r="I162" s="8"/>
      <c r="J162" s="8"/>
      <c r="K162" s="8"/>
      <c r="M162" s="4">
        <v>10</v>
      </c>
      <c r="N162" s="8">
        <f t="shared" si="15"/>
        <v>0</v>
      </c>
      <c r="O162" s="47" t="str" cm="1">
        <f t="array" ref="O162">_xlfn.IFNA(YEAR(INDEX($G$5:$K$5,,MATCH(1,G162:K162,-1))),"")</f>
        <v/>
      </c>
      <c r="R162" s="8">
        <f t="shared" si="18"/>
        <v>0</v>
      </c>
      <c r="S162" s="8">
        <f t="shared" si="18"/>
        <v>0</v>
      </c>
      <c r="T162" s="8">
        <f t="shared" si="18"/>
        <v>0</v>
      </c>
      <c r="U162" s="8">
        <f t="shared" si="18"/>
        <v>0</v>
      </c>
      <c r="V162" s="8">
        <f t="shared" si="18"/>
        <v>0</v>
      </c>
    </row>
    <row r="163" spans="1:22" x14ac:dyDescent="0.35">
      <c r="A163" s="12" t="s">
        <v>102</v>
      </c>
      <c r="B163" s="2">
        <v>2020</v>
      </c>
      <c r="C163" s="12" t="s">
        <v>174</v>
      </c>
      <c r="D163" s="3" t="s">
        <v>22</v>
      </c>
      <c r="E163" s="4" t="s">
        <v>95</v>
      </c>
      <c r="F163" s="4" t="s">
        <v>96</v>
      </c>
      <c r="G163" s="8"/>
      <c r="H163" s="8"/>
      <c r="I163" s="8"/>
      <c r="J163" s="8"/>
      <c r="K163" s="8"/>
      <c r="M163" s="4">
        <v>15</v>
      </c>
      <c r="N163" s="8">
        <f t="shared" si="15"/>
        <v>0</v>
      </c>
      <c r="O163" s="47" t="str" cm="1">
        <f t="array" ref="O163">_xlfn.IFNA(YEAR(INDEX($G$5:$K$5,,MATCH(1,G163:K163,-1))),"")</f>
        <v/>
      </c>
      <c r="R163" s="8">
        <f t="shared" si="18"/>
        <v>0</v>
      </c>
      <c r="S163" s="8">
        <f t="shared" si="18"/>
        <v>0</v>
      </c>
      <c r="T163" s="8">
        <f t="shared" si="18"/>
        <v>0</v>
      </c>
      <c r="U163" s="8">
        <f t="shared" si="18"/>
        <v>0</v>
      </c>
      <c r="V163" s="8">
        <f t="shared" si="18"/>
        <v>0</v>
      </c>
    </row>
    <row r="164" spans="1:22" x14ac:dyDescent="0.35">
      <c r="A164" s="12" t="s">
        <v>102</v>
      </c>
      <c r="B164" s="2">
        <v>2021</v>
      </c>
      <c r="C164" s="1" t="s">
        <v>180</v>
      </c>
      <c r="D164" s="3" t="s">
        <v>22</v>
      </c>
      <c r="E164" s="4" t="s">
        <v>95</v>
      </c>
      <c r="F164" s="4" t="s">
        <v>96</v>
      </c>
      <c r="G164" s="8"/>
      <c r="H164" s="8"/>
      <c r="I164" s="8"/>
      <c r="J164" s="8"/>
      <c r="K164" s="8"/>
      <c r="M164" s="4">
        <v>10</v>
      </c>
      <c r="N164" s="8">
        <f t="shared" si="15"/>
        <v>0</v>
      </c>
      <c r="O164" s="47" t="str" cm="1">
        <f t="array" ref="O164">_xlfn.IFNA(YEAR(INDEX($G$5:$K$5,,MATCH(1,G164:K164,-1))),"")</f>
        <v/>
      </c>
      <c r="R164" s="8">
        <f t="shared" si="18"/>
        <v>0</v>
      </c>
      <c r="S164" s="8">
        <f t="shared" si="18"/>
        <v>0</v>
      </c>
      <c r="T164" s="8">
        <f t="shared" si="18"/>
        <v>0</v>
      </c>
      <c r="U164" s="8">
        <f t="shared" si="18"/>
        <v>0</v>
      </c>
      <c r="V164" s="8">
        <f t="shared" si="18"/>
        <v>0</v>
      </c>
    </row>
    <row r="165" spans="1:22" x14ac:dyDescent="0.35">
      <c r="A165" s="12" t="s">
        <v>102</v>
      </c>
      <c r="B165" s="2">
        <v>2021</v>
      </c>
      <c r="C165" s="1" t="s">
        <v>170</v>
      </c>
      <c r="D165" s="3" t="s">
        <v>22</v>
      </c>
      <c r="E165" s="4" t="s">
        <v>95</v>
      </c>
      <c r="F165" s="4" t="s">
        <v>96</v>
      </c>
      <c r="G165" s="8"/>
      <c r="H165" s="8"/>
      <c r="I165" s="8"/>
      <c r="J165" s="8"/>
      <c r="K165" s="8"/>
      <c r="M165" s="4">
        <v>10</v>
      </c>
      <c r="N165" s="8">
        <f t="shared" si="15"/>
        <v>0</v>
      </c>
      <c r="O165" s="47" t="str" cm="1">
        <f t="array" ref="O165">_xlfn.IFNA(YEAR(INDEX($G$5:$K$5,,MATCH(1,G165:K165,-1))),"")</f>
        <v/>
      </c>
      <c r="R165" s="8">
        <f t="shared" si="18"/>
        <v>0</v>
      </c>
      <c r="S165" s="8">
        <f t="shared" si="18"/>
        <v>0</v>
      </c>
      <c r="T165" s="8">
        <f t="shared" si="18"/>
        <v>0</v>
      </c>
      <c r="U165" s="8">
        <f t="shared" si="18"/>
        <v>0</v>
      </c>
      <c r="V165" s="8">
        <f t="shared" si="18"/>
        <v>0</v>
      </c>
    </row>
    <row r="166" spans="1:22" x14ac:dyDescent="0.35">
      <c r="A166" s="12" t="s">
        <v>102</v>
      </c>
      <c r="B166" s="2">
        <v>2021</v>
      </c>
      <c r="C166" s="1" t="s">
        <v>168</v>
      </c>
      <c r="D166" s="3" t="s">
        <v>22</v>
      </c>
      <c r="E166" s="4" t="s">
        <v>95</v>
      </c>
      <c r="F166" s="4" t="s">
        <v>96</v>
      </c>
      <c r="G166" s="8"/>
      <c r="H166" s="8"/>
      <c r="I166" s="8"/>
      <c r="J166" s="8"/>
      <c r="K166" s="8"/>
      <c r="M166" s="4">
        <v>10</v>
      </c>
      <c r="N166" s="8">
        <f t="shared" si="15"/>
        <v>0</v>
      </c>
      <c r="O166" s="47" t="str" cm="1">
        <f t="array" ref="O166">_xlfn.IFNA(YEAR(INDEX($G$5:$K$5,,MATCH(1,G166:K166,-1))),"")</f>
        <v/>
      </c>
      <c r="R166" s="8">
        <f t="shared" ref="R166:V175" si="19">IF($O166="",0,IF(MOD(YEAR(R$5)-$O166,$M166)=0,$N166,0))</f>
        <v>0</v>
      </c>
      <c r="S166" s="8">
        <f t="shared" si="19"/>
        <v>0</v>
      </c>
      <c r="T166" s="8">
        <f t="shared" si="19"/>
        <v>0</v>
      </c>
      <c r="U166" s="8">
        <f t="shared" si="19"/>
        <v>0</v>
      </c>
      <c r="V166" s="8">
        <f t="shared" si="19"/>
        <v>0</v>
      </c>
    </row>
    <row r="167" spans="1:22" x14ac:dyDescent="0.35">
      <c r="A167" s="12" t="s">
        <v>93</v>
      </c>
      <c r="B167" s="2">
        <v>2021</v>
      </c>
      <c r="C167" s="1" t="s">
        <v>170</v>
      </c>
      <c r="D167" s="3" t="s">
        <v>22</v>
      </c>
      <c r="E167" s="4" t="s">
        <v>95</v>
      </c>
      <c r="F167" s="4" t="s">
        <v>96</v>
      </c>
      <c r="G167" s="8"/>
      <c r="H167" s="8"/>
      <c r="I167" s="8"/>
      <c r="J167" s="8"/>
      <c r="K167" s="8"/>
      <c r="M167" s="4">
        <v>10</v>
      </c>
      <c r="N167" s="8">
        <f t="shared" si="15"/>
        <v>0</v>
      </c>
      <c r="O167" s="47" t="str" cm="1">
        <f t="array" ref="O167">_xlfn.IFNA(YEAR(INDEX($G$5:$K$5,,MATCH(1,G167:K167,-1))),"")</f>
        <v/>
      </c>
      <c r="R167" s="8">
        <f t="shared" si="19"/>
        <v>0</v>
      </c>
      <c r="S167" s="8">
        <f t="shared" si="19"/>
        <v>0</v>
      </c>
      <c r="T167" s="8">
        <f t="shared" si="19"/>
        <v>0</v>
      </c>
      <c r="U167" s="8">
        <f t="shared" si="19"/>
        <v>0</v>
      </c>
      <c r="V167" s="8">
        <f t="shared" si="19"/>
        <v>0</v>
      </c>
    </row>
    <row r="168" spans="1:22" x14ac:dyDescent="0.35">
      <c r="A168" s="12" t="s">
        <v>93</v>
      </c>
      <c r="B168" s="2">
        <v>2021</v>
      </c>
      <c r="C168" s="1" t="s">
        <v>170</v>
      </c>
      <c r="D168" s="3" t="s">
        <v>22</v>
      </c>
      <c r="E168" s="4" t="s">
        <v>95</v>
      </c>
      <c r="F168" s="4" t="s">
        <v>96</v>
      </c>
      <c r="G168" s="8"/>
      <c r="H168" s="8"/>
      <c r="I168" s="8"/>
      <c r="J168" s="8"/>
      <c r="K168" s="8"/>
      <c r="M168" s="4">
        <v>10</v>
      </c>
      <c r="N168" s="8">
        <f t="shared" si="15"/>
        <v>0</v>
      </c>
      <c r="O168" s="47" t="str" cm="1">
        <f t="array" ref="O168">_xlfn.IFNA(YEAR(INDEX($G$5:$K$5,,MATCH(1,G168:K168,-1))),"")</f>
        <v/>
      </c>
      <c r="R168" s="8">
        <f t="shared" si="19"/>
        <v>0</v>
      </c>
      <c r="S168" s="8">
        <f t="shared" si="19"/>
        <v>0</v>
      </c>
      <c r="T168" s="8">
        <f t="shared" si="19"/>
        <v>0</v>
      </c>
      <c r="U168" s="8">
        <f t="shared" si="19"/>
        <v>0</v>
      </c>
      <c r="V168" s="8">
        <f t="shared" si="19"/>
        <v>0</v>
      </c>
    </row>
    <row r="169" spans="1:22" x14ac:dyDescent="0.35">
      <c r="A169" s="12" t="s">
        <v>181</v>
      </c>
      <c r="B169" s="2">
        <v>2021</v>
      </c>
      <c r="C169" s="1" t="s">
        <v>182</v>
      </c>
      <c r="D169" s="3" t="s">
        <v>99</v>
      </c>
      <c r="E169" s="4" t="s">
        <v>95</v>
      </c>
      <c r="F169" s="4" t="s">
        <v>96</v>
      </c>
      <c r="G169" s="8"/>
      <c r="H169" s="8">
        <v>60000</v>
      </c>
      <c r="I169" s="8"/>
      <c r="J169" s="8"/>
      <c r="K169" s="8"/>
      <c r="M169" s="4">
        <v>10</v>
      </c>
      <c r="N169" s="8">
        <f t="shared" si="15"/>
        <v>60000</v>
      </c>
      <c r="O169" s="47" cm="1">
        <f t="array" ref="O169">_xlfn.IFNA(YEAR(INDEX($G$5:$K$5,,MATCH(1,G169:K169,-1))),"")</f>
        <v>2028</v>
      </c>
      <c r="R169" s="8">
        <f t="shared" si="19"/>
        <v>0</v>
      </c>
      <c r="S169" s="8">
        <f t="shared" si="19"/>
        <v>60000</v>
      </c>
      <c r="T169" s="8">
        <f t="shared" si="19"/>
        <v>0</v>
      </c>
      <c r="U169" s="8">
        <f t="shared" si="19"/>
        <v>0</v>
      </c>
      <c r="V169" s="8">
        <f t="shared" si="19"/>
        <v>0</v>
      </c>
    </row>
    <row r="170" spans="1:22" x14ac:dyDescent="0.35">
      <c r="A170" s="12" t="s">
        <v>102</v>
      </c>
      <c r="B170" s="2">
        <v>2021</v>
      </c>
      <c r="C170" s="1" t="s">
        <v>183</v>
      </c>
      <c r="D170" s="3" t="s">
        <v>72</v>
      </c>
      <c r="E170" s="4" t="s">
        <v>95</v>
      </c>
      <c r="F170" s="4" t="s">
        <v>96</v>
      </c>
      <c r="G170" s="8"/>
      <c r="H170" s="8"/>
      <c r="I170" s="8"/>
      <c r="J170" s="8"/>
      <c r="K170" s="8"/>
      <c r="M170" s="4">
        <v>20</v>
      </c>
      <c r="N170" s="8">
        <f t="shared" si="15"/>
        <v>0</v>
      </c>
      <c r="O170" s="47" t="str" cm="1">
        <f t="array" ref="O170">_xlfn.IFNA(YEAR(INDEX($G$5:$K$5,,MATCH(1,G170:K170,-1))),"")</f>
        <v/>
      </c>
      <c r="R170" s="8">
        <f t="shared" si="19"/>
        <v>0</v>
      </c>
      <c r="S170" s="8">
        <f t="shared" si="19"/>
        <v>0</v>
      </c>
      <c r="T170" s="8">
        <f t="shared" si="19"/>
        <v>0</v>
      </c>
      <c r="U170" s="8">
        <f t="shared" si="19"/>
        <v>0</v>
      </c>
      <c r="V170" s="8">
        <f t="shared" si="19"/>
        <v>0</v>
      </c>
    </row>
    <row r="171" spans="1:22" x14ac:dyDescent="0.35">
      <c r="A171" s="12" t="s">
        <v>148</v>
      </c>
      <c r="B171" s="2">
        <v>2021</v>
      </c>
      <c r="C171" s="1" t="s">
        <v>178</v>
      </c>
      <c r="D171" s="3" t="s">
        <v>99</v>
      </c>
      <c r="E171" s="4" t="s">
        <v>95</v>
      </c>
      <c r="F171" s="4" t="s">
        <v>96</v>
      </c>
      <c r="G171" s="8"/>
      <c r="H171" s="8">
        <v>90000</v>
      </c>
      <c r="I171" s="8"/>
      <c r="J171" s="8"/>
      <c r="K171" s="8"/>
      <c r="M171" s="4">
        <v>6</v>
      </c>
      <c r="N171" s="8">
        <f t="shared" si="15"/>
        <v>90000</v>
      </c>
      <c r="O171" s="47" cm="1">
        <f t="array" ref="O171">_xlfn.IFNA(YEAR(INDEX($G$5:$K$5,,MATCH(1,G171:K171,-1))),"")</f>
        <v>2028</v>
      </c>
      <c r="R171" s="8">
        <f t="shared" si="19"/>
        <v>0</v>
      </c>
      <c r="S171" s="8">
        <f t="shared" si="19"/>
        <v>90000</v>
      </c>
      <c r="T171" s="8">
        <f t="shared" si="19"/>
        <v>0</v>
      </c>
      <c r="U171" s="8">
        <f t="shared" si="19"/>
        <v>0</v>
      </c>
      <c r="V171" s="8">
        <f t="shared" si="19"/>
        <v>0</v>
      </c>
    </row>
    <row r="172" spans="1:22" x14ac:dyDescent="0.35">
      <c r="A172" s="12" t="s">
        <v>102</v>
      </c>
      <c r="B172" s="2">
        <v>2021</v>
      </c>
      <c r="C172" s="1" t="s">
        <v>184</v>
      </c>
      <c r="D172" s="3" t="s">
        <v>72</v>
      </c>
      <c r="E172" s="4" t="s">
        <v>95</v>
      </c>
      <c r="F172" s="4" t="s">
        <v>96</v>
      </c>
      <c r="G172" s="8"/>
      <c r="H172" s="8"/>
      <c r="I172" s="8"/>
      <c r="J172" s="8"/>
      <c r="K172" s="8"/>
      <c r="M172" s="4">
        <v>10</v>
      </c>
      <c r="N172" s="8">
        <f t="shared" si="15"/>
        <v>0</v>
      </c>
      <c r="O172" s="47" t="str" cm="1">
        <f t="array" ref="O172">_xlfn.IFNA(YEAR(INDEX($G$5:$K$5,,MATCH(1,G172:K172,-1))),"")</f>
        <v/>
      </c>
      <c r="R172" s="8">
        <f t="shared" si="19"/>
        <v>0</v>
      </c>
      <c r="S172" s="8">
        <f t="shared" si="19"/>
        <v>0</v>
      </c>
      <c r="T172" s="8">
        <f t="shared" si="19"/>
        <v>0</v>
      </c>
      <c r="U172" s="8">
        <f t="shared" si="19"/>
        <v>0</v>
      </c>
      <c r="V172" s="8">
        <f t="shared" si="19"/>
        <v>0</v>
      </c>
    </row>
    <row r="173" spans="1:22" x14ac:dyDescent="0.35">
      <c r="A173" s="12" t="s">
        <v>102</v>
      </c>
      <c r="B173" s="2">
        <v>2021</v>
      </c>
      <c r="C173" s="1" t="s">
        <v>185</v>
      </c>
      <c r="D173" s="3" t="s">
        <v>72</v>
      </c>
      <c r="E173" s="4" t="s">
        <v>95</v>
      </c>
      <c r="F173" s="4" t="s">
        <v>96</v>
      </c>
      <c r="G173" s="8"/>
      <c r="H173" s="8"/>
      <c r="I173" s="8"/>
      <c r="J173" s="8"/>
      <c r="K173" s="8"/>
      <c r="M173" s="4">
        <v>10</v>
      </c>
      <c r="N173" s="8">
        <f t="shared" si="15"/>
        <v>0</v>
      </c>
      <c r="O173" s="47" t="str" cm="1">
        <f t="array" ref="O173">_xlfn.IFNA(YEAR(INDEX($G$5:$K$5,,MATCH(1,G173:K173,-1))),"")</f>
        <v/>
      </c>
      <c r="R173" s="8">
        <f t="shared" si="19"/>
        <v>0</v>
      </c>
      <c r="S173" s="8">
        <f t="shared" si="19"/>
        <v>0</v>
      </c>
      <c r="T173" s="8">
        <f t="shared" si="19"/>
        <v>0</v>
      </c>
      <c r="U173" s="8">
        <f t="shared" si="19"/>
        <v>0</v>
      </c>
      <c r="V173" s="8">
        <f t="shared" si="19"/>
        <v>0</v>
      </c>
    </row>
    <row r="174" spans="1:22" x14ac:dyDescent="0.35">
      <c r="A174" s="12" t="s">
        <v>93</v>
      </c>
      <c r="B174" s="2">
        <v>2022</v>
      </c>
      <c r="C174" s="1" t="s">
        <v>186</v>
      </c>
      <c r="D174" s="3" t="s">
        <v>72</v>
      </c>
      <c r="E174" s="4" t="s">
        <v>95</v>
      </c>
      <c r="F174" s="4" t="s">
        <v>96</v>
      </c>
      <c r="G174" s="8"/>
      <c r="H174" s="8"/>
      <c r="I174" s="8"/>
      <c r="J174" s="8"/>
      <c r="K174" s="8"/>
      <c r="M174" s="4">
        <v>10</v>
      </c>
      <c r="N174" s="8">
        <f t="shared" si="15"/>
        <v>0</v>
      </c>
      <c r="O174" s="47" t="str" cm="1">
        <f t="array" ref="O174">_xlfn.IFNA(YEAR(INDEX($G$5:$K$5,,MATCH(1,G174:K174,-1))),"")</f>
        <v/>
      </c>
      <c r="R174" s="8">
        <f t="shared" si="19"/>
        <v>0</v>
      </c>
      <c r="S174" s="8">
        <f t="shared" si="19"/>
        <v>0</v>
      </c>
      <c r="T174" s="8">
        <f t="shared" si="19"/>
        <v>0</v>
      </c>
      <c r="U174" s="8">
        <f t="shared" si="19"/>
        <v>0</v>
      </c>
      <c r="V174" s="8">
        <f t="shared" si="19"/>
        <v>0</v>
      </c>
    </row>
    <row r="175" spans="1:22" x14ac:dyDescent="0.35">
      <c r="A175" s="12" t="s">
        <v>187</v>
      </c>
      <c r="B175" s="2">
        <v>2022</v>
      </c>
      <c r="C175" s="1" t="s">
        <v>188</v>
      </c>
      <c r="D175" s="3" t="s">
        <v>99</v>
      </c>
      <c r="E175" s="4" t="s">
        <v>100</v>
      </c>
      <c r="F175" s="4" t="s">
        <v>96</v>
      </c>
      <c r="G175" s="8"/>
      <c r="H175" s="8"/>
      <c r="I175" s="8"/>
      <c r="J175" s="8"/>
      <c r="K175" s="8"/>
      <c r="M175" s="4">
        <v>15</v>
      </c>
      <c r="N175" s="8">
        <f t="shared" si="15"/>
        <v>0</v>
      </c>
      <c r="O175" s="47" t="str" cm="1">
        <f t="array" ref="O175">_xlfn.IFNA(YEAR(INDEX($G$5:$K$5,,MATCH(1,G175:K175,-1))),"")</f>
        <v/>
      </c>
      <c r="R175" s="8">
        <f t="shared" si="19"/>
        <v>0</v>
      </c>
      <c r="S175" s="8">
        <f t="shared" si="19"/>
        <v>0</v>
      </c>
      <c r="T175" s="8">
        <f t="shared" si="19"/>
        <v>0</v>
      </c>
      <c r="U175" s="8">
        <f t="shared" si="19"/>
        <v>0</v>
      </c>
      <c r="V175" s="8">
        <f t="shared" si="19"/>
        <v>0</v>
      </c>
    </row>
    <row r="176" spans="1:22" x14ac:dyDescent="0.35">
      <c r="A176" s="12" t="s">
        <v>187</v>
      </c>
      <c r="B176" s="2">
        <v>2022</v>
      </c>
      <c r="C176" s="1" t="s">
        <v>188</v>
      </c>
      <c r="D176" s="3" t="s">
        <v>99</v>
      </c>
      <c r="E176" s="4" t="s">
        <v>100</v>
      </c>
      <c r="F176" s="4" t="s">
        <v>96</v>
      </c>
      <c r="G176" s="8"/>
      <c r="H176" s="8"/>
      <c r="I176" s="8"/>
      <c r="J176" s="8"/>
      <c r="K176" s="8"/>
      <c r="M176" s="4">
        <v>15</v>
      </c>
      <c r="N176" s="8">
        <f t="shared" si="15"/>
        <v>0</v>
      </c>
      <c r="O176" s="47" t="str" cm="1">
        <f t="array" ref="O176">_xlfn.IFNA(YEAR(INDEX($G$5:$K$5,,MATCH(1,G176:K176,-1))),"")</f>
        <v/>
      </c>
      <c r="R176" s="8">
        <f t="shared" ref="R176:V185" si="20">IF($O176="",0,IF(MOD(YEAR(R$5)-$O176,$M176)=0,$N176,0))</f>
        <v>0</v>
      </c>
      <c r="S176" s="8">
        <f t="shared" si="20"/>
        <v>0</v>
      </c>
      <c r="T176" s="8">
        <f t="shared" si="20"/>
        <v>0</v>
      </c>
      <c r="U176" s="8">
        <f t="shared" si="20"/>
        <v>0</v>
      </c>
      <c r="V176" s="8">
        <f t="shared" si="20"/>
        <v>0</v>
      </c>
    </row>
    <row r="177" spans="1:22" x14ac:dyDescent="0.35">
      <c r="A177" s="12" t="s">
        <v>187</v>
      </c>
      <c r="B177" s="2">
        <v>2022</v>
      </c>
      <c r="C177" s="1" t="s">
        <v>188</v>
      </c>
      <c r="D177" s="3" t="s">
        <v>99</v>
      </c>
      <c r="E177" s="4" t="s">
        <v>100</v>
      </c>
      <c r="F177" s="4" t="s">
        <v>96</v>
      </c>
      <c r="G177" s="8"/>
      <c r="H177" s="8"/>
      <c r="I177" s="8"/>
      <c r="J177" s="8"/>
      <c r="K177" s="8"/>
      <c r="M177" s="4">
        <v>15</v>
      </c>
      <c r="N177" s="8">
        <f t="shared" si="15"/>
        <v>0</v>
      </c>
      <c r="O177" s="47" t="str" cm="1">
        <f t="array" ref="O177">_xlfn.IFNA(YEAR(INDEX($G$5:$K$5,,MATCH(1,G177:K177,-1))),"")</f>
        <v/>
      </c>
      <c r="R177" s="8">
        <f t="shared" si="20"/>
        <v>0</v>
      </c>
      <c r="S177" s="8">
        <f t="shared" si="20"/>
        <v>0</v>
      </c>
      <c r="T177" s="8">
        <f t="shared" si="20"/>
        <v>0</v>
      </c>
      <c r="U177" s="8">
        <f t="shared" si="20"/>
        <v>0</v>
      </c>
      <c r="V177" s="8">
        <f t="shared" si="20"/>
        <v>0</v>
      </c>
    </row>
    <row r="178" spans="1:22" x14ac:dyDescent="0.35">
      <c r="A178" s="12" t="s">
        <v>189</v>
      </c>
      <c r="B178" s="2">
        <v>2023</v>
      </c>
      <c r="C178" s="1" t="s">
        <v>190</v>
      </c>
      <c r="D178" s="3" t="s">
        <v>99</v>
      </c>
      <c r="E178" s="4" t="s">
        <v>95</v>
      </c>
      <c r="F178" s="4" t="s">
        <v>96</v>
      </c>
      <c r="G178" s="8"/>
      <c r="H178" s="8"/>
      <c r="I178" s="8">
        <v>210000</v>
      </c>
      <c r="J178" s="8"/>
      <c r="K178" s="8"/>
      <c r="M178" s="4">
        <v>10</v>
      </c>
      <c r="N178" s="8">
        <f t="shared" si="15"/>
        <v>210000</v>
      </c>
      <c r="O178" s="47" cm="1">
        <f t="array" ref="O178">_xlfn.IFNA(YEAR(INDEX($G$5:$K$5,,MATCH(1,G178:K178,-1))),"")</f>
        <v>2029</v>
      </c>
      <c r="R178" s="8">
        <f t="shared" si="20"/>
        <v>0</v>
      </c>
      <c r="S178" s="8">
        <f t="shared" si="20"/>
        <v>0</v>
      </c>
      <c r="T178" s="8">
        <f t="shared" si="20"/>
        <v>210000</v>
      </c>
      <c r="U178" s="8">
        <f t="shared" si="20"/>
        <v>0</v>
      </c>
      <c r="V178" s="8">
        <f t="shared" si="20"/>
        <v>0</v>
      </c>
    </row>
    <row r="179" spans="1:22" x14ac:dyDescent="0.35">
      <c r="A179" s="12" t="s">
        <v>191</v>
      </c>
      <c r="B179" s="2">
        <v>2023</v>
      </c>
      <c r="C179" s="1" t="s">
        <v>192</v>
      </c>
      <c r="D179" s="3" t="s">
        <v>99</v>
      </c>
      <c r="E179" s="4" t="s">
        <v>193</v>
      </c>
      <c r="F179" s="4" t="s">
        <v>96</v>
      </c>
      <c r="G179" s="8"/>
      <c r="H179" s="8"/>
      <c r="I179" s="8"/>
      <c r="J179" s="8"/>
      <c r="K179" s="8"/>
      <c r="M179" s="4">
        <v>10</v>
      </c>
      <c r="N179" s="8">
        <f t="shared" si="15"/>
        <v>0</v>
      </c>
      <c r="O179" s="47" t="str" cm="1">
        <f t="array" ref="O179">_xlfn.IFNA(YEAR(INDEX($G$5:$K$5,,MATCH(1,G179:K179,-1))),"")</f>
        <v/>
      </c>
      <c r="R179" s="8">
        <f t="shared" si="20"/>
        <v>0</v>
      </c>
      <c r="S179" s="8">
        <f t="shared" si="20"/>
        <v>0</v>
      </c>
      <c r="T179" s="8">
        <f t="shared" si="20"/>
        <v>0</v>
      </c>
      <c r="U179" s="8">
        <f t="shared" si="20"/>
        <v>0</v>
      </c>
      <c r="V179" s="8">
        <f t="shared" si="20"/>
        <v>0</v>
      </c>
    </row>
    <row r="180" spans="1:22" x14ac:dyDescent="0.35">
      <c r="A180" s="12" t="s">
        <v>191</v>
      </c>
      <c r="B180" s="2">
        <v>2023</v>
      </c>
      <c r="C180" s="1" t="s">
        <v>192</v>
      </c>
      <c r="D180" s="3" t="s">
        <v>99</v>
      </c>
      <c r="E180" s="4" t="s">
        <v>193</v>
      </c>
      <c r="F180" s="4" t="s">
        <v>96</v>
      </c>
      <c r="G180" s="8"/>
      <c r="H180" s="8"/>
      <c r="I180" s="8"/>
      <c r="J180" s="8"/>
      <c r="K180" s="8"/>
      <c r="M180" s="4">
        <v>10</v>
      </c>
      <c r="N180" s="8">
        <f t="shared" si="15"/>
        <v>0</v>
      </c>
      <c r="O180" s="47" t="str" cm="1">
        <f t="array" ref="O180">_xlfn.IFNA(YEAR(INDEX($G$5:$K$5,,MATCH(1,G180:K180,-1))),"")</f>
        <v/>
      </c>
      <c r="R180" s="8">
        <f t="shared" si="20"/>
        <v>0</v>
      </c>
      <c r="S180" s="8">
        <f t="shared" si="20"/>
        <v>0</v>
      </c>
      <c r="T180" s="8">
        <f t="shared" si="20"/>
        <v>0</v>
      </c>
      <c r="U180" s="8">
        <f t="shared" si="20"/>
        <v>0</v>
      </c>
      <c r="V180" s="8">
        <f t="shared" si="20"/>
        <v>0</v>
      </c>
    </row>
    <row r="181" spans="1:22" x14ac:dyDescent="0.35">
      <c r="A181" s="13" t="s">
        <v>194</v>
      </c>
      <c r="B181" s="2">
        <v>2011</v>
      </c>
      <c r="C181" s="13" t="s">
        <v>195</v>
      </c>
      <c r="D181" s="3" t="s">
        <v>22</v>
      </c>
      <c r="E181" s="4" t="s">
        <v>95</v>
      </c>
      <c r="F181" s="4" t="s">
        <v>96</v>
      </c>
      <c r="G181" s="8"/>
      <c r="H181" s="8"/>
      <c r="I181" s="8"/>
      <c r="J181" s="8"/>
      <c r="K181" s="8"/>
      <c r="M181" s="4">
        <v>15</v>
      </c>
      <c r="N181" s="8">
        <f t="shared" si="15"/>
        <v>0</v>
      </c>
      <c r="O181" s="47" t="str" cm="1">
        <f t="array" ref="O181">_xlfn.IFNA(YEAR(INDEX($G$5:$K$5,,MATCH(1,G181:K181,-1))),"")</f>
        <v/>
      </c>
      <c r="R181" s="8">
        <f t="shared" si="20"/>
        <v>0</v>
      </c>
      <c r="S181" s="8">
        <f t="shared" si="20"/>
        <v>0</v>
      </c>
      <c r="T181" s="8">
        <f t="shared" si="20"/>
        <v>0</v>
      </c>
      <c r="U181" s="8">
        <f t="shared" si="20"/>
        <v>0</v>
      </c>
      <c r="V181" s="8">
        <f t="shared" si="20"/>
        <v>0</v>
      </c>
    </row>
    <row r="182" spans="1:22" x14ac:dyDescent="0.35">
      <c r="A182" s="16" t="s">
        <v>196</v>
      </c>
      <c r="B182" s="17">
        <v>2017</v>
      </c>
      <c r="C182" s="18" t="s">
        <v>197</v>
      </c>
      <c r="D182" s="3" t="s">
        <v>74</v>
      </c>
      <c r="E182" s="4" t="s">
        <v>193</v>
      </c>
      <c r="F182" s="4" t="s">
        <v>96</v>
      </c>
      <c r="G182" s="8"/>
      <c r="H182" s="8"/>
      <c r="I182" s="19">
        <v>66000</v>
      </c>
      <c r="J182" s="8"/>
      <c r="K182" s="8"/>
      <c r="M182" s="4">
        <v>4</v>
      </c>
      <c r="N182" s="8">
        <f t="shared" si="15"/>
        <v>66000</v>
      </c>
      <c r="O182" s="47" cm="1">
        <f t="array" ref="O182">_xlfn.IFNA(YEAR(INDEX($G$5:$K$5,,MATCH(1,G182:K182,-1))),"")</f>
        <v>2029</v>
      </c>
      <c r="R182" s="8">
        <f t="shared" si="20"/>
        <v>0</v>
      </c>
      <c r="S182" s="8">
        <f t="shared" si="20"/>
        <v>0</v>
      </c>
      <c r="T182" s="8">
        <f t="shared" si="20"/>
        <v>66000</v>
      </c>
      <c r="U182" s="8">
        <f t="shared" si="20"/>
        <v>0</v>
      </c>
      <c r="V182" s="8">
        <f t="shared" si="20"/>
        <v>0</v>
      </c>
    </row>
    <row r="183" spans="1:22" x14ac:dyDescent="0.35">
      <c r="A183" s="21" t="s">
        <v>198</v>
      </c>
      <c r="B183" s="20">
        <v>2018</v>
      </c>
      <c r="C183" s="22" t="s">
        <v>199</v>
      </c>
      <c r="D183" s="3" t="s">
        <v>74</v>
      </c>
      <c r="E183" s="4" t="s">
        <v>95</v>
      </c>
      <c r="F183" s="4" t="s">
        <v>96</v>
      </c>
      <c r="G183" s="8"/>
      <c r="H183" s="8"/>
      <c r="I183" s="8">
        <v>49000</v>
      </c>
      <c r="J183" s="8"/>
      <c r="K183" s="8"/>
      <c r="M183" s="4">
        <v>4</v>
      </c>
      <c r="N183" s="8">
        <f t="shared" si="15"/>
        <v>49000</v>
      </c>
      <c r="O183" s="47" cm="1">
        <f t="array" ref="O183">_xlfn.IFNA(YEAR(INDEX($G$5:$K$5,,MATCH(1,G183:K183,-1))),"")</f>
        <v>2029</v>
      </c>
      <c r="R183" s="8">
        <f t="shared" si="20"/>
        <v>0</v>
      </c>
      <c r="S183" s="8">
        <f t="shared" si="20"/>
        <v>0</v>
      </c>
      <c r="T183" s="8">
        <f t="shared" si="20"/>
        <v>49000</v>
      </c>
      <c r="U183" s="8">
        <f t="shared" si="20"/>
        <v>0</v>
      </c>
      <c r="V183" s="8">
        <f t="shared" si="20"/>
        <v>0</v>
      </c>
    </row>
    <row r="184" spans="1:22" x14ac:dyDescent="0.35">
      <c r="A184" s="21" t="s">
        <v>198</v>
      </c>
      <c r="B184" s="60">
        <v>2018</v>
      </c>
      <c r="C184" s="22" t="s">
        <v>199</v>
      </c>
      <c r="D184" s="3" t="s">
        <v>74</v>
      </c>
      <c r="E184" s="4" t="s">
        <v>95</v>
      </c>
      <c r="F184" s="4" t="s">
        <v>96</v>
      </c>
      <c r="G184" s="8"/>
      <c r="H184" s="8"/>
      <c r="I184" s="8">
        <v>49000</v>
      </c>
      <c r="J184" s="8"/>
      <c r="K184" s="8"/>
      <c r="M184" s="4">
        <v>4</v>
      </c>
      <c r="N184" s="8">
        <f t="shared" si="15"/>
        <v>49000</v>
      </c>
      <c r="O184" s="47" cm="1">
        <f t="array" ref="O184">_xlfn.IFNA(YEAR(INDEX($G$5:$K$5,,MATCH(1,G184:K184,-1))),"")</f>
        <v>2029</v>
      </c>
      <c r="R184" s="8">
        <f t="shared" si="20"/>
        <v>0</v>
      </c>
      <c r="S184" s="8">
        <f t="shared" si="20"/>
        <v>0</v>
      </c>
      <c r="T184" s="8">
        <f t="shared" si="20"/>
        <v>49000</v>
      </c>
      <c r="U184" s="8">
        <f t="shared" si="20"/>
        <v>0</v>
      </c>
      <c r="V184" s="8">
        <f t="shared" si="20"/>
        <v>0</v>
      </c>
    </row>
    <row r="185" spans="1:22" x14ac:dyDescent="0.35">
      <c r="A185" s="21" t="s">
        <v>198</v>
      </c>
      <c r="B185" s="60">
        <v>2018</v>
      </c>
      <c r="C185" s="22" t="s">
        <v>199</v>
      </c>
      <c r="D185" s="3" t="s">
        <v>74</v>
      </c>
      <c r="E185" s="4" t="s">
        <v>95</v>
      </c>
      <c r="F185" s="4" t="s">
        <v>96</v>
      </c>
      <c r="G185" s="8"/>
      <c r="H185" s="8"/>
      <c r="I185" s="8">
        <v>49000</v>
      </c>
      <c r="J185" s="8"/>
      <c r="K185" s="8"/>
      <c r="M185" s="4">
        <v>4</v>
      </c>
      <c r="N185" s="8">
        <f t="shared" si="15"/>
        <v>49000</v>
      </c>
      <c r="O185" s="47" cm="1">
        <f t="array" ref="O185">_xlfn.IFNA(YEAR(INDEX($G$5:$K$5,,MATCH(1,G185:K185,-1))),"")</f>
        <v>2029</v>
      </c>
      <c r="R185" s="8">
        <f t="shared" si="20"/>
        <v>0</v>
      </c>
      <c r="S185" s="8">
        <f t="shared" si="20"/>
        <v>0</v>
      </c>
      <c r="T185" s="8">
        <f t="shared" si="20"/>
        <v>49000</v>
      </c>
      <c r="U185" s="8">
        <f t="shared" si="20"/>
        <v>0</v>
      </c>
      <c r="V185" s="8">
        <f t="shared" si="20"/>
        <v>0</v>
      </c>
    </row>
    <row r="186" spans="1:22" x14ac:dyDescent="0.35">
      <c r="A186" s="21" t="s">
        <v>200</v>
      </c>
      <c r="B186" s="60">
        <v>2018</v>
      </c>
      <c r="C186" s="22" t="s">
        <v>201</v>
      </c>
      <c r="D186" s="3" t="s">
        <v>74</v>
      </c>
      <c r="E186" s="4" t="s">
        <v>95</v>
      </c>
      <c r="F186" s="4" t="s">
        <v>96</v>
      </c>
      <c r="G186" s="8"/>
      <c r="H186" s="8"/>
      <c r="I186" s="8"/>
      <c r="J186" s="8"/>
      <c r="K186" s="8"/>
      <c r="M186" s="4">
        <v>4</v>
      </c>
      <c r="N186" s="8">
        <f t="shared" si="15"/>
        <v>0</v>
      </c>
      <c r="O186" s="47" t="str" cm="1">
        <f t="array" ref="O186">_xlfn.IFNA(YEAR(INDEX($G$5:$K$5,,MATCH(1,G186:K186,-1))),"")</f>
        <v/>
      </c>
      <c r="R186" s="8">
        <f t="shared" ref="R186:V195" si="21">IF($O186="",0,IF(MOD(YEAR(R$5)-$O186,$M186)=0,$N186,0))</f>
        <v>0</v>
      </c>
      <c r="S186" s="8">
        <f t="shared" si="21"/>
        <v>0</v>
      </c>
      <c r="T186" s="8">
        <f t="shared" si="21"/>
        <v>0</v>
      </c>
      <c r="U186" s="8">
        <f t="shared" si="21"/>
        <v>0</v>
      </c>
      <c r="V186" s="8">
        <f t="shared" si="21"/>
        <v>0</v>
      </c>
    </row>
    <row r="187" spans="1:22" x14ac:dyDescent="0.35">
      <c r="A187" s="61" t="s">
        <v>198</v>
      </c>
      <c r="B187" s="60">
        <v>2019</v>
      </c>
      <c r="C187" s="62" t="s">
        <v>202</v>
      </c>
      <c r="D187" s="3" t="s">
        <v>74</v>
      </c>
      <c r="E187" s="4" t="s">
        <v>95</v>
      </c>
      <c r="F187" s="4" t="s">
        <v>96</v>
      </c>
      <c r="G187" s="8"/>
      <c r="H187" s="8"/>
      <c r="I187" s="8"/>
      <c r="J187" s="8">
        <v>65000</v>
      </c>
      <c r="K187" s="8"/>
      <c r="M187" s="4">
        <v>4</v>
      </c>
      <c r="N187" s="8">
        <f t="shared" si="15"/>
        <v>65000</v>
      </c>
      <c r="O187" s="47" cm="1">
        <f t="array" ref="O187">_xlfn.IFNA(YEAR(INDEX($G$5:$K$5,,MATCH(1,G187:K187,-1))),"")</f>
        <v>2030</v>
      </c>
      <c r="R187" s="8">
        <f t="shared" si="21"/>
        <v>0</v>
      </c>
      <c r="S187" s="8">
        <f t="shared" si="21"/>
        <v>0</v>
      </c>
      <c r="T187" s="8">
        <f t="shared" si="21"/>
        <v>0</v>
      </c>
      <c r="U187" s="8">
        <f t="shared" si="21"/>
        <v>65000</v>
      </c>
      <c r="V187" s="8">
        <f t="shared" si="21"/>
        <v>0</v>
      </c>
    </row>
    <row r="188" spans="1:22" x14ac:dyDescent="0.35">
      <c r="A188" s="61" t="s">
        <v>198</v>
      </c>
      <c r="B188" s="60">
        <v>2019</v>
      </c>
      <c r="C188" s="62" t="s">
        <v>202</v>
      </c>
      <c r="D188" s="3" t="s">
        <v>74</v>
      </c>
      <c r="E188" s="4" t="s">
        <v>95</v>
      </c>
      <c r="F188" s="4" t="s">
        <v>96</v>
      </c>
      <c r="G188" s="8"/>
      <c r="H188" s="8"/>
      <c r="I188" s="8">
        <v>65000</v>
      </c>
      <c r="J188" s="8"/>
      <c r="K188" s="8"/>
      <c r="M188" s="4">
        <v>4</v>
      </c>
      <c r="N188" s="8">
        <f t="shared" si="15"/>
        <v>65000</v>
      </c>
      <c r="O188" s="47" cm="1">
        <f t="array" ref="O188">_xlfn.IFNA(YEAR(INDEX($G$5:$K$5,,MATCH(1,G188:K188,-1))),"")</f>
        <v>2029</v>
      </c>
      <c r="R188" s="8">
        <f t="shared" si="21"/>
        <v>0</v>
      </c>
      <c r="S188" s="8">
        <f t="shared" si="21"/>
        <v>0</v>
      </c>
      <c r="T188" s="8">
        <f t="shared" si="21"/>
        <v>65000</v>
      </c>
      <c r="U188" s="8">
        <f t="shared" si="21"/>
        <v>0</v>
      </c>
      <c r="V188" s="8">
        <f t="shared" si="21"/>
        <v>0</v>
      </c>
    </row>
    <row r="189" spans="1:22" x14ac:dyDescent="0.35">
      <c r="A189" s="61" t="s">
        <v>203</v>
      </c>
      <c r="B189" s="60">
        <v>2019</v>
      </c>
      <c r="C189" s="62" t="s">
        <v>204</v>
      </c>
      <c r="D189" s="3" t="s">
        <v>74</v>
      </c>
      <c r="E189" s="4" t="s">
        <v>95</v>
      </c>
      <c r="F189" s="4" t="s">
        <v>96</v>
      </c>
      <c r="G189" s="8"/>
      <c r="H189" s="8"/>
      <c r="I189" s="8"/>
      <c r="J189" s="8">
        <v>52000</v>
      </c>
      <c r="K189" s="8"/>
      <c r="M189" s="4">
        <v>4</v>
      </c>
      <c r="N189" s="8">
        <f t="shared" si="15"/>
        <v>52000</v>
      </c>
      <c r="O189" s="47" cm="1">
        <f t="array" ref="O189">_xlfn.IFNA(YEAR(INDEX($G$5:$K$5,,MATCH(1,G189:K189,-1))),"")</f>
        <v>2030</v>
      </c>
      <c r="R189" s="8">
        <f t="shared" si="21"/>
        <v>0</v>
      </c>
      <c r="S189" s="8">
        <f t="shared" si="21"/>
        <v>0</v>
      </c>
      <c r="T189" s="8">
        <f t="shared" si="21"/>
        <v>0</v>
      </c>
      <c r="U189" s="8">
        <f t="shared" si="21"/>
        <v>52000</v>
      </c>
      <c r="V189" s="8">
        <f t="shared" si="21"/>
        <v>0</v>
      </c>
    </row>
    <row r="190" spans="1:22" x14ac:dyDescent="0.35">
      <c r="A190" s="61" t="s">
        <v>203</v>
      </c>
      <c r="B190" s="60">
        <v>2019</v>
      </c>
      <c r="C190" s="62" t="s">
        <v>204</v>
      </c>
      <c r="D190" s="3" t="s">
        <v>74</v>
      </c>
      <c r="E190" s="4" t="s">
        <v>95</v>
      </c>
      <c r="F190" s="4" t="s">
        <v>96</v>
      </c>
      <c r="G190" s="8"/>
      <c r="H190" s="8"/>
      <c r="I190" s="8">
        <v>52000</v>
      </c>
      <c r="J190" s="8"/>
      <c r="K190" s="8"/>
      <c r="M190" s="4">
        <v>4</v>
      </c>
      <c r="N190" s="8">
        <f t="shared" si="15"/>
        <v>52000</v>
      </c>
      <c r="O190" s="47" cm="1">
        <f t="array" ref="O190">_xlfn.IFNA(YEAR(INDEX($G$5:$K$5,,MATCH(1,G190:K190,-1))),"")</f>
        <v>2029</v>
      </c>
      <c r="R190" s="8">
        <f t="shared" si="21"/>
        <v>0</v>
      </c>
      <c r="S190" s="8">
        <f t="shared" si="21"/>
        <v>0</v>
      </c>
      <c r="T190" s="8">
        <f t="shared" si="21"/>
        <v>52000</v>
      </c>
      <c r="U190" s="8">
        <f t="shared" si="21"/>
        <v>0</v>
      </c>
      <c r="V190" s="8">
        <f t="shared" si="21"/>
        <v>0</v>
      </c>
    </row>
    <row r="191" spans="1:22" x14ac:dyDescent="0.35">
      <c r="A191" s="61" t="s">
        <v>203</v>
      </c>
      <c r="B191" s="60">
        <v>2020</v>
      </c>
      <c r="C191" s="62" t="s">
        <v>205</v>
      </c>
      <c r="D191" s="3" t="s">
        <v>74</v>
      </c>
      <c r="E191" s="4" t="s">
        <v>95</v>
      </c>
      <c r="F191" s="4" t="s">
        <v>96</v>
      </c>
      <c r="G191" s="8"/>
      <c r="H191" s="8"/>
      <c r="I191" s="8"/>
      <c r="J191" s="8"/>
      <c r="K191" s="8">
        <v>48000</v>
      </c>
      <c r="M191" s="4">
        <v>4</v>
      </c>
      <c r="N191" s="8">
        <f t="shared" si="15"/>
        <v>48000</v>
      </c>
      <c r="O191" s="47" cm="1">
        <f t="array" ref="O191">_xlfn.IFNA(YEAR(INDEX($G$5:$K$5,,MATCH(1,G191:K191,-1))),"")</f>
        <v>2031</v>
      </c>
      <c r="R191" s="8">
        <f t="shared" si="21"/>
        <v>48000</v>
      </c>
      <c r="S191" s="8">
        <f t="shared" si="21"/>
        <v>0</v>
      </c>
      <c r="T191" s="8">
        <f t="shared" si="21"/>
        <v>0</v>
      </c>
      <c r="U191" s="8">
        <f t="shared" si="21"/>
        <v>0</v>
      </c>
      <c r="V191" s="8">
        <f t="shared" si="21"/>
        <v>48000</v>
      </c>
    </row>
    <row r="192" spans="1:22" x14ac:dyDescent="0.35">
      <c r="A192" s="61" t="s">
        <v>146</v>
      </c>
      <c r="B192" s="60">
        <v>2020</v>
      </c>
      <c r="C192" s="62" t="s">
        <v>206</v>
      </c>
      <c r="D192" s="3" t="s">
        <v>74</v>
      </c>
      <c r="E192" s="4" t="s">
        <v>95</v>
      </c>
      <c r="F192" s="4" t="s">
        <v>96</v>
      </c>
      <c r="G192" s="8"/>
      <c r="H192" s="8"/>
      <c r="I192" s="8"/>
      <c r="J192" s="8"/>
      <c r="K192" s="8">
        <v>63000</v>
      </c>
      <c r="M192" s="4">
        <v>4</v>
      </c>
      <c r="N192" s="8">
        <f t="shared" si="15"/>
        <v>63000</v>
      </c>
      <c r="O192" s="47" cm="1">
        <f t="array" ref="O192">_xlfn.IFNA(YEAR(INDEX($G$5:$K$5,,MATCH(1,G192:K192,-1))),"")</f>
        <v>2031</v>
      </c>
      <c r="R192" s="8">
        <f t="shared" si="21"/>
        <v>63000</v>
      </c>
      <c r="S192" s="8">
        <f t="shared" si="21"/>
        <v>0</v>
      </c>
      <c r="T192" s="8">
        <f t="shared" si="21"/>
        <v>0</v>
      </c>
      <c r="U192" s="8">
        <f t="shared" si="21"/>
        <v>0</v>
      </c>
      <c r="V192" s="8">
        <f t="shared" si="21"/>
        <v>63000</v>
      </c>
    </row>
    <row r="193" spans="1:22" x14ac:dyDescent="0.35">
      <c r="A193" s="61" t="s">
        <v>207</v>
      </c>
      <c r="B193" s="60">
        <v>2020</v>
      </c>
      <c r="C193" s="62" t="s">
        <v>208</v>
      </c>
      <c r="D193" s="3" t="s">
        <v>74</v>
      </c>
      <c r="E193" s="4" t="s">
        <v>95</v>
      </c>
      <c r="F193" s="4" t="s">
        <v>96</v>
      </c>
      <c r="G193" s="8"/>
      <c r="H193" s="8"/>
      <c r="I193" s="8"/>
      <c r="J193" s="8"/>
      <c r="K193" s="8">
        <v>36000</v>
      </c>
      <c r="M193" s="4">
        <v>4</v>
      </c>
      <c r="N193" s="8">
        <f t="shared" si="15"/>
        <v>36000</v>
      </c>
      <c r="O193" s="47" cm="1">
        <f t="array" ref="O193">_xlfn.IFNA(YEAR(INDEX($G$5:$K$5,,MATCH(1,G193:K193,-1))),"")</f>
        <v>2031</v>
      </c>
      <c r="R193" s="8">
        <f t="shared" si="21"/>
        <v>36000</v>
      </c>
      <c r="S193" s="8">
        <f t="shared" si="21"/>
        <v>0</v>
      </c>
      <c r="T193" s="8">
        <f t="shared" si="21"/>
        <v>0</v>
      </c>
      <c r="U193" s="8">
        <f t="shared" si="21"/>
        <v>0</v>
      </c>
      <c r="V193" s="8">
        <f t="shared" si="21"/>
        <v>36000</v>
      </c>
    </row>
    <row r="194" spans="1:22" x14ac:dyDescent="0.35">
      <c r="A194" s="61" t="s">
        <v>181</v>
      </c>
      <c r="B194" s="60">
        <v>2020</v>
      </c>
      <c r="C194" s="62" t="s">
        <v>209</v>
      </c>
      <c r="D194" s="3" t="s">
        <v>74</v>
      </c>
      <c r="E194" s="4" t="s">
        <v>95</v>
      </c>
      <c r="F194" s="4" t="s">
        <v>96</v>
      </c>
      <c r="G194" s="8"/>
      <c r="H194" s="8"/>
      <c r="I194" s="8"/>
      <c r="J194" s="8">
        <v>67500</v>
      </c>
      <c r="K194" s="8"/>
      <c r="M194" s="4">
        <v>4</v>
      </c>
      <c r="N194" s="8">
        <f t="shared" si="15"/>
        <v>67500</v>
      </c>
      <c r="O194" s="47" cm="1">
        <f t="array" ref="O194">_xlfn.IFNA(YEAR(INDEX($G$5:$K$5,,MATCH(1,G194:K194,-1))),"")</f>
        <v>2030</v>
      </c>
      <c r="R194" s="8">
        <f t="shared" si="21"/>
        <v>0</v>
      </c>
      <c r="S194" s="8">
        <f t="shared" si="21"/>
        <v>0</v>
      </c>
      <c r="T194" s="8">
        <f t="shared" si="21"/>
        <v>0</v>
      </c>
      <c r="U194" s="8">
        <f t="shared" si="21"/>
        <v>67500</v>
      </c>
      <c r="V194" s="8">
        <f t="shared" si="21"/>
        <v>0</v>
      </c>
    </row>
    <row r="195" spans="1:22" x14ac:dyDescent="0.35">
      <c r="A195" s="61" t="s">
        <v>181</v>
      </c>
      <c r="B195" s="60">
        <v>2021</v>
      </c>
      <c r="C195" s="62" t="s">
        <v>210</v>
      </c>
      <c r="D195" s="3" t="s">
        <v>74</v>
      </c>
      <c r="E195" s="4" t="s">
        <v>95</v>
      </c>
      <c r="F195" s="4" t="s">
        <v>96</v>
      </c>
      <c r="G195" s="8"/>
      <c r="H195" s="8"/>
      <c r="I195" s="8"/>
      <c r="J195" s="8">
        <v>67500</v>
      </c>
      <c r="K195" s="8"/>
      <c r="M195" s="4">
        <v>4</v>
      </c>
      <c r="N195" s="8">
        <f t="shared" si="15"/>
        <v>67500</v>
      </c>
      <c r="O195" s="47" cm="1">
        <f t="array" ref="O195">_xlfn.IFNA(YEAR(INDEX($G$5:$K$5,,MATCH(1,G195:K195,-1))),"")</f>
        <v>2030</v>
      </c>
      <c r="R195" s="8">
        <f t="shared" si="21"/>
        <v>0</v>
      </c>
      <c r="S195" s="8">
        <f t="shared" si="21"/>
        <v>0</v>
      </c>
      <c r="T195" s="8">
        <f t="shared" si="21"/>
        <v>0</v>
      </c>
      <c r="U195" s="8">
        <f t="shared" si="21"/>
        <v>67500</v>
      </c>
      <c r="V195" s="8">
        <f t="shared" si="21"/>
        <v>0</v>
      </c>
    </row>
    <row r="196" spans="1:22" x14ac:dyDescent="0.35">
      <c r="A196" s="61" t="s">
        <v>102</v>
      </c>
      <c r="B196" s="60">
        <v>2021</v>
      </c>
      <c r="C196" s="62" t="s">
        <v>211</v>
      </c>
      <c r="D196" s="3" t="s">
        <v>74</v>
      </c>
      <c r="E196" s="4" t="s">
        <v>95</v>
      </c>
      <c r="F196" s="4" t="s">
        <v>96</v>
      </c>
      <c r="G196" s="8">
        <v>52000</v>
      </c>
      <c r="H196" s="8"/>
      <c r="I196" s="8"/>
      <c r="J196" s="8"/>
      <c r="K196" s="8"/>
      <c r="M196" s="4">
        <v>4</v>
      </c>
      <c r="N196" s="8">
        <f t="shared" si="15"/>
        <v>52000</v>
      </c>
      <c r="O196" s="47" cm="1">
        <f t="array" ref="O196">_xlfn.IFNA(YEAR(INDEX($G$5:$K$5,,MATCH(1,G196:K196,-1))),"")</f>
        <v>2027</v>
      </c>
      <c r="R196" s="8">
        <f t="shared" ref="R196:V205" si="22">IF($O196="",0,IF(MOD(YEAR(R$5)-$O196,$M196)=0,$N196,0))</f>
        <v>52000</v>
      </c>
      <c r="S196" s="8">
        <f t="shared" si="22"/>
        <v>0</v>
      </c>
      <c r="T196" s="8">
        <f t="shared" si="22"/>
        <v>0</v>
      </c>
      <c r="U196" s="8">
        <f t="shared" si="22"/>
        <v>0</v>
      </c>
      <c r="V196" s="8">
        <f t="shared" si="22"/>
        <v>52000</v>
      </c>
    </row>
    <row r="197" spans="1:22" x14ac:dyDescent="0.35">
      <c r="A197" s="61" t="s">
        <v>146</v>
      </c>
      <c r="B197" s="60">
        <v>2021</v>
      </c>
      <c r="C197" s="62" t="s">
        <v>212</v>
      </c>
      <c r="D197" s="3" t="s">
        <v>74</v>
      </c>
      <c r="E197" s="4" t="s">
        <v>95</v>
      </c>
      <c r="F197" s="4" t="s">
        <v>96</v>
      </c>
      <c r="G197" s="8">
        <v>45000</v>
      </c>
      <c r="H197" s="8"/>
      <c r="I197" s="8"/>
      <c r="J197" s="8"/>
      <c r="K197" s="8"/>
      <c r="M197" s="4">
        <v>4</v>
      </c>
      <c r="N197" s="8">
        <f t="shared" si="15"/>
        <v>45000</v>
      </c>
      <c r="O197" s="47" cm="1">
        <f t="array" ref="O197">_xlfn.IFNA(YEAR(INDEX($G$5:$K$5,,MATCH(1,G197:K197,-1))),"")</f>
        <v>2027</v>
      </c>
      <c r="R197" s="8">
        <f t="shared" si="22"/>
        <v>45000</v>
      </c>
      <c r="S197" s="8">
        <f t="shared" si="22"/>
        <v>0</v>
      </c>
      <c r="T197" s="8">
        <f t="shared" si="22"/>
        <v>0</v>
      </c>
      <c r="U197" s="8">
        <f t="shared" si="22"/>
        <v>0</v>
      </c>
      <c r="V197" s="8">
        <f t="shared" si="22"/>
        <v>45000</v>
      </c>
    </row>
    <row r="198" spans="1:22" x14ac:dyDescent="0.35">
      <c r="A198" s="61" t="s">
        <v>207</v>
      </c>
      <c r="B198" s="60">
        <v>2021</v>
      </c>
      <c r="C198" s="62" t="s">
        <v>213</v>
      </c>
      <c r="D198" s="3" t="s">
        <v>74</v>
      </c>
      <c r="E198" s="4" t="s">
        <v>95</v>
      </c>
      <c r="F198" s="4" t="s">
        <v>96</v>
      </c>
      <c r="G198" s="8"/>
      <c r="H198" s="23">
        <v>28000</v>
      </c>
      <c r="I198" s="8"/>
      <c r="J198" s="8"/>
      <c r="K198" s="8"/>
      <c r="M198" s="4">
        <v>4</v>
      </c>
      <c r="N198" s="8">
        <f t="shared" ref="N198:N261" si="23">MAX(G198:K198)</f>
        <v>28000</v>
      </c>
      <c r="O198" s="47" cm="1">
        <f t="array" ref="O198">_xlfn.IFNA(YEAR(INDEX($G$5:$K$5,,MATCH(1,G198:K198,-1))),"")</f>
        <v>2028</v>
      </c>
      <c r="R198" s="8">
        <f t="shared" si="22"/>
        <v>0</v>
      </c>
      <c r="S198" s="8">
        <f t="shared" si="22"/>
        <v>28000</v>
      </c>
      <c r="T198" s="8">
        <f t="shared" si="22"/>
        <v>0</v>
      </c>
      <c r="U198" s="8">
        <f t="shared" si="22"/>
        <v>0</v>
      </c>
      <c r="V198" s="8">
        <f t="shared" si="22"/>
        <v>0</v>
      </c>
    </row>
    <row r="199" spans="1:22" x14ac:dyDescent="0.35">
      <c r="A199" s="61" t="s">
        <v>146</v>
      </c>
      <c r="B199" s="60">
        <v>2022</v>
      </c>
      <c r="C199" s="62" t="s">
        <v>206</v>
      </c>
      <c r="D199" s="3" t="s">
        <v>74</v>
      </c>
      <c r="E199" s="4" t="s">
        <v>95</v>
      </c>
      <c r="F199" s="4" t="s">
        <v>96</v>
      </c>
      <c r="G199" s="8"/>
      <c r="H199" s="8">
        <v>65000</v>
      </c>
      <c r="I199" s="8"/>
      <c r="J199" s="8"/>
      <c r="K199" s="8"/>
      <c r="M199" s="4">
        <v>4</v>
      </c>
      <c r="N199" s="8">
        <f t="shared" si="23"/>
        <v>65000</v>
      </c>
      <c r="O199" s="47" cm="1">
        <f t="array" ref="O199">_xlfn.IFNA(YEAR(INDEX($G$5:$K$5,,MATCH(1,G199:K199,-1))),"")</f>
        <v>2028</v>
      </c>
      <c r="R199" s="8">
        <f t="shared" si="22"/>
        <v>0</v>
      </c>
      <c r="S199" s="8">
        <f t="shared" si="22"/>
        <v>65000</v>
      </c>
      <c r="T199" s="8">
        <f t="shared" si="22"/>
        <v>0</v>
      </c>
      <c r="U199" s="8">
        <f t="shared" si="22"/>
        <v>0</v>
      </c>
      <c r="V199" s="8">
        <f t="shared" si="22"/>
        <v>0</v>
      </c>
    </row>
    <row r="200" spans="1:22" x14ac:dyDescent="0.35">
      <c r="A200" s="61" t="s">
        <v>214</v>
      </c>
      <c r="B200" s="60">
        <v>2022</v>
      </c>
      <c r="C200" s="62" t="s">
        <v>215</v>
      </c>
      <c r="D200" s="3" t="s">
        <v>74</v>
      </c>
      <c r="E200" s="4" t="s">
        <v>20</v>
      </c>
      <c r="F200" s="4" t="s">
        <v>96</v>
      </c>
      <c r="G200" s="8"/>
      <c r="H200" s="8"/>
      <c r="I200" s="24">
        <v>130000</v>
      </c>
      <c r="J200" s="8"/>
      <c r="K200" s="8"/>
      <c r="M200" s="4">
        <v>4</v>
      </c>
      <c r="N200" s="8">
        <f t="shared" si="23"/>
        <v>130000</v>
      </c>
      <c r="O200" s="47" cm="1">
        <f t="array" ref="O200">_xlfn.IFNA(YEAR(INDEX($G$5:$K$5,,MATCH(1,G200:K200,-1))),"")</f>
        <v>2029</v>
      </c>
      <c r="R200" s="8">
        <f t="shared" si="22"/>
        <v>0</v>
      </c>
      <c r="S200" s="8">
        <f t="shared" si="22"/>
        <v>0</v>
      </c>
      <c r="T200" s="8">
        <f t="shared" si="22"/>
        <v>130000</v>
      </c>
      <c r="U200" s="8">
        <f t="shared" si="22"/>
        <v>0</v>
      </c>
      <c r="V200" s="8">
        <f t="shared" si="22"/>
        <v>0</v>
      </c>
    </row>
    <row r="201" spans="1:22" x14ac:dyDescent="0.35">
      <c r="A201" s="64" t="s">
        <v>203</v>
      </c>
      <c r="B201" s="63">
        <v>2022</v>
      </c>
      <c r="C201" s="65" t="s">
        <v>216</v>
      </c>
      <c r="D201" s="3" t="s">
        <v>74</v>
      </c>
      <c r="E201" s="4" t="s">
        <v>95</v>
      </c>
      <c r="F201" s="4" t="s">
        <v>96</v>
      </c>
      <c r="G201" s="8"/>
      <c r="H201" s="8">
        <v>55000</v>
      </c>
      <c r="I201" s="8"/>
      <c r="J201" s="8"/>
      <c r="K201" s="8"/>
      <c r="M201" s="4">
        <v>4</v>
      </c>
      <c r="N201" s="8">
        <f t="shared" si="23"/>
        <v>55000</v>
      </c>
      <c r="O201" s="47" cm="1">
        <f t="array" ref="O201">_xlfn.IFNA(YEAR(INDEX($G$5:$K$5,,MATCH(1,G201:K201,-1))),"")</f>
        <v>2028</v>
      </c>
      <c r="R201" s="8">
        <f t="shared" si="22"/>
        <v>0</v>
      </c>
      <c r="S201" s="8">
        <f t="shared" si="22"/>
        <v>55000</v>
      </c>
      <c r="T201" s="8">
        <f t="shared" si="22"/>
        <v>0</v>
      </c>
      <c r="U201" s="8">
        <f t="shared" si="22"/>
        <v>0</v>
      </c>
      <c r="V201" s="8">
        <f t="shared" si="22"/>
        <v>0</v>
      </c>
    </row>
    <row r="202" spans="1:22" x14ac:dyDescent="0.35">
      <c r="A202" s="25" t="s">
        <v>217</v>
      </c>
      <c r="B202" s="26">
        <v>2014</v>
      </c>
      <c r="C202" s="25" t="s">
        <v>218</v>
      </c>
      <c r="D202" s="27" t="s">
        <v>99</v>
      </c>
      <c r="E202" s="4" t="s">
        <v>95</v>
      </c>
      <c r="F202" s="4" t="s">
        <v>219</v>
      </c>
      <c r="G202" s="8"/>
      <c r="H202" s="8"/>
      <c r="I202" s="8"/>
      <c r="J202" s="8"/>
      <c r="K202" s="28">
        <v>65000</v>
      </c>
      <c r="M202" s="4">
        <v>6</v>
      </c>
      <c r="N202" s="8">
        <f t="shared" si="23"/>
        <v>65000</v>
      </c>
      <c r="O202" s="47" cm="1">
        <f t="array" ref="O202">_xlfn.IFNA(YEAR(INDEX($G$5:$K$5,,MATCH(1,G202:K202,-1))),"")</f>
        <v>2031</v>
      </c>
      <c r="R202" s="8">
        <f t="shared" si="22"/>
        <v>0</v>
      </c>
      <c r="S202" s="8">
        <f t="shared" si="22"/>
        <v>0</v>
      </c>
      <c r="T202" s="8">
        <f t="shared" si="22"/>
        <v>0</v>
      </c>
      <c r="U202" s="8">
        <f t="shared" si="22"/>
        <v>0</v>
      </c>
      <c r="V202" s="8">
        <f t="shared" si="22"/>
        <v>65000</v>
      </c>
    </row>
    <row r="203" spans="1:22" x14ac:dyDescent="0.35">
      <c r="A203" s="25" t="s">
        <v>217</v>
      </c>
      <c r="B203" s="26">
        <v>2015</v>
      </c>
      <c r="C203" s="25" t="s">
        <v>220</v>
      </c>
      <c r="D203" s="27" t="s">
        <v>99</v>
      </c>
      <c r="E203" s="4" t="s">
        <v>95</v>
      </c>
      <c r="F203" s="4" t="s">
        <v>219</v>
      </c>
      <c r="G203" s="8"/>
      <c r="H203" s="8"/>
      <c r="I203" s="8"/>
      <c r="J203" s="8">
        <v>65000</v>
      </c>
      <c r="K203" s="8"/>
      <c r="M203" s="4">
        <v>6</v>
      </c>
      <c r="N203" s="8">
        <f t="shared" si="23"/>
        <v>65000</v>
      </c>
      <c r="O203" s="47" cm="1">
        <f t="array" ref="O203">_xlfn.IFNA(YEAR(INDEX($G$5:$K$5,,MATCH(1,G203:K203,-1))),"")</f>
        <v>2030</v>
      </c>
      <c r="R203" s="8">
        <f t="shared" si="22"/>
        <v>0</v>
      </c>
      <c r="S203" s="8">
        <f t="shared" si="22"/>
        <v>0</v>
      </c>
      <c r="T203" s="8">
        <f t="shared" si="22"/>
        <v>0</v>
      </c>
      <c r="U203" s="8">
        <f t="shared" si="22"/>
        <v>65000</v>
      </c>
      <c r="V203" s="8">
        <f t="shared" si="22"/>
        <v>0</v>
      </c>
    </row>
    <row r="204" spans="1:22" x14ac:dyDescent="0.35">
      <c r="A204" s="25" t="s">
        <v>117</v>
      </c>
      <c r="B204" s="26">
        <v>2016</v>
      </c>
      <c r="C204" s="25" t="s">
        <v>221</v>
      </c>
      <c r="D204" s="27" t="s">
        <v>99</v>
      </c>
      <c r="E204" s="4" t="s">
        <v>95</v>
      </c>
      <c r="F204" s="4" t="s">
        <v>219</v>
      </c>
      <c r="G204" s="8"/>
      <c r="H204" s="8"/>
      <c r="I204" s="8"/>
      <c r="J204" s="8">
        <v>65000</v>
      </c>
      <c r="K204" s="8"/>
      <c r="M204" s="4">
        <v>6</v>
      </c>
      <c r="N204" s="8">
        <f t="shared" si="23"/>
        <v>65000</v>
      </c>
      <c r="O204" s="47" cm="1">
        <f t="array" ref="O204">_xlfn.IFNA(YEAR(INDEX($G$5:$K$5,,MATCH(1,G204:K204,-1))),"")</f>
        <v>2030</v>
      </c>
      <c r="R204" s="8">
        <f t="shared" si="22"/>
        <v>0</v>
      </c>
      <c r="S204" s="8">
        <f t="shared" si="22"/>
        <v>0</v>
      </c>
      <c r="T204" s="8">
        <f t="shared" si="22"/>
        <v>0</v>
      </c>
      <c r="U204" s="8">
        <f t="shared" si="22"/>
        <v>65000</v>
      </c>
      <c r="V204" s="8">
        <f t="shared" si="22"/>
        <v>0</v>
      </c>
    </row>
    <row r="205" spans="1:22" x14ac:dyDescent="0.35">
      <c r="A205" s="25" t="s">
        <v>117</v>
      </c>
      <c r="B205" s="26">
        <v>2016</v>
      </c>
      <c r="C205" s="25" t="s">
        <v>221</v>
      </c>
      <c r="D205" s="27" t="s">
        <v>99</v>
      </c>
      <c r="E205" s="4" t="s">
        <v>95</v>
      </c>
      <c r="F205" s="4" t="s">
        <v>219</v>
      </c>
      <c r="G205" s="8"/>
      <c r="H205" s="8"/>
      <c r="I205" s="8"/>
      <c r="J205" s="8">
        <v>55000</v>
      </c>
      <c r="K205" s="8"/>
      <c r="M205" s="4">
        <v>6</v>
      </c>
      <c r="N205" s="8">
        <f t="shared" si="23"/>
        <v>55000</v>
      </c>
      <c r="O205" s="47" cm="1">
        <f t="array" ref="O205">_xlfn.IFNA(YEAR(INDEX($G$5:$K$5,,MATCH(1,G205:K205,-1))),"")</f>
        <v>2030</v>
      </c>
      <c r="R205" s="8">
        <f t="shared" si="22"/>
        <v>0</v>
      </c>
      <c r="S205" s="8">
        <f t="shared" si="22"/>
        <v>0</v>
      </c>
      <c r="T205" s="8">
        <f t="shared" si="22"/>
        <v>0</v>
      </c>
      <c r="U205" s="8">
        <f t="shared" si="22"/>
        <v>55000</v>
      </c>
      <c r="V205" s="8">
        <f t="shared" si="22"/>
        <v>0</v>
      </c>
    </row>
    <row r="206" spans="1:22" x14ac:dyDescent="0.35">
      <c r="A206" s="25" t="s">
        <v>117</v>
      </c>
      <c r="B206" s="26">
        <v>2016</v>
      </c>
      <c r="C206" s="25" t="s">
        <v>221</v>
      </c>
      <c r="D206" s="27" t="s">
        <v>99</v>
      </c>
      <c r="E206" s="4" t="s">
        <v>95</v>
      </c>
      <c r="F206" s="4" t="s">
        <v>219</v>
      </c>
      <c r="G206" s="8"/>
      <c r="H206" s="8"/>
      <c r="I206" s="8"/>
      <c r="J206" s="8">
        <v>55000</v>
      </c>
      <c r="K206" s="8"/>
      <c r="M206" s="4">
        <v>6</v>
      </c>
      <c r="N206" s="8">
        <f t="shared" si="23"/>
        <v>55000</v>
      </c>
      <c r="O206" s="47" cm="1">
        <f t="array" ref="O206">_xlfn.IFNA(YEAR(INDEX($G$5:$K$5,,MATCH(1,G206:K206,-1))),"")</f>
        <v>2030</v>
      </c>
      <c r="R206" s="8">
        <f t="shared" ref="R206:V215" si="24">IF($O206="",0,IF(MOD(YEAR(R$5)-$O206,$M206)=0,$N206,0))</f>
        <v>0</v>
      </c>
      <c r="S206" s="8">
        <f t="shared" si="24"/>
        <v>0</v>
      </c>
      <c r="T206" s="8">
        <f t="shared" si="24"/>
        <v>0</v>
      </c>
      <c r="U206" s="8">
        <f t="shared" si="24"/>
        <v>55000</v>
      </c>
      <c r="V206" s="8">
        <f t="shared" si="24"/>
        <v>0</v>
      </c>
    </row>
    <row r="207" spans="1:22" x14ac:dyDescent="0.35">
      <c r="A207" s="25" t="s">
        <v>117</v>
      </c>
      <c r="B207" s="26">
        <v>2016</v>
      </c>
      <c r="C207" s="25" t="s">
        <v>222</v>
      </c>
      <c r="D207" s="27" t="s">
        <v>74</v>
      </c>
      <c r="E207" s="4" t="s">
        <v>95</v>
      </c>
      <c r="F207" s="4" t="s">
        <v>219</v>
      </c>
      <c r="G207" s="8"/>
      <c r="H207" s="8"/>
      <c r="I207" s="8"/>
      <c r="J207" s="8">
        <v>45000</v>
      </c>
      <c r="K207" s="8"/>
      <c r="M207" s="4">
        <v>4</v>
      </c>
      <c r="N207" s="8">
        <f t="shared" si="23"/>
        <v>45000</v>
      </c>
      <c r="O207" s="47" cm="1">
        <f t="array" ref="O207">_xlfn.IFNA(YEAR(INDEX($G$5:$K$5,,MATCH(1,G207:K207,-1))),"")</f>
        <v>2030</v>
      </c>
      <c r="R207" s="8">
        <f t="shared" si="24"/>
        <v>0</v>
      </c>
      <c r="S207" s="8">
        <f t="shared" si="24"/>
        <v>0</v>
      </c>
      <c r="T207" s="8">
        <f t="shared" si="24"/>
        <v>0</v>
      </c>
      <c r="U207" s="8">
        <f t="shared" si="24"/>
        <v>45000</v>
      </c>
      <c r="V207" s="8">
        <f t="shared" si="24"/>
        <v>0</v>
      </c>
    </row>
    <row r="208" spans="1:22" x14ac:dyDescent="0.35">
      <c r="A208" s="25" t="s">
        <v>223</v>
      </c>
      <c r="B208" s="26">
        <v>2010</v>
      </c>
      <c r="C208" s="25" t="s">
        <v>224</v>
      </c>
      <c r="D208" s="27" t="s">
        <v>74</v>
      </c>
      <c r="E208" s="4" t="s">
        <v>95</v>
      </c>
      <c r="F208" s="4" t="s">
        <v>219</v>
      </c>
      <c r="G208" s="8"/>
      <c r="H208" s="8"/>
      <c r="I208" s="8"/>
      <c r="J208" s="8">
        <v>45000</v>
      </c>
      <c r="K208" s="8"/>
      <c r="M208" s="4">
        <v>4</v>
      </c>
      <c r="N208" s="8">
        <f t="shared" si="23"/>
        <v>45000</v>
      </c>
      <c r="O208" s="47" cm="1">
        <f t="array" ref="O208">_xlfn.IFNA(YEAR(INDEX($G$5:$K$5,,MATCH(1,G208:K208,-1))),"")</f>
        <v>2030</v>
      </c>
      <c r="R208" s="8">
        <f t="shared" si="24"/>
        <v>0</v>
      </c>
      <c r="S208" s="8">
        <f t="shared" si="24"/>
        <v>0</v>
      </c>
      <c r="T208" s="8">
        <f t="shared" si="24"/>
        <v>0</v>
      </c>
      <c r="U208" s="8">
        <f t="shared" si="24"/>
        <v>45000</v>
      </c>
      <c r="V208" s="8">
        <f t="shared" si="24"/>
        <v>0</v>
      </c>
    </row>
    <row r="209" spans="1:22" x14ac:dyDescent="0.35">
      <c r="A209" s="25" t="s">
        <v>117</v>
      </c>
      <c r="B209" s="26">
        <v>2016</v>
      </c>
      <c r="C209" s="25" t="s">
        <v>225</v>
      </c>
      <c r="D209" s="27" t="s">
        <v>99</v>
      </c>
      <c r="E209" s="4" t="s">
        <v>95</v>
      </c>
      <c r="F209" s="4" t="s">
        <v>219</v>
      </c>
      <c r="G209" s="8"/>
      <c r="H209" s="8"/>
      <c r="I209" s="8"/>
      <c r="J209" s="8">
        <v>58000</v>
      </c>
      <c r="K209" s="8"/>
      <c r="M209" s="4">
        <v>6</v>
      </c>
      <c r="N209" s="8">
        <f t="shared" si="23"/>
        <v>58000</v>
      </c>
      <c r="O209" s="47" cm="1">
        <f t="array" ref="O209">_xlfn.IFNA(YEAR(INDEX($G$5:$K$5,,MATCH(1,G209:K209,-1))),"")</f>
        <v>2030</v>
      </c>
      <c r="R209" s="8">
        <f t="shared" si="24"/>
        <v>0</v>
      </c>
      <c r="S209" s="8">
        <f t="shared" si="24"/>
        <v>0</v>
      </c>
      <c r="T209" s="8">
        <f t="shared" si="24"/>
        <v>0</v>
      </c>
      <c r="U209" s="8">
        <f t="shared" si="24"/>
        <v>58000</v>
      </c>
      <c r="V209" s="8">
        <f t="shared" si="24"/>
        <v>0</v>
      </c>
    </row>
    <row r="210" spans="1:22" x14ac:dyDescent="0.35">
      <c r="A210" s="25" t="s">
        <v>117</v>
      </c>
      <c r="B210" s="26">
        <v>2012</v>
      </c>
      <c r="C210" s="25" t="s">
        <v>225</v>
      </c>
      <c r="D210" s="27" t="s">
        <v>99</v>
      </c>
      <c r="E210" s="4" t="s">
        <v>95</v>
      </c>
      <c r="F210" s="4" t="s">
        <v>219</v>
      </c>
      <c r="G210" s="8"/>
      <c r="H210" s="8"/>
      <c r="I210" s="8"/>
      <c r="J210" s="8">
        <v>58000</v>
      </c>
      <c r="K210" s="8"/>
      <c r="M210" s="4">
        <v>6</v>
      </c>
      <c r="N210" s="8">
        <f t="shared" si="23"/>
        <v>58000</v>
      </c>
      <c r="O210" s="47" cm="1">
        <f t="array" ref="O210">_xlfn.IFNA(YEAR(INDEX($G$5:$K$5,,MATCH(1,G210:K210,-1))),"")</f>
        <v>2030</v>
      </c>
      <c r="R210" s="8">
        <f t="shared" si="24"/>
        <v>0</v>
      </c>
      <c r="S210" s="8">
        <f t="shared" si="24"/>
        <v>0</v>
      </c>
      <c r="T210" s="8">
        <f t="shared" si="24"/>
        <v>0</v>
      </c>
      <c r="U210" s="8">
        <f t="shared" si="24"/>
        <v>58000</v>
      </c>
      <c r="V210" s="8">
        <f t="shared" si="24"/>
        <v>0</v>
      </c>
    </row>
    <row r="211" spans="1:22" x14ac:dyDescent="0.35">
      <c r="A211" s="25" t="s">
        <v>117</v>
      </c>
      <c r="B211" s="26">
        <v>2012</v>
      </c>
      <c r="C211" s="25" t="s">
        <v>225</v>
      </c>
      <c r="D211" s="27" t="s">
        <v>99</v>
      </c>
      <c r="E211" s="4" t="s">
        <v>95</v>
      </c>
      <c r="F211" s="4" t="s">
        <v>219</v>
      </c>
      <c r="G211" s="8"/>
      <c r="H211" s="8"/>
      <c r="I211" s="8"/>
      <c r="J211" s="8">
        <v>58000</v>
      </c>
      <c r="K211" s="8"/>
      <c r="M211" s="4">
        <v>6</v>
      </c>
      <c r="N211" s="8">
        <f t="shared" si="23"/>
        <v>58000</v>
      </c>
      <c r="O211" s="47" cm="1">
        <f t="array" ref="O211">_xlfn.IFNA(YEAR(INDEX($G$5:$K$5,,MATCH(1,G211:K211,-1))),"")</f>
        <v>2030</v>
      </c>
      <c r="R211" s="8">
        <f t="shared" si="24"/>
        <v>0</v>
      </c>
      <c r="S211" s="8">
        <f t="shared" si="24"/>
        <v>0</v>
      </c>
      <c r="T211" s="8">
        <f t="shared" si="24"/>
        <v>0</v>
      </c>
      <c r="U211" s="8">
        <f t="shared" si="24"/>
        <v>58000</v>
      </c>
      <c r="V211" s="8">
        <f t="shared" si="24"/>
        <v>0</v>
      </c>
    </row>
    <row r="212" spans="1:22" x14ac:dyDescent="0.35">
      <c r="A212" s="25" t="s">
        <v>217</v>
      </c>
      <c r="B212" s="26">
        <v>2015</v>
      </c>
      <c r="C212" s="25" t="s">
        <v>226</v>
      </c>
      <c r="D212" s="27" t="s">
        <v>99</v>
      </c>
      <c r="E212" s="4" t="s">
        <v>95</v>
      </c>
      <c r="F212" s="4" t="s">
        <v>219</v>
      </c>
      <c r="G212" s="8"/>
      <c r="H212" s="8"/>
      <c r="I212" s="8"/>
      <c r="J212" s="8">
        <v>65000</v>
      </c>
      <c r="K212" s="8"/>
      <c r="M212" s="4">
        <v>6</v>
      </c>
      <c r="N212" s="8">
        <f t="shared" si="23"/>
        <v>65000</v>
      </c>
      <c r="O212" s="47" cm="1">
        <f t="array" ref="O212">_xlfn.IFNA(YEAR(INDEX($G$5:$K$5,,MATCH(1,G212:K212,-1))),"")</f>
        <v>2030</v>
      </c>
      <c r="R212" s="8">
        <f t="shared" si="24"/>
        <v>0</v>
      </c>
      <c r="S212" s="8">
        <f t="shared" si="24"/>
        <v>0</v>
      </c>
      <c r="T212" s="8">
        <f t="shared" si="24"/>
        <v>0</v>
      </c>
      <c r="U212" s="8">
        <f t="shared" si="24"/>
        <v>65000</v>
      </c>
      <c r="V212" s="8">
        <f t="shared" si="24"/>
        <v>0</v>
      </c>
    </row>
    <row r="213" spans="1:22" x14ac:dyDescent="0.35">
      <c r="A213" s="25" t="s">
        <v>227</v>
      </c>
      <c r="B213" s="26">
        <v>2008</v>
      </c>
      <c r="C213" s="25" t="s">
        <v>228</v>
      </c>
      <c r="D213" s="27" t="s">
        <v>99</v>
      </c>
      <c r="E213" s="4" t="s">
        <v>95</v>
      </c>
      <c r="F213" s="4" t="s">
        <v>219</v>
      </c>
      <c r="G213" s="8"/>
      <c r="H213" s="8"/>
      <c r="I213" s="8">
        <v>65000</v>
      </c>
      <c r="J213" s="8"/>
      <c r="K213" s="8"/>
      <c r="M213" s="4">
        <v>10</v>
      </c>
      <c r="N213" s="8">
        <f t="shared" si="23"/>
        <v>65000</v>
      </c>
      <c r="O213" s="47" cm="1">
        <f t="array" ref="O213">_xlfn.IFNA(YEAR(INDEX($G$5:$K$5,,MATCH(1,G213:K213,-1))),"")</f>
        <v>2029</v>
      </c>
      <c r="R213" s="8">
        <f t="shared" si="24"/>
        <v>0</v>
      </c>
      <c r="S213" s="8">
        <f t="shared" si="24"/>
        <v>0</v>
      </c>
      <c r="T213" s="8">
        <f t="shared" si="24"/>
        <v>65000</v>
      </c>
      <c r="U213" s="8">
        <f t="shared" si="24"/>
        <v>0</v>
      </c>
      <c r="V213" s="8">
        <f t="shared" si="24"/>
        <v>0</v>
      </c>
    </row>
    <row r="214" spans="1:22" x14ac:dyDescent="0.35">
      <c r="A214" s="25" t="s">
        <v>93</v>
      </c>
      <c r="B214" s="26">
        <v>2013</v>
      </c>
      <c r="C214" s="25" t="s">
        <v>229</v>
      </c>
      <c r="D214" s="27" t="s">
        <v>72</v>
      </c>
      <c r="E214" s="4" t="s">
        <v>95</v>
      </c>
      <c r="F214" s="4" t="s">
        <v>219</v>
      </c>
      <c r="G214" s="8"/>
      <c r="H214" s="8"/>
      <c r="I214" s="8"/>
      <c r="J214" s="8"/>
      <c r="K214" s="28">
        <v>200000</v>
      </c>
      <c r="M214" s="4">
        <v>10</v>
      </c>
      <c r="N214" s="8">
        <f t="shared" si="23"/>
        <v>200000</v>
      </c>
      <c r="O214" s="47" cm="1">
        <f t="array" ref="O214">_xlfn.IFNA(YEAR(INDEX($G$5:$K$5,,MATCH(1,G214:K214,-1))),"")</f>
        <v>2031</v>
      </c>
      <c r="R214" s="8">
        <f t="shared" si="24"/>
        <v>0</v>
      </c>
      <c r="S214" s="8">
        <f t="shared" si="24"/>
        <v>0</v>
      </c>
      <c r="T214" s="8">
        <f t="shared" si="24"/>
        <v>0</v>
      </c>
      <c r="U214" s="8">
        <f t="shared" si="24"/>
        <v>0</v>
      </c>
      <c r="V214" s="8">
        <f t="shared" si="24"/>
        <v>200000</v>
      </c>
    </row>
    <row r="215" spans="1:22" x14ac:dyDescent="0.35">
      <c r="A215" s="25" t="s">
        <v>230</v>
      </c>
      <c r="B215" s="26">
        <v>2014</v>
      </c>
      <c r="C215" s="25" t="s">
        <v>231</v>
      </c>
      <c r="D215" s="27" t="s">
        <v>99</v>
      </c>
      <c r="E215" s="4" t="s">
        <v>95</v>
      </c>
      <c r="F215" s="4" t="s">
        <v>219</v>
      </c>
      <c r="G215" s="8"/>
      <c r="H215" s="8"/>
      <c r="I215" s="8"/>
      <c r="J215" s="8"/>
      <c r="K215" s="28">
        <v>130000</v>
      </c>
      <c r="M215" s="4">
        <v>8</v>
      </c>
      <c r="N215" s="8">
        <f t="shared" si="23"/>
        <v>130000</v>
      </c>
      <c r="O215" s="47" cm="1">
        <f t="array" ref="O215">_xlfn.IFNA(YEAR(INDEX($G$5:$K$5,,MATCH(1,G215:K215,-1))),"")</f>
        <v>2031</v>
      </c>
      <c r="R215" s="8">
        <f t="shared" si="24"/>
        <v>0</v>
      </c>
      <c r="S215" s="8">
        <f t="shared" si="24"/>
        <v>0</v>
      </c>
      <c r="T215" s="8">
        <f t="shared" si="24"/>
        <v>0</v>
      </c>
      <c r="U215" s="8">
        <f t="shared" si="24"/>
        <v>0</v>
      </c>
      <c r="V215" s="8">
        <f t="shared" si="24"/>
        <v>130000</v>
      </c>
    </row>
    <row r="216" spans="1:22" x14ac:dyDescent="0.35">
      <c r="A216" s="25" t="s">
        <v>230</v>
      </c>
      <c r="B216" s="26">
        <v>2014</v>
      </c>
      <c r="C216" s="25" t="s">
        <v>232</v>
      </c>
      <c r="D216" s="27" t="s">
        <v>99</v>
      </c>
      <c r="E216" s="4" t="s">
        <v>95</v>
      </c>
      <c r="F216" s="4" t="s">
        <v>219</v>
      </c>
      <c r="G216" s="8"/>
      <c r="H216" s="8"/>
      <c r="I216" s="8"/>
      <c r="J216" s="8"/>
      <c r="K216" s="8">
        <v>92000</v>
      </c>
      <c r="M216" s="4">
        <v>6</v>
      </c>
      <c r="N216" s="8">
        <f t="shared" si="23"/>
        <v>92000</v>
      </c>
      <c r="O216" s="47" cm="1">
        <f t="array" ref="O216">_xlfn.IFNA(YEAR(INDEX($G$5:$K$5,,MATCH(1,G216:K216,-1))),"")</f>
        <v>2031</v>
      </c>
      <c r="R216" s="8">
        <f t="shared" ref="R216:V225" si="25">IF($O216="",0,IF(MOD(YEAR(R$5)-$O216,$M216)=0,$N216,0))</f>
        <v>0</v>
      </c>
      <c r="S216" s="8">
        <f t="shared" si="25"/>
        <v>0</v>
      </c>
      <c r="T216" s="8">
        <f t="shared" si="25"/>
        <v>0</v>
      </c>
      <c r="U216" s="8">
        <f t="shared" si="25"/>
        <v>0</v>
      </c>
      <c r="V216" s="8">
        <f t="shared" si="25"/>
        <v>92000</v>
      </c>
    </row>
    <row r="217" spans="1:22" x14ac:dyDescent="0.35">
      <c r="A217" s="25" t="s">
        <v>230</v>
      </c>
      <c r="B217" s="26">
        <v>2014</v>
      </c>
      <c r="C217" s="25" t="s">
        <v>232</v>
      </c>
      <c r="D217" s="27" t="s">
        <v>99</v>
      </c>
      <c r="E217" s="4" t="s">
        <v>95</v>
      </c>
      <c r="F217" s="4" t="s">
        <v>219</v>
      </c>
      <c r="G217" s="8"/>
      <c r="H217" s="8"/>
      <c r="I217" s="8"/>
      <c r="J217" s="8"/>
      <c r="K217" s="8">
        <v>92000</v>
      </c>
      <c r="M217" s="4">
        <v>6</v>
      </c>
      <c r="N217" s="8">
        <f t="shared" si="23"/>
        <v>92000</v>
      </c>
      <c r="O217" s="47" cm="1">
        <f t="array" ref="O217">_xlfn.IFNA(YEAR(INDEX($G$5:$K$5,,MATCH(1,G217:K217,-1))),"")</f>
        <v>2031</v>
      </c>
      <c r="R217" s="8">
        <f t="shared" si="25"/>
        <v>0</v>
      </c>
      <c r="S217" s="8">
        <f t="shared" si="25"/>
        <v>0</v>
      </c>
      <c r="T217" s="8">
        <f t="shared" si="25"/>
        <v>0</v>
      </c>
      <c r="U217" s="8">
        <f t="shared" si="25"/>
        <v>0</v>
      </c>
      <c r="V217" s="8">
        <f t="shared" si="25"/>
        <v>92000</v>
      </c>
    </row>
    <row r="218" spans="1:22" x14ac:dyDescent="0.35">
      <c r="A218" s="25" t="s">
        <v>230</v>
      </c>
      <c r="B218" s="26">
        <v>2014</v>
      </c>
      <c r="C218" s="25" t="s">
        <v>232</v>
      </c>
      <c r="D218" s="27" t="s">
        <v>99</v>
      </c>
      <c r="E218" s="4" t="s">
        <v>95</v>
      </c>
      <c r="F218" s="4" t="s">
        <v>219</v>
      </c>
      <c r="G218" s="8"/>
      <c r="H218" s="8"/>
      <c r="I218" s="8"/>
      <c r="J218" s="8"/>
      <c r="K218" s="8">
        <v>92000</v>
      </c>
      <c r="M218" s="4">
        <v>6</v>
      </c>
      <c r="N218" s="8">
        <f t="shared" si="23"/>
        <v>92000</v>
      </c>
      <c r="O218" s="47" cm="1">
        <f t="array" ref="O218">_xlfn.IFNA(YEAR(INDEX($G$5:$K$5,,MATCH(1,G218:K218,-1))),"")</f>
        <v>2031</v>
      </c>
      <c r="R218" s="8">
        <f t="shared" si="25"/>
        <v>0</v>
      </c>
      <c r="S218" s="8">
        <f t="shared" si="25"/>
        <v>0</v>
      </c>
      <c r="T218" s="8">
        <f t="shared" si="25"/>
        <v>0</v>
      </c>
      <c r="U218" s="8">
        <f t="shared" si="25"/>
        <v>0</v>
      </c>
      <c r="V218" s="8">
        <f t="shared" si="25"/>
        <v>92000</v>
      </c>
    </row>
    <row r="219" spans="1:22" x14ac:dyDescent="0.35">
      <c r="A219" s="25" t="s">
        <v>230</v>
      </c>
      <c r="B219" s="26">
        <v>2015</v>
      </c>
      <c r="C219" s="25" t="s">
        <v>232</v>
      </c>
      <c r="D219" s="27" t="s">
        <v>99</v>
      </c>
      <c r="E219" s="4" t="s">
        <v>95</v>
      </c>
      <c r="F219" s="4" t="s">
        <v>219</v>
      </c>
      <c r="G219" s="8"/>
      <c r="H219" s="8"/>
      <c r="I219" s="8"/>
      <c r="J219" s="8"/>
      <c r="K219" s="8">
        <v>92000</v>
      </c>
      <c r="M219" s="4">
        <v>6</v>
      </c>
      <c r="N219" s="8">
        <f t="shared" si="23"/>
        <v>92000</v>
      </c>
      <c r="O219" s="47" cm="1">
        <f t="array" ref="O219">_xlfn.IFNA(YEAR(INDEX($G$5:$K$5,,MATCH(1,G219:K219,-1))),"")</f>
        <v>2031</v>
      </c>
      <c r="R219" s="8">
        <f t="shared" si="25"/>
        <v>0</v>
      </c>
      <c r="S219" s="8">
        <f t="shared" si="25"/>
        <v>0</v>
      </c>
      <c r="T219" s="8">
        <f t="shared" si="25"/>
        <v>0</v>
      </c>
      <c r="U219" s="8">
        <f t="shared" si="25"/>
        <v>0</v>
      </c>
      <c r="V219" s="8">
        <f t="shared" si="25"/>
        <v>92000</v>
      </c>
    </row>
    <row r="220" spans="1:22" x14ac:dyDescent="0.35">
      <c r="A220" s="25" t="s">
        <v>230</v>
      </c>
      <c r="B220" s="26">
        <v>2015</v>
      </c>
      <c r="C220" s="25" t="s">
        <v>232</v>
      </c>
      <c r="D220" s="27" t="s">
        <v>99</v>
      </c>
      <c r="E220" s="4" t="s">
        <v>95</v>
      </c>
      <c r="F220" s="4" t="s">
        <v>219</v>
      </c>
      <c r="G220" s="8"/>
      <c r="H220" s="8"/>
      <c r="I220" s="8"/>
      <c r="J220" s="8"/>
      <c r="K220" s="8">
        <v>92000</v>
      </c>
      <c r="M220" s="4">
        <v>6</v>
      </c>
      <c r="N220" s="8">
        <f t="shared" si="23"/>
        <v>92000</v>
      </c>
      <c r="O220" s="47" cm="1">
        <f t="array" ref="O220">_xlfn.IFNA(YEAR(INDEX($G$5:$K$5,,MATCH(1,G220:K220,-1))),"")</f>
        <v>2031</v>
      </c>
      <c r="R220" s="8">
        <f t="shared" si="25"/>
        <v>0</v>
      </c>
      <c r="S220" s="8">
        <f t="shared" si="25"/>
        <v>0</v>
      </c>
      <c r="T220" s="8">
        <f t="shared" si="25"/>
        <v>0</v>
      </c>
      <c r="U220" s="8">
        <f t="shared" si="25"/>
        <v>0</v>
      </c>
      <c r="V220" s="8">
        <f t="shared" si="25"/>
        <v>92000</v>
      </c>
    </row>
    <row r="221" spans="1:22" x14ac:dyDescent="0.35">
      <c r="A221" s="25" t="s">
        <v>230</v>
      </c>
      <c r="B221" s="26">
        <v>2015</v>
      </c>
      <c r="C221" s="25" t="s">
        <v>232</v>
      </c>
      <c r="D221" s="27" t="s">
        <v>99</v>
      </c>
      <c r="E221" s="4" t="s">
        <v>95</v>
      </c>
      <c r="F221" s="4" t="s">
        <v>219</v>
      </c>
      <c r="G221" s="8"/>
      <c r="H221" s="8"/>
      <c r="I221" s="8"/>
      <c r="J221" s="8"/>
      <c r="K221" s="8">
        <v>92000</v>
      </c>
      <c r="M221" s="4">
        <v>6</v>
      </c>
      <c r="N221" s="8">
        <f t="shared" si="23"/>
        <v>92000</v>
      </c>
      <c r="O221" s="47" cm="1">
        <f t="array" ref="O221">_xlfn.IFNA(YEAR(INDEX($G$5:$K$5,,MATCH(1,G221:K221,-1))),"")</f>
        <v>2031</v>
      </c>
      <c r="R221" s="8">
        <f t="shared" si="25"/>
        <v>0</v>
      </c>
      <c r="S221" s="8">
        <f t="shared" si="25"/>
        <v>0</v>
      </c>
      <c r="T221" s="8">
        <f t="shared" si="25"/>
        <v>0</v>
      </c>
      <c r="U221" s="8">
        <f t="shared" si="25"/>
        <v>0</v>
      </c>
      <c r="V221" s="8">
        <f t="shared" si="25"/>
        <v>92000</v>
      </c>
    </row>
    <row r="222" spans="1:22" x14ac:dyDescent="0.35">
      <c r="A222" s="25" t="s">
        <v>230</v>
      </c>
      <c r="B222" s="26">
        <v>2014</v>
      </c>
      <c r="C222" s="25" t="s">
        <v>232</v>
      </c>
      <c r="D222" s="27" t="s">
        <v>99</v>
      </c>
      <c r="E222" s="4" t="s">
        <v>95</v>
      </c>
      <c r="F222" s="4" t="s">
        <v>219</v>
      </c>
      <c r="G222" s="8"/>
      <c r="H222" s="8"/>
      <c r="I222" s="8"/>
      <c r="J222" s="8"/>
      <c r="K222" s="8">
        <v>92000</v>
      </c>
      <c r="M222" s="4">
        <v>6</v>
      </c>
      <c r="N222" s="8">
        <f t="shared" si="23"/>
        <v>92000</v>
      </c>
      <c r="O222" s="47" cm="1">
        <f t="array" ref="O222">_xlfn.IFNA(YEAR(INDEX($G$5:$K$5,,MATCH(1,G222:K222,-1))),"")</f>
        <v>2031</v>
      </c>
      <c r="R222" s="8">
        <f t="shared" si="25"/>
        <v>0</v>
      </c>
      <c r="S222" s="8">
        <f t="shared" si="25"/>
        <v>0</v>
      </c>
      <c r="T222" s="8">
        <f t="shared" si="25"/>
        <v>0</v>
      </c>
      <c r="U222" s="8">
        <f t="shared" si="25"/>
        <v>0</v>
      </c>
      <c r="V222" s="8">
        <f t="shared" si="25"/>
        <v>92000</v>
      </c>
    </row>
    <row r="223" spans="1:22" x14ac:dyDescent="0.35">
      <c r="A223" s="25" t="s">
        <v>93</v>
      </c>
      <c r="B223" s="26">
        <v>2013</v>
      </c>
      <c r="C223" s="25" t="s">
        <v>233</v>
      </c>
      <c r="D223" s="27" t="s">
        <v>22</v>
      </c>
      <c r="E223" s="4" t="s">
        <v>95</v>
      </c>
      <c r="F223" s="4" t="s">
        <v>219</v>
      </c>
      <c r="G223" s="8"/>
      <c r="H223" s="8"/>
      <c r="I223" s="8">
        <v>420000</v>
      </c>
      <c r="J223" s="8"/>
      <c r="K223" s="8"/>
      <c r="M223" s="4">
        <v>10</v>
      </c>
      <c r="N223" s="8">
        <f t="shared" si="23"/>
        <v>420000</v>
      </c>
      <c r="O223" s="47" cm="1">
        <f t="array" ref="O223">_xlfn.IFNA(YEAR(INDEX($G$5:$K$5,,MATCH(1,G223:K223,-1))),"")</f>
        <v>2029</v>
      </c>
      <c r="R223" s="8">
        <f t="shared" si="25"/>
        <v>0</v>
      </c>
      <c r="S223" s="8">
        <f t="shared" si="25"/>
        <v>0</v>
      </c>
      <c r="T223" s="8">
        <f t="shared" si="25"/>
        <v>420000</v>
      </c>
      <c r="U223" s="8">
        <f t="shared" si="25"/>
        <v>0</v>
      </c>
      <c r="V223" s="8">
        <f t="shared" si="25"/>
        <v>0</v>
      </c>
    </row>
    <row r="224" spans="1:22" x14ac:dyDescent="0.35">
      <c r="A224" s="25" t="s">
        <v>93</v>
      </c>
      <c r="B224" s="26">
        <v>2004</v>
      </c>
      <c r="C224" s="25" t="s">
        <v>234</v>
      </c>
      <c r="D224" s="27" t="s">
        <v>72</v>
      </c>
      <c r="E224" s="4" t="s">
        <v>95</v>
      </c>
      <c r="F224" s="4" t="s">
        <v>219</v>
      </c>
      <c r="G224" s="8"/>
      <c r="H224" s="8"/>
      <c r="I224" s="8"/>
      <c r="J224" s="8"/>
      <c r="K224" s="28">
        <v>200000</v>
      </c>
      <c r="M224" s="4">
        <v>10</v>
      </c>
      <c r="N224" s="8">
        <f t="shared" si="23"/>
        <v>200000</v>
      </c>
      <c r="O224" s="47" cm="1">
        <f t="array" ref="O224">_xlfn.IFNA(YEAR(INDEX($G$5:$K$5,,MATCH(1,G224:K224,-1))),"")</f>
        <v>2031</v>
      </c>
      <c r="R224" s="8">
        <f t="shared" si="25"/>
        <v>0</v>
      </c>
      <c r="S224" s="8">
        <f t="shared" si="25"/>
        <v>0</v>
      </c>
      <c r="T224" s="8">
        <f t="shared" si="25"/>
        <v>0</v>
      </c>
      <c r="U224" s="8">
        <f t="shared" si="25"/>
        <v>0</v>
      </c>
      <c r="V224" s="8">
        <f t="shared" si="25"/>
        <v>200000</v>
      </c>
    </row>
    <row r="225" spans="1:22" x14ac:dyDescent="0.35">
      <c r="A225" s="25" t="s">
        <v>93</v>
      </c>
      <c r="B225" s="26">
        <v>2004</v>
      </c>
      <c r="C225" s="25" t="s">
        <v>235</v>
      </c>
      <c r="D225" s="27" t="s">
        <v>72</v>
      </c>
      <c r="E225" s="4" t="s">
        <v>95</v>
      </c>
      <c r="F225" s="4" t="s">
        <v>219</v>
      </c>
      <c r="G225" s="8"/>
      <c r="H225" s="8"/>
      <c r="I225" s="8"/>
      <c r="J225" s="8"/>
      <c r="K225" s="28">
        <v>200000</v>
      </c>
      <c r="M225" s="4">
        <v>10</v>
      </c>
      <c r="N225" s="8">
        <f t="shared" si="23"/>
        <v>200000</v>
      </c>
      <c r="O225" s="47" cm="1">
        <f t="array" ref="O225">_xlfn.IFNA(YEAR(INDEX($G$5:$K$5,,MATCH(1,G225:K225,-1))),"")</f>
        <v>2031</v>
      </c>
      <c r="R225" s="8">
        <f t="shared" si="25"/>
        <v>0</v>
      </c>
      <c r="S225" s="8">
        <f t="shared" si="25"/>
        <v>0</v>
      </c>
      <c r="T225" s="8">
        <f t="shared" si="25"/>
        <v>0</v>
      </c>
      <c r="U225" s="8">
        <f t="shared" si="25"/>
        <v>0</v>
      </c>
      <c r="V225" s="8">
        <f t="shared" si="25"/>
        <v>200000</v>
      </c>
    </row>
    <row r="226" spans="1:22" x14ac:dyDescent="0.35">
      <c r="A226" s="25" t="s">
        <v>93</v>
      </c>
      <c r="B226" s="26">
        <v>2005</v>
      </c>
      <c r="C226" s="25" t="s">
        <v>236</v>
      </c>
      <c r="D226" s="27" t="s">
        <v>72</v>
      </c>
      <c r="E226" s="4" t="s">
        <v>95</v>
      </c>
      <c r="F226" s="4" t="s">
        <v>219</v>
      </c>
      <c r="G226" s="8"/>
      <c r="H226" s="8"/>
      <c r="I226" s="8"/>
      <c r="J226" s="8"/>
      <c r="K226" s="28">
        <v>200000</v>
      </c>
      <c r="M226" s="4">
        <v>10</v>
      </c>
      <c r="N226" s="8">
        <f t="shared" si="23"/>
        <v>200000</v>
      </c>
      <c r="O226" s="47" cm="1">
        <f t="array" ref="O226">_xlfn.IFNA(YEAR(INDEX($G$5:$K$5,,MATCH(1,G226:K226,-1))),"")</f>
        <v>2031</v>
      </c>
      <c r="R226" s="8">
        <f t="shared" ref="R226:V235" si="26">IF($O226="",0,IF(MOD(YEAR(R$5)-$O226,$M226)=0,$N226,0))</f>
        <v>0</v>
      </c>
      <c r="S226" s="8">
        <f t="shared" si="26"/>
        <v>0</v>
      </c>
      <c r="T226" s="8">
        <f t="shared" si="26"/>
        <v>0</v>
      </c>
      <c r="U226" s="8">
        <f t="shared" si="26"/>
        <v>0</v>
      </c>
      <c r="V226" s="8">
        <f t="shared" si="26"/>
        <v>200000</v>
      </c>
    </row>
    <row r="227" spans="1:22" x14ac:dyDescent="0.35">
      <c r="A227" s="25" t="s">
        <v>93</v>
      </c>
      <c r="B227" s="26">
        <v>2006</v>
      </c>
      <c r="C227" s="25" t="s">
        <v>237</v>
      </c>
      <c r="D227" s="27" t="s">
        <v>72</v>
      </c>
      <c r="E227" s="4" t="s">
        <v>95</v>
      </c>
      <c r="F227" s="4" t="s">
        <v>219</v>
      </c>
      <c r="G227" s="8"/>
      <c r="H227" s="8"/>
      <c r="I227" s="8"/>
      <c r="J227" s="8"/>
      <c r="K227" s="28">
        <v>200000</v>
      </c>
      <c r="M227" s="4">
        <v>10</v>
      </c>
      <c r="N227" s="8">
        <f t="shared" si="23"/>
        <v>200000</v>
      </c>
      <c r="O227" s="47" cm="1">
        <f t="array" ref="O227">_xlfn.IFNA(YEAR(INDEX($G$5:$K$5,,MATCH(1,G227:K227,-1))),"")</f>
        <v>2031</v>
      </c>
      <c r="R227" s="8">
        <f t="shared" si="26"/>
        <v>0</v>
      </c>
      <c r="S227" s="8">
        <f t="shared" si="26"/>
        <v>0</v>
      </c>
      <c r="T227" s="8">
        <f t="shared" si="26"/>
        <v>0</v>
      </c>
      <c r="U227" s="8">
        <f t="shared" si="26"/>
        <v>0</v>
      </c>
      <c r="V227" s="8">
        <f t="shared" si="26"/>
        <v>200000</v>
      </c>
    </row>
    <row r="228" spans="1:22" x14ac:dyDescent="0.35">
      <c r="A228" s="25" t="s">
        <v>223</v>
      </c>
      <c r="B228" s="26">
        <v>2007</v>
      </c>
      <c r="C228" s="25" t="s">
        <v>238</v>
      </c>
      <c r="D228" s="27" t="s">
        <v>99</v>
      </c>
      <c r="E228" s="4" t="s">
        <v>95</v>
      </c>
      <c r="F228" s="4" t="s">
        <v>219</v>
      </c>
      <c r="G228" s="8"/>
      <c r="H228" s="8"/>
      <c r="I228" s="8"/>
      <c r="J228" s="8"/>
      <c r="K228" s="8">
        <v>65000</v>
      </c>
      <c r="M228" s="4">
        <v>6</v>
      </c>
      <c r="N228" s="8">
        <f t="shared" si="23"/>
        <v>65000</v>
      </c>
      <c r="O228" s="47" cm="1">
        <f t="array" ref="O228">_xlfn.IFNA(YEAR(INDEX($G$5:$K$5,,MATCH(1,G228:K228,-1))),"")</f>
        <v>2031</v>
      </c>
      <c r="R228" s="8">
        <f t="shared" si="26"/>
        <v>0</v>
      </c>
      <c r="S228" s="8">
        <f t="shared" si="26"/>
        <v>0</v>
      </c>
      <c r="T228" s="8">
        <f t="shared" si="26"/>
        <v>0</v>
      </c>
      <c r="U228" s="8">
        <f t="shared" si="26"/>
        <v>0</v>
      </c>
      <c r="V228" s="8">
        <f t="shared" si="26"/>
        <v>65000</v>
      </c>
    </row>
    <row r="229" spans="1:22" x14ac:dyDescent="0.35">
      <c r="A229" s="25" t="s">
        <v>239</v>
      </c>
      <c r="B229" s="26">
        <v>2003</v>
      </c>
      <c r="C229" s="25" t="s">
        <v>240</v>
      </c>
      <c r="D229" s="27" t="s">
        <v>99</v>
      </c>
      <c r="E229" s="4" t="s">
        <v>100</v>
      </c>
      <c r="F229" s="4" t="s">
        <v>219</v>
      </c>
      <c r="G229" s="8"/>
      <c r="H229" s="8"/>
      <c r="I229" s="8"/>
      <c r="J229" s="8"/>
      <c r="K229" s="28">
        <v>27000</v>
      </c>
      <c r="M229" s="4">
        <v>15</v>
      </c>
      <c r="N229" s="8">
        <f t="shared" si="23"/>
        <v>27000</v>
      </c>
      <c r="O229" s="47" cm="1">
        <f t="array" ref="O229">_xlfn.IFNA(YEAR(INDEX($G$5:$K$5,,MATCH(1,G229:K229,-1))),"")</f>
        <v>2031</v>
      </c>
      <c r="R229" s="8">
        <f t="shared" si="26"/>
        <v>0</v>
      </c>
      <c r="S229" s="8">
        <f t="shared" si="26"/>
        <v>0</v>
      </c>
      <c r="T229" s="8">
        <f t="shared" si="26"/>
        <v>0</v>
      </c>
      <c r="U229" s="8">
        <f t="shared" si="26"/>
        <v>0</v>
      </c>
      <c r="V229" s="8">
        <f t="shared" si="26"/>
        <v>27000</v>
      </c>
    </row>
    <row r="230" spans="1:22" x14ac:dyDescent="0.35">
      <c r="A230" s="25" t="s">
        <v>239</v>
      </c>
      <c r="B230" s="26">
        <v>2005</v>
      </c>
      <c r="C230" s="25" t="s">
        <v>241</v>
      </c>
      <c r="D230" s="27" t="s">
        <v>99</v>
      </c>
      <c r="E230" s="4" t="s">
        <v>100</v>
      </c>
      <c r="F230" s="4" t="s">
        <v>219</v>
      </c>
      <c r="G230" s="8"/>
      <c r="H230" s="8"/>
      <c r="I230" s="8"/>
      <c r="J230" s="8"/>
      <c r="K230" s="28">
        <v>27000</v>
      </c>
      <c r="M230" s="4">
        <v>15</v>
      </c>
      <c r="N230" s="8">
        <f t="shared" si="23"/>
        <v>27000</v>
      </c>
      <c r="O230" s="47" cm="1">
        <f t="array" ref="O230">_xlfn.IFNA(YEAR(INDEX($G$5:$K$5,,MATCH(1,G230:K230,-1))),"")</f>
        <v>2031</v>
      </c>
      <c r="R230" s="8">
        <f t="shared" si="26"/>
        <v>0</v>
      </c>
      <c r="S230" s="8">
        <f t="shared" si="26"/>
        <v>0</v>
      </c>
      <c r="T230" s="8">
        <f t="shared" si="26"/>
        <v>0</v>
      </c>
      <c r="U230" s="8">
        <f t="shared" si="26"/>
        <v>0</v>
      </c>
      <c r="V230" s="8">
        <f t="shared" si="26"/>
        <v>27000</v>
      </c>
    </row>
    <row r="231" spans="1:22" x14ac:dyDescent="0.35">
      <c r="A231" s="25" t="s">
        <v>242</v>
      </c>
      <c r="B231" s="26">
        <v>2006</v>
      </c>
      <c r="C231" s="25" t="s">
        <v>243</v>
      </c>
      <c r="D231" s="27" t="s">
        <v>99</v>
      </c>
      <c r="E231" s="4" t="s">
        <v>100</v>
      </c>
      <c r="F231" s="4" t="s">
        <v>219</v>
      </c>
      <c r="G231" s="8"/>
      <c r="H231" s="8"/>
      <c r="I231" s="8"/>
      <c r="J231" s="8"/>
      <c r="K231" s="28">
        <v>27000</v>
      </c>
      <c r="M231" s="4">
        <v>15</v>
      </c>
      <c r="N231" s="8">
        <f t="shared" si="23"/>
        <v>27000</v>
      </c>
      <c r="O231" s="47" cm="1">
        <f t="array" ref="O231">_xlfn.IFNA(YEAR(INDEX($G$5:$K$5,,MATCH(1,G231:K231,-1))),"")</f>
        <v>2031</v>
      </c>
      <c r="R231" s="8">
        <f t="shared" si="26"/>
        <v>0</v>
      </c>
      <c r="S231" s="8">
        <f t="shared" si="26"/>
        <v>0</v>
      </c>
      <c r="T231" s="8">
        <f t="shared" si="26"/>
        <v>0</v>
      </c>
      <c r="U231" s="8">
        <f t="shared" si="26"/>
        <v>0</v>
      </c>
      <c r="V231" s="8">
        <f t="shared" si="26"/>
        <v>27000</v>
      </c>
    </row>
    <row r="232" spans="1:22" x14ac:dyDescent="0.35">
      <c r="A232" s="25" t="s">
        <v>230</v>
      </c>
      <c r="B232" s="26">
        <v>2014</v>
      </c>
      <c r="C232" s="25" t="s">
        <v>232</v>
      </c>
      <c r="D232" s="27" t="s">
        <v>99</v>
      </c>
      <c r="E232" s="4" t="s">
        <v>95</v>
      </c>
      <c r="F232" s="4" t="s">
        <v>219</v>
      </c>
      <c r="G232" s="8"/>
      <c r="H232" s="8"/>
      <c r="I232" s="8"/>
      <c r="J232" s="8">
        <v>92000</v>
      </c>
      <c r="K232" s="8"/>
      <c r="M232" s="4">
        <v>6</v>
      </c>
      <c r="N232" s="8">
        <f t="shared" si="23"/>
        <v>92000</v>
      </c>
      <c r="O232" s="47" cm="1">
        <f t="array" ref="O232">_xlfn.IFNA(YEAR(INDEX($G$5:$K$5,,MATCH(1,G232:K232,-1))),"")</f>
        <v>2030</v>
      </c>
      <c r="R232" s="8">
        <f t="shared" si="26"/>
        <v>0</v>
      </c>
      <c r="S232" s="8">
        <f t="shared" si="26"/>
        <v>0</v>
      </c>
      <c r="T232" s="8">
        <f t="shared" si="26"/>
        <v>0</v>
      </c>
      <c r="U232" s="8">
        <f t="shared" si="26"/>
        <v>92000</v>
      </c>
      <c r="V232" s="8">
        <f t="shared" si="26"/>
        <v>0</v>
      </c>
    </row>
    <row r="233" spans="1:22" x14ac:dyDescent="0.35">
      <c r="A233" s="25" t="s">
        <v>230</v>
      </c>
      <c r="B233" s="26">
        <v>2014</v>
      </c>
      <c r="C233" s="25" t="s">
        <v>232</v>
      </c>
      <c r="D233" s="27" t="s">
        <v>99</v>
      </c>
      <c r="E233" s="4" t="s">
        <v>95</v>
      </c>
      <c r="F233" s="4" t="s">
        <v>219</v>
      </c>
      <c r="G233" s="8"/>
      <c r="H233" s="8"/>
      <c r="I233" s="8"/>
      <c r="J233" s="8">
        <v>92000</v>
      </c>
      <c r="K233" s="8"/>
      <c r="M233" s="4">
        <v>6</v>
      </c>
      <c r="N233" s="8">
        <f t="shared" si="23"/>
        <v>92000</v>
      </c>
      <c r="O233" s="47" cm="1">
        <f t="array" ref="O233">_xlfn.IFNA(YEAR(INDEX($G$5:$K$5,,MATCH(1,G233:K233,-1))),"")</f>
        <v>2030</v>
      </c>
      <c r="R233" s="8">
        <f t="shared" si="26"/>
        <v>0</v>
      </c>
      <c r="S233" s="8">
        <f t="shared" si="26"/>
        <v>0</v>
      </c>
      <c r="T233" s="8">
        <f t="shared" si="26"/>
        <v>0</v>
      </c>
      <c r="U233" s="8">
        <f t="shared" si="26"/>
        <v>92000</v>
      </c>
      <c r="V233" s="8">
        <f t="shared" si="26"/>
        <v>0</v>
      </c>
    </row>
    <row r="234" spans="1:22" x14ac:dyDescent="0.35">
      <c r="A234" s="25" t="s">
        <v>230</v>
      </c>
      <c r="B234" s="26">
        <v>2014</v>
      </c>
      <c r="C234" s="25" t="s">
        <v>232</v>
      </c>
      <c r="D234" s="27" t="s">
        <v>99</v>
      </c>
      <c r="E234" s="4" t="s">
        <v>95</v>
      </c>
      <c r="F234" s="4" t="s">
        <v>219</v>
      </c>
      <c r="G234" s="8"/>
      <c r="H234" s="8"/>
      <c r="I234" s="8"/>
      <c r="J234" s="8">
        <v>92000</v>
      </c>
      <c r="K234" s="8"/>
      <c r="M234" s="4">
        <v>6</v>
      </c>
      <c r="N234" s="8">
        <f t="shared" si="23"/>
        <v>92000</v>
      </c>
      <c r="O234" s="47" cm="1">
        <f t="array" ref="O234">_xlfn.IFNA(YEAR(INDEX($G$5:$K$5,,MATCH(1,G234:K234,-1))),"")</f>
        <v>2030</v>
      </c>
      <c r="R234" s="8">
        <f t="shared" si="26"/>
        <v>0</v>
      </c>
      <c r="S234" s="8">
        <f t="shared" si="26"/>
        <v>0</v>
      </c>
      <c r="T234" s="8">
        <f t="shared" si="26"/>
        <v>0</v>
      </c>
      <c r="U234" s="8">
        <f t="shared" si="26"/>
        <v>92000</v>
      </c>
      <c r="V234" s="8">
        <f t="shared" si="26"/>
        <v>0</v>
      </c>
    </row>
    <row r="235" spans="1:22" x14ac:dyDescent="0.35">
      <c r="A235" s="25" t="s">
        <v>230</v>
      </c>
      <c r="B235" s="26">
        <v>2014</v>
      </c>
      <c r="C235" s="25" t="s">
        <v>232</v>
      </c>
      <c r="D235" s="27" t="s">
        <v>99</v>
      </c>
      <c r="E235" s="4" t="s">
        <v>95</v>
      </c>
      <c r="F235" s="4" t="s">
        <v>219</v>
      </c>
      <c r="G235" s="8"/>
      <c r="H235" s="8"/>
      <c r="I235" s="8"/>
      <c r="J235" s="8">
        <v>92000</v>
      </c>
      <c r="K235" s="8"/>
      <c r="M235" s="4">
        <v>6</v>
      </c>
      <c r="N235" s="8">
        <f t="shared" si="23"/>
        <v>92000</v>
      </c>
      <c r="O235" s="47" cm="1">
        <f t="array" ref="O235">_xlfn.IFNA(YEAR(INDEX($G$5:$K$5,,MATCH(1,G235:K235,-1))),"")</f>
        <v>2030</v>
      </c>
      <c r="R235" s="8">
        <f t="shared" si="26"/>
        <v>0</v>
      </c>
      <c r="S235" s="8">
        <f t="shared" si="26"/>
        <v>0</v>
      </c>
      <c r="T235" s="8">
        <f t="shared" si="26"/>
        <v>0</v>
      </c>
      <c r="U235" s="8">
        <f t="shared" si="26"/>
        <v>92000</v>
      </c>
      <c r="V235" s="8">
        <f t="shared" si="26"/>
        <v>0</v>
      </c>
    </row>
    <row r="236" spans="1:22" x14ac:dyDescent="0.35">
      <c r="A236" s="25" t="s">
        <v>230</v>
      </c>
      <c r="B236" s="26">
        <v>2014</v>
      </c>
      <c r="C236" s="25" t="s">
        <v>232</v>
      </c>
      <c r="D236" s="27" t="s">
        <v>99</v>
      </c>
      <c r="E236" s="4" t="s">
        <v>95</v>
      </c>
      <c r="F236" s="4" t="s">
        <v>219</v>
      </c>
      <c r="G236" s="8"/>
      <c r="H236" s="8"/>
      <c r="I236" s="8"/>
      <c r="J236" s="8">
        <v>92000</v>
      </c>
      <c r="K236" s="8"/>
      <c r="M236" s="4">
        <v>6</v>
      </c>
      <c r="N236" s="8">
        <f t="shared" si="23"/>
        <v>92000</v>
      </c>
      <c r="O236" s="47" cm="1">
        <f t="array" ref="O236">_xlfn.IFNA(YEAR(INDEX($G$5:$K$5,,MATCH(1,G236:K236,-1))),"")</f>
        <v>2030</v>
      </c>
      <c r="R236" s="8">
        <f t="shared" ref="R236:V245" si="27">IF($O236="",0,IF(MOD(YEAR(R$5)-$O236,$M236)=0,$N236,0))</f>
        <v>0</v>
      </c>
      <c r="S236" s="8">
        <f t="shared" si="27"/>
        <v>0</v>
      </c>
      <c r="T236" s="8">
        <f t="shared" si="27"/>
        <v>0</v>
      </c>
      <c r="U236" s="8">
        <f t="shared" si="27"/>
        <v>92000</v>
      </c>
      <c r="V236" s="8">
        <f t="shared" si="27"/>
        <v>0</v>
      </c>
    </row>
    <row r="237" spans="1:22" x14ac:dyDescent="0.35">
      <c r="A237" s="25" t="s">
        <v>230</v>
      </c>
      <c r="B237" s="26">
        <v>2015</v>
      </c>
      <c r="C237" s="25" t="s">
        <v>232</v>
      </c>
      <c r="D237" s="27" t="s">
        <v>99</v>
      </c>
      <c r="E237" s="4" t="s">
        <v>95</v>
      </c>
      <c r="F237" s="4" t="s">
        <v>219</v>
      </c>
      <c r="G237" s="8"/>
      <c r="H237" s="8"/>
      <c r="I237" s="8"/>
      <c r="J237" s="8">
        <v>92000</v>
      </c>
      <c r="K237" s="8"/>
      <c r="M237" s="4">
        <v>6</v>
      </c>
      <c r="N237" s="8">
        <f t="shared" si="23"/>
        <v>92000</v>
      </c>
      <c r="O237" s="47" cm="1">
        <f t="array" ref="O237">_xlfn.IFNA(YEAR(INDEX($G$5:$K$5,,MATCH(1,G237:K237,-1))),"")</f>
        <v>2030</v>
      </c>
      <c r="R237" s="8">
        <f t="shared" si="27"/>
        <v>0</v>
      </c>
      <c r="S237" s="8">
        <f t="shared" si="27"/>
        <v>0</v>
      </c>
      <c r="T237" s="8">
        <f t="shared" si="27"/>
        <v>0</v>
      </c>
      <c r="U237" s="8">
        <f t="shared" si="27"/>
        <v>92000</v>
      </c>
      <c r="V237" s="8">
        <f t="shared" si="27"/>
        <v>0</v>
      </c>
    </row>
    <row r="238" spans="1:22" x14ac:dyDescent="0.35">
      <c r="A238" s="25" t="s">
        <v>230</v>
      </c>
      <c r="B238" s="26">
        <v>2014</v>
      </c>
      <c r="C238" s="25" t="s">
        <v>232</v>
      </c>
      <c r="D238" s="27" t="s">
        <v>99</v>
      </c>
      <c r="E238" s="4" t="s">
        <v>95</v>
      </c>
      <c r="F238" s="4" t="s">
        <v>219</v>
      </c>
      <c r="G238" s="8"/>
      <c r="H238" s="8"/>
      <c r="I238" s="8"/>
      <c r="J238" s="8">
        <v>92000</v>
      </c>
      <c r="K238" s="8"/>
      <c r="M238" s="4">
        <v>6</v>
      </c>
      <c r="N238" s="8">
        <f t="shared" si="23"/>
        <v>92000</v>
      </c>
      <c r="O238" s="47" cm="1">
        <f t="array" ref="O238">_xlfn.IFNA(YEAR(INDEX($G$5:$K$5,,MATCH(1,G238:K238,-1))),"")</f>
        <v>2030</v>
      </c>
      <c r="R238" s="8">
        <f t="shared" si="27"/>
        <v>0</v>
      </c>
      <c r="S238" s="8">
        <f t="shared" si="27"/>
        <v>0</v>
      </c>
      <c r="T238" s="8">
        <f t="shared" si="27"/>
        <v>0</v>
      </c>
      <c r="U238" s="8">
        <f t="shared" si="27"/>
        <v>92000</v>
      </c>
      <c r="V238" s="8">
        <f t="shared" si="27"/>
        <v>0</v>
      </c>
    </row>
    <row r="239" spans="1:22" x14ac:dyDescent="0.35">
      <c r="A239" s="25" t="s">
        <v>217</v>
      </c>
      <c r="B239" s="26">
        <v>2015</v>
      </c>
      <c r="C239" s="25" t="s">
        <v>226</v>
      </c>
      <c r="D239" s="27" t="s">
        <v>99</v>
      </c>
      <c r="E239" s="4" t="s">
        <v>95</v>
      </c>
      <c r="F239" s="4" t="s">
        <v>219</v>
      </c>
      <c r="G239" s="8"/>
      <c r="H239" s="8"/>
      <c r="I239" s="8"/>
      <c r="J239" s="8"/>
      <c r="K239" s="8">
        <v>65000</v>
      </c>
      <c r="M239" s="4">
        <v>6</v>
      </c>
      <c r="N239" s="8">
        <f t="shared" si="23"/>
        <v>65000</v>
      </c>
      <c r="O239" s="47" cm="1">
        <f t="array" ref="O239">_xlfn.IFNA(YEAR(INDEX($G$5:$K$5,,MATCH(1,G239:K239,-1))),"")</f>
        <v>2031</v>
      </c>
      <c r="R239" s="8">
        <f t="shared" si="27"/>
        <v>0</v>
      </c>
      <c r="S239" s="8">
        <f t="shared" si="27"/>
        <v>0</v>
      </c>
      <c r="T239" s="8">
        <f t="shared" si="27"/>
        <v>0</v>
      </c>
      <c r="U239" s="8">
        <f t="shared" si="27"/>
        <v>0</v>
      </c>
      <c r="V239" s="8">
        <f t="shared" si="27"/>
        <v>65000</v>
      </c>
    </row>
    <row r="240" spans="1:22" x14ac:dyDescent="0.35">
      <c r="A240" s="25" t="s">
        <v>217</v>
      </c>
      <c r="B240" s="26">
        <v>2015</v>
      </c>
      <c r="C240" s="25" t="s">
        <v>226</v>
      </c>
      <c r="D240" s="27" t="s">
        <v>99</v>
      </c>
      <c r="E240" s="4" t="s">
        <v>95</v>
      </c>
      <c r="F240" s="4" t="s">
        <v>219</v>
      </c>
      <c r="G240" s="8"/>
      <c r="H240" s="8"/>
      <c r="I240" s="8"/>
      <c r="J240" s="8"/>
      <c r="K240" s="8">
        <v>65000</v>
      </c>
      <c r="M240" s="4">
        <v>6</v>
      </c>
      <c r="N240" s="8">
        <f t="shared" si="23"/>
        <v>65000</v>
      </c>
      <c r="O240" s="47" cm="1">
        <f t="array" ref="O240">_xlfn.IFNA(YEAR(INDEX($G$5:$K$5,,MATCH(1,G240:K240,-1))),"")</f>
        <v>2031</v>
      </c>
      <c r="R240" s="8">
        <f t="shared" si="27"/>
        <v>0</v>
      </c>
      <c r="S240" s="8">
        <f t="shared" si="27"/>
        <v>0</v>
      </c>
      <c r="T240" s="8">
        <f t="shared" si="27"/>
        <v>0</v>
      </c>
      <c r="U240" s="8">
        <f t="shared" si="27"/>
        <v>0</v>
      </c>
      <c r="V240" s="8">
        <f t="shared" si="27"/>
        <v>65000</v>
      </c>
    </row>
    <row r="241" spans="1:22" x14ac:dyDescent="0.35">
      <c r="A241" s="25" t="s">
        <v>217</v>
      </c>
      <c r="B241" s="26">
        <v>2015</v>
      </c>
      <c r="C241" s="25" t="s">
        <v>226</v>
      </c>
      <c r="D241" s="27" t="s">
        <v>99</v>
      </c>
      <c r="E241" s="4" t="s">
        <v>95</v>
      </c>
      <c r="F241" s="4" t="s">
        <v>219</v>
      </c>
      <c r="G241" s="8"/>
      <c r="H241" s="8"/>
      <c r="I241" s="8"/>
      <c r="J241" s="8"/>
      <c r="K241" s="8">
        <v>65000</v>
      </c>
      <c r="M241" s="4">
        <v>6</v>
      </c>
      <c r="N241" s="8">
        <f t="shared" si="23"/>
        <v>65000</v>
      </c>
      <c r="O241" s="47" cm="1">
        <f t="array" ref="O241">_xlfn.IFNA(YEAR(INDEX($G$5:$K$5,,MATCH(1,G241:K241,-1))),"")</f>
        <v>2031</v>
      </c>
      <c r="R241" s="8">
        <f t="shared" si="27"/>
        <v>0</v>
      </c>
      <c r="S241" s="8">
        <f t="shared" si="27"/>
        <v>0</v>
      </c>
      <c r="T241" s="8">
        <f t="shared" si="27"/>
        <v>0</v>
      </c>
      <c r="U241" s="8">
        <f t="shared" si="27"/>
        <v>0</v>
      </c>
      <c r="V241" s="8">
        <f t="shared" si="27"/>
        <v>65000</v>
      </c>
    </row>
    <row r="242" spans="1:22" x14ac:dyDescent="0.35">
      <c r="A242" s="25" t="s">
        <v>217</v>
      </c>
      <c r="B242" s="26">
        <v>2015</v>
      </c>
      <c r="C242" s="25" t="s">
        <v>226</v>
      </c>
      <c r="D242" s="27" t="s">
        <v>99</v>
      </c>
      <c r="E242" s="4" t="s">
        <v>95</v>
      </c>
      <c r="F242" s="4" t="s">
        <v>219</v>
      </c>
      <c r="G242" s="8"/>
      <c r="H242" s="8"/>
      <c r="I242" s="8"/>
      <c r="J242" s="8"/>
      <c r="K242" s="8">
        <v>65000</v>
      </c>
      <c r="M242" s="4">
        <v>6</v>
      </c>
      <c r="N242" s="8">
        <f t="shared" si="23"/>
        <v>65000</v>
      </c>
      <c r="O242" s="47" cm="1">
        <f t="array" ref="O242">_xlfn.IFNA(YEAR(INDEX($G$5:$K$5,,MATCH(1,G242:K242,-1))),"")</f>
        <v>2031</v>
      </c>
      <c r="R242" s="8">
        <f t="shared" si="27"/>
        <v>0</v>
      </c>
      <c r="S242" s="8">
        <f t="shared" si="27"/>
        <v>0</v>
      </c>
      <c r="T242" s="8">
        <f t="shared" si="27"/>
        <v>0</v>
      </c>
      <c r="U242" s="8">
        <f t="shared" si="27"/>
        <v>0</v>
      </c>
      <c r="V242" s="8">
        <f t="shared" si="27"/>
        <v>65000</v>
      </c>
    </row>
    <row r="243" spans="1:22" x14ac:dyDescent="0.35">
      <c r="A243" s="25" t="s">
        <v>230</v>
      </c>
      <c r="B243" s="26">
        <v>2015</v>
      </c>
      <c r="C243" s="25" t="s">
        <v>232</v>
      </c>
      <c r="D243" s="27" t="s">
        <v>99</v>
      </c>
      <c r="E243" s="4" t="s">
        <v>95</v>
      </c>
      <c r="F243" s="4" t="s">
        <v>219</v>
      </c>
      <c r="G243" s="8"/>
      <c r="H243" s="8"/>
      <c r="I243" s="8"/>
      <c r="J243" s="8"/>
      <c r="K243" s="8">
        <v>92000</v>
      </c>
      <c r="M243" s="4">
        <v>6</v>
      </c>
      <c r="N243" s="8">
        <f t="shared" si="23"/>
        <v>92000</v>
      </c>
      <c r="O243" s="47" cm="1">
        <f t="array" ref="O243">_xlfn.IFNA(YEAR(INDEX($G$5:$K$5,,MATCH(1,G243:K243,-1))),"")</f>
        <v>2031</v>
      </c>
      <c r="R243" s="8">
        <f t="shared" si="27"/>
        <v>0</v>
      </c>
      <c r="S243" s="8">
        <f t="shared" si="27"/>
        <v>0</v>
      </c>
      <c r="T243" s="8">
        <f t="shared" si="27"/>
        <v>0</v>
      </c>
      <c r="U243" s="8">
        <f t="shared" si="27"/>
        <v>0</v>
      </c>
      <c r="V243" s="8">
        <f t="shared" si="27"/>
        <v>92000</v>
      </c>
    </row>
    <row r="244" spans="1:22" x14ac:dyDescent="0.35">
      <c r="A244" s="25" t="s">
        <v>230</v>
      </c>
      <c r="B244" s="26">
        <v>2016</v>
      </c>
      <c r="C244" s="25" t="s">
        <v>244</v>
      </c>
      <c r="D244" s="27" t="s">
        <v>99</v>
      </c>
      <c r="E244" s="4" t="s">
        <v>95</v>
      </c>
      <c r="F244" s="4" t="s">
        <v>219</v>
      </c>
      <c r="G244" s="8"/>
      <c r="H244" s="8"/>
      <c r="I244" s="8"/>
      <c r="J244" s="8"/>
      <c r="K244" s="8">
        <v>130000</v>
      </c>
      <c r="M244" s="4">
        <v>8</v>
      </c>
      <c r="N244" s="8">
        <f t="shared" si="23"/>
        <v>130000</v>
      </c>
      <c r="O244" s="47" cm="1">
        <f t="array" ref="O244">_xlfn.IFNA(YEAR(INDEX($G$5:$K$5,,MATCH(1,G244:K244,-1))),"")</f>
        <v>2031</v>
      </c>
      <c r="R244" s="8">
        <f t="shared" si="27"/>
        <v>0</v>
      </c>
      <c r="S244" s="8">
        <f t="shared" si="27"/>
        <v>0</v>
      </c>
      <c r="T244" s="8">
        <f t="shared" si="27"/>
        <v>0</v>
      </c>
      <c r="U244" s="8">
        <f t="shared" si="27"/>
        <v>0</v>
      </c>
      <c r="V244" s="8">
        <f t="shared" si="27"/>
        <v>130000</v>
      </c>
    </row>
    <row r="245" spans="1:22" x14ac:dyDescent="0.35">
      <c r="A245" s="25" t="s">
        <v>230</v>
      </c>
      <c r="B245" s="26">
        <v>2015</v>
      </c>
      <c r="C245" s="25" t="s">
        <v>232</v>
      </c>
      <c r="D245" s="27" t="s">
        <v>99</v>
      </c>
      <c r="E245" s="4" t="s">
        <v>95</v>
      </c>
      <c r="F245" s="4" t="s">
        <v>219</v>
      </c>
      <c r="G245" s="8"/>
      <c r="H245" s="8"/>
      <c r="I245" s="8"/>
      <c r="J245" s="8"/>
      <c r="K245" s="8">
        <v>92000</v>
      </c>
      <c r="M245" s="4">
        <v>6</v>
      </c>
      <c r="N245" s="8">
        <f t="shared" si="23"/>
        <v>92000</v>
      </c>
      <c r="O245" s="47" cm="1">
        <f t="array" ref="O245">_xlfn.IFNA(YEAR(INDEX($G$5:$K$5,,MATCH(1,G245:K245,-1))),"")</f>
        <v>2031</v>
      </c>
      <c r="R245" s="8">
        <f t="shared" si="27"/>
        <v>0</v>
      </c>
      <c r="S245" s="8">
        <f t="shared" si="27"/>
        <v>0</v>
      </c>
      <c r="T245" s="8">
        <f t="shared" si="27"/>
        <v>0</v>
      </c>
      <c r="U245" s="8">
        <f t="shared" si="27"/>
        <v>0</v>
      </c>
      <c r="V245" s="8">
        <f t="shared" si="27"/>
        <v>92000</v>
      </c>
    </row>
    <row r="246" spans="1:22" x14ac:dyDescent="0.35">
      <c r="A246" s="25" t="s">
        <v>230</v>
      </c>
      <c r="B246" s="26">
        <v>2015</v>
      </c>
      <c r="C246" s="25" t="s">
        <v>232</v>
      </c>
      <c r="D246" s="27" t="s">
        <v>99</v>
      </c>
      <c r="E246" s="4" t="s">
        <v>95</v>
      </c>
      <c r="F246" s="4" t="s">
        <v>219</v>
      </c>
      <c r="G246" s="8"/>
      <c r="H246" s="8"/>
      <c r="I246" s="8"/>
      <c r="J246" s="8"/>
      <c r="K246" s="8">
        <v>92000</v>
      </c>
      <c r="M246" s="4">
        <v>6</v>
      </c>
      <c r="N246" s="8">
        <f t="shared" si="23"/>
        <v>92000</v>
      </c>
      <c r="O246" s="47" cm="1">
        <f t="array" ref="O246">_xlfn.IFNA(YEAR(INDEX($G$5:$K$5,,MATCH(1,G246:K246,-1))),"")</f>
        <v>2031</v>
      </c>
      <c r="R246" s="8">
        <f t="shared" ref="R246:V255" si="28">IF($O246="",0,IF(MOD(YEAR(R$5)-$O246,$M246)=0,$N246,0))</f>
        <v>0</v>
      </c>
      <c r="S246" s="8">
        <f t="shared" si="28"/>
        <v>0</v>
      </c>
      <c r="T246" s="8">
        <f t="shared" si="28"/>
        <v>0</v>
      </c>
      <c r="U246" s="8">
        <f t="shared" si="28"/>
        <v>0</v>
      </c>
      <c r="V246" s="8">
        <f t="shared" si="28"/>
        <v>92000</v>
      </c>
    </row>
    <row r="247" spans="1:22" x14ac:dyDescent="0.35">
      <c r="A247" s="25" t="s">
        <v>230</v>
      </c>
      <c r="B247" s="26">
        <v>2015</v>
      </c>
      <c r="C247" s="25" t="s">
        <v>232</v>
      </c>
      <c r="D247" s="27" t="s">
        <v>99</v>
      </c>
      <c r="E247" s="4" t="s">
        <v>95</v>
      </c>
      <c r="F247" s="4" t="s">
        <v>219</v>
      </c>
      <c r="G247" s="8"/>
      <c r="H247" s="8"/>
      <c r="I247" s="8"/>
      <c r="J247" s="8"/>
      <c r="K247" s="8">
        <v>92000</v>
      </c>
      <c r="M247" s="4">
        <v>6</v>
      </c>
      <c r="N247" s="8">
        <f t="shared" si="23"/>
        <v>92000</v>
      </c>
      <c r="O247" s="47" cm="1">
        <f t="array" ref="O247">_xlfn.IFNA(YEAR(INDEX($G$5:$K$5,,MATCH(1,G247:K247,-1))),"")</f>
        <v>2031</v>
      </c>
      <c r="R247" s="8">
        <f t="shared" si="28"/>
        <v>0</v>
      </c>
      <c r="S247" s="8">
        <f t="shared" si="28"/>
        <v>0</v>
      </c>
      <c r="T247" s="8">
        <f t="shared" si="28"/>
        <v>0</v>
      </c>
      <c r="U247" s="8">
        <f t="shared" si="28"/>
        <v>0</v>
      </c>
      <c r="V247" s="8">
        <f t="shared" si="28"/>
        <v>92000</v>
      </c>
    </row>
    <row r="248" spans="1:22" x14ac:dyDescent="0.35">
      <c r="A248" s="25" t="s">
        <v>230</v>
      </c>
      <c r="B248" s="26">
        <v>2015</v>
      </c>
      <c r="C248" s="25" t="s">
        <v>232</v>
      </c>
      <c r="D248" s="27" t="s">
        <v>99</v>
      </c>
      <c r="E248" s="4" t="s">
        <v>95</v>
      </c>
      <c r="F248" s="4" t="s">
        <v>219</v>
      </c>
      <c r="G248" s="8"/>
      <c r="H248" s="8"/>
      <c r="I248" s="8"/>
      <c r="J248" s="8"/>
      <c r="K248" s="8">
        <v>92000</v>
      </c>
      <c r="M248" s="4">
        <v>6</v>
      </c>
      <c r="N248" s="8">
        <f t="shared" si="23"/>
        <v>92000</v>
      </c>
      <c r="O248" s="47" cm="1">
        <f t="array" ref="O248">_xlfn.IFNA(YEAR(INDEX($G$5:$K$5,,MATCH(1,G248:K248,-1))),"")</f>
        <v>2031</v>
      </c>
      <c r="R248" s="8">
        <f t="shared" si="28"/>
        <v>0</v>
      </c>
      <c r="S248" s="8">
        <f t="shared" si="28"/>
        <v>0</v>
      </c>
      <c r="T248" s="8">
        <f t="shared" si="28"/>
        <v>0</v>
      </c>
      <c r="U248" s="8">
        <f t="shared" si="28"/>
        <v>0</v>
      </c>
      <c r="V248" s="8">
        <f t="shared" si="28"/>
        <v>92000</v>
      </c>
    </row>
    <row r="249" spans="1:22" x14ac:dyDescent="0.35">
      <c r="A249" s="25" t="s">
        <v>230</v>
      </c>
      <c r="B249" s="26">
        <v>2014</v>
      </c>
      <c r="C249" s="25" t="s">
        <v>232</v>
      </c>
      <c r="D249" s="27" t="s">
        <v>99</v>
      </c>
      <c r="E249" s="4" t="s">
        <v>95</v>
      </c>
      <c r="F249" s="4" t="s">
        <v>219</v>
      </c>
      <c r="G249" s="8"/>
      <c r="H249" s="8"/>
      <c r="I249" s="8"/>
      <c r="J249" s="8">
        <v>92000</v>
      </c>
      <c r="K249" s="8"/>
      <c r="M249" s="4">
        <v>6</v>
      </c>
      <c r="N249" s="8">
        <f t="shared" si="23"/>
        <v>92000</v>
      </c>
      <c r="O249" s="47" cm="1">
        <f t="array" ref="O249">_xlfn.IFNA(YEAR(INDEX($G$5:$K$5,,MATCH(1,G249:K249,-1))),"")</f>
        <v>2030</v>
      </c>
      <c r="R249" s="8">
        <f t="shared" si="28"/>
        <v>0</v>
      </c>
      <c r="S249" s="8">
        <f t="shared" si="28"/>
        <v>0</v>
      </c>
      <c r="T249" s="8">
        <f t="shared" si="28"/>
        <v>0</v>
      </c>
      <c r="U249" s="8">
        <f t="shared" si="28"/>
        <v>92000</v>
      </c>
      <c r="V249" s="8">
        <f t="shared" si="28"/>
        <v>0</v>
      </c>
    </row>
    <row r="250" spans="1:22" x14ac:dyDescent="0.35">
      <c r="A250" s="25" t="s">
        <v>230</v>
      </c>
      <c r="B250" s="26">
        <v>2014</v>
      </c>
      <c r="C250" s="25" t="s">
        <v>232</v>
      </c>
      <c r="D250" s="27" t="s">
        <v>99</v>
      </c>
      <c r="E250" s="4" t="s">
        <v>95</v>
      </c>
      <c r="F250" s="4" t="s">
        <v>219</v>
      </c>
      <c r="G250" s="8"/>
      <c r="H250" s="8"/>
      <c r="I250" s="8"/>
      <c r="J250" s="8">
        <v>92000</v>
      </c>
      <c r="K250" s="8"/>
      <c r="M250" s="4">
        <v>6</v>
      </c>
      <c r="N250" s="8">
        <f t="shared" si="23"/>
        <v>92000</v>
      </c>
      <c r="O250" s="47" cm="1">
        <f t="array" ref="O250">_xlfn.IFNA(YEAR(INDEX($G$5:$K$5,,MATCH(1,G250:K250,-1))),"")</f>
        <v>2030</v>
      </c>
      <c r="R250" s="8">
        <f t="shared" si="28"/>
        <v>0</v>
      </c>
      <c r="S250" s="8">
        <f t="shared" si="28"/>
        <v>0</v>
      </c>
      <c r="T250" s="8">
        <f t="shared" si="28"/>
        <v>0</v>
      </c>
      <c r="U250" s="8">
        <f t="shared" si="28"/>
        <v>92000</v>
      </c>
      <c r="V250" s="8">
        <f t="shared" si="28"/>
        <v>0</v>
      </c>
    </row>
    <row r="251" spans="1:22" x14ac:dyDescent="0.35">
      <c r="A251" s="25" t="s">
        <v>230</v>
      </c>
      <c r="B251" s="26">
        <v>2015</v>
      </c>
      <c r="C251" s="25" t="s">
        <v>232</v>
      </c>
      <c r="D251" s="27" t="s">
        <v>99</v>
      </c>
      <c r="E251" s="4" t="s">
        <v>95</v>
      </c>
      <c r="F251" s="4" t="s">
        <v>219</v>
      </c>
      <c r="G251" s="8"/>
      <c r="H251" s="8"/>
      <c r="I251" s="8"/>
      <c r="J251" s="8"/>
      <c r="K251" s="8">
        <v>92000</v>
      </c>
      <c r="M251" s="4">
        <v>6</v>
      </c>
      <c r="N251" s="8">
        <f t="shared" si="23"/>
        <v>92000</v>
      </c>
      <c r="O251" s="47" cm="1">
        <f t="array" ref="O251">_xlfn.IFNA(YEAR(INDEX($G$5:$K$5,,MATCH(1,G251:K251,-1))),"")</f>
        <v>2031</v>
      </c>
      <c r="R251" s="8">
        <f t="shared" si="28"/>
        <v>0</v>
      </c>
      <c r="S251" s="8">
        <f t="shared" si="28"/>
        <v>0</v>
      </c>
      <c r="T251" s="8">
        <f t="shared" si="28"/>
        <v>0</v>
      </c>
      <c r="U251" s="8">
        <f t="shared" si="28"/>
        <v>0</v>
      </c>
      <c r="V251" s="8">
        <f t="shared" si="28"/>
        <v>92000</v>
      </c>
    </row>
    <row r="252" spans="1:22" x14ac:dyDescent="0.35">
      <c r="A252" s="25" t="s">
        <v>230</v>
      </c>
      <c r="B252" s="26">
        <v>2014</v>
      </c>
      <c r="C252" s="25" t="s">
        <v>232</v>
      </c>
      <c r="D252" s="27" t="s">
        <v>99</v>
      </c>
      <c r="E252" s="4" t="s">
        <v>95</v>
      </c>
      <c r="F252" s="4" t="s">
        <v>219</v>
      </c>
      <c r="G252" s="8"/>
      <c r="H252" s="8"/>
      <c r="I252" s="8"/>
      <c r="J252" s="8">
        <v>92000</v>
      </c>
      <c r="K252" s="8"/>
      <c r="M252" s="4">
        <v>6</v>
      </c>
      <c r="N252" s="8">
        <f t="shared" si="23"/>
        <v>92000</v>
      </c>
      <c r="O252" s="47" cm="1">
        <f t="array" ref="O252">_xlfn.IFNA(YEAR(INDEX($G$5:$K$5,,MATCH(1,G252:K252,-1))),"")</f>
        <v>2030</v>
      </c>
      <c r="R252" s="8">
        <f t="shared" si="28"/>
        <v>0</v>
      </c>
      <c r="S252" s="8">
        <f t="shared" si="28"/>
        <v>0</v>
      </c>
      <c r="T252" s="8">
        <f t="shared" si="28"/>
        <v>0</v>
      </c>
      <c r="U252" s="8">
        <f t="shared" si="28"/>
        <v>92000</v>
      </c>
      <c r="V252" s="8">
        <f t="shared" si="28"/>
        <v>0</v>
      </c>
    </row>
    <row r="253" spans="1:22" x14ac:dyDescent="0.35">
      <c r="A253" s="25" t="s">
        <v>230</v>
      </c>
      <c r="B253" s="26">
        <v>2015</v>
      </c>
      <c r="C253" s="25" t="s">
        <v>232</v>
      </c>
      <c r="D253" s="27" t="s">
        <v>99</v>
      </c>
      <c r="E253" s="4" t="s">
        <v>95</v>
      </c>
      <c r="F253" s="4" t="s">
        <v>219</v>
      </c>
      <c r="G253" s="8"/>
      <c r="H253" s="8"/>
      <c r="I253" s="8"/>
      <c r="J253" s="8"/>
      <c r="K253" s="8">
        <v>92000</v>
      </c>
      <c r="M253" s="4">
        <v>6</v>
      </c>
      <c r="N253" s="8">
        <f t="shared" si="23"/>
        <v>92000</v>
      </c>
      <c r="O253" s="47" cm="1">
        <f t="array" ref="O253">_xlfn.IFNA(YEAR(INDEX($G$5:$K$5,,MATCH(1,G253:K253,-1))),"")</f>
        <v>2031</v>
      </c>
      <c r="R253" s="8">
        <f t="shared" si="28"/>
        <v>0</v>
      </c>
      <c r="S253" s="8">
        <f t="shared" si="28"/>
        <v>0</v>
      </c>
      <c r="T253" s="8">
        <f t="shared" si="28"/>
        <v>0</v>
      </c>
      <c r="U253" s="8">
        <f t="shared" si="28"/>
        <v>0</v>
      </c>
      <c r="V253" s="8">
        <f t="shared" si="28"/>
        <v>92000</v>
      </c>
    </row>
    <row r="254" spans="1:22" x14ac:dyDescent="0.35">
      <c r="A254" s="25" t="s">
        <v>230</v>
      </c>
      <c r="B254" s="26">
        <v>2014</v>
      </c>
      <c r="C254" s="25" t="s">
        <v>232</v>
      </c>
      <c r="D254" s="27" t="s">
        <v>99</v>
      </c>
      <c r="E254" s="4" t="s">
        <v>95</v>
      </c>
      <c r="F254" s="4" t="s">
        <v>219</v>
      </c>
      <c r="G254" s="8"/>
      <c r="H254" s="8"/>
      <c r="I254" s="8"/>
      <c r="J254" s="8">
        <v>92000</v>
      </c>
      <c r="K254" s="8"/>
      <c r="M254" s="4">
        <v>6</v>
      </c>
      <c r="N254" s="8">
        <f t="shared" si="23"/>
        <v>92000</v>
      </c>
      <c r="O254" s="47" cm="1">
        <f t="array" ref="O254">_xlfn.IFNA(YEAR(INDEX($G$5:$K$5,,MATCH(1,G254:K254,-1))),"")</f>
        <v>2030</v>
      </c>
      <c r="R254" s="8">
        <f t="shared" si="28"/>
        <v>0</v>
      </c>
      <c r="S254" s="8">
        <f t="shared" si="28"/>
        <v>0</v>
      </c>
      <c r="T254" s="8">
        <f t="shared" si="28"/>
        <v>0</v>
      </c>
      <c r="U254" s="8">
        <f t="shared" si="28"/>
        <v>92000</v>
      </c>
      <c r="V254" s="8">
        <f t="shared" si="28"/>
        <v>0</v>
      </c>
    </row>
    <row r="255" spans="1:22" x14ac:dyDescent="0.35">
      <c r="A255" s="25" t="s">
        <v>230</v>
      </c>
      <c r="B255" s="26">
        <v>2014</v>
      </c>
      <c r="C255" s="25" t="s">
        <v>232</v>
      </c>
      <c r="D255" s="27" t="s">
        <v>99</v>
      </c>
      <c r="E255" s="4" t="s">
        <v>95</v>
      </c>
      <c r="F255" s="4" t="s">
        <v>219</v>
      </c>
      <c r="G255" s="8"/>
      <c r="H255" s="8"/>
      <c r="I255" s="8"/>
      <c r="J255" s="8">
        <v>92000</v>
      </c>
      <c r="K255" s="8"/>
      <c r="M255" s="4">
        <v>6</v>
      </c>
      <c r="N255" s="8">
        <f t="shared" si="23"/>
        <v>92000</v>
      </c>
      <c r="O255" s="47" cm="1">
        <f t="array" ref="O255">_xlfn.IFNA(YEAR(INDEX($G$5:$K$5,,MATCH(1,G255:K255,-1))),"")</f>
        <v>2030</v>
      </c>
      <c r="R255" s="8">
        <f t="shared" si="28"/>
        <v>0</v>
      </c>
      <c r="S255" s="8">
        <f t="shared" si="28"/>
        <v>0</v>
      </c>
      <c r="T255" s="8">
        <f t="shared" si="28"/>
        <v>0</v>
      </c>
      <c r="U255" s="8">
        <f t="shared" si="28"/>
        <v>92000</v>
      </c>
      <c r="V255" s="8">
        <f t="shared" si="28"/>
        <v>0</v>
      </c>
    </row>
    <row r="256" spans="1:22" x14ac:dyDescent="0.35">
      <c r="A256" s="25" t="s">
        <v>230</v>
      </c>
      <c r="B256" s="26">
        <v>2014</v>
      </c>
      <c r="C256" s="25" t="s">
        <v>232</v>
      </c>
      <c r="D256" s="27" t="s">
        <v>99</v>
      </c>
      <c r="E256" s="4" t="s">
        <v>95</v>
      </c>
      <c r="F256" s="4" t="s">
        <v>219</v>
      </c>
      <c r="G256" s="8"/>
      <c r="H256" s="8"/>
      <c r="I256" s="8"/>
      <c r="J256" s="8">
        <v>92000</v>
      </c>
      <c r="K256" s="8"/>
      <c r="M256" s="4">
        <v>6</v>
      </c>
      <c r="N256" s="8">
        <f t="shared" si="23"/>
        <v>92000</v>
      </c>
      <c r="O256" s="47" cm="1">
        <f t="array" ref="O256">_xlfn.IFNA(YEAR(INDEX($G$5:$K$5,,MATCH(1,G256:K256,-1))),"")</f>
        <v>2030</v>
      </c>
      <c r="R256" s="8">
        <f t="shared" ref="R256:V265" si="29">IF($O256="",0,IF(MOD(YEAR(R$5)-$O256,$M256)=0,$N256,0))</f>
        <v>0</v>
      </c>
      <c r="S256" s="8">
        <f t="shared" si="29"/>
        <v>0</v>
      </c>
      <c r="T256" s="8">
        <f t="shared" si="29"/>
        <v>0</v>
      </c>
      <c r="U256" s="8">
        <f t="shared" si="29"/>
        <v>92000</v>
      </c>
      <c r="V256" s="8">
        <f t="shared" si="29"/>
        <v>0</v>
      </c>
    </row>
    <row r="257" spans="1:22" x14ac:dyDescent="0.35">
      <c r="A257" s="25" t="s">
        <v>230</v>
      </c>
      <c r="B257" s="26">
        <v>2014</v>
      </c>
      <c r="C257" s="25" t="s">
        <v>232</v>
      </c>
      <c r="D257" s="27" t="s">
        <v>99</v>
      </c>
      <c r="E257" s="4" t="s">
        <v>95</v>
      </c>
      <c r="F257" s="4" t="s">
        <v>219</v>
      </c>
      <c r="G257" s="8"/>
      <c r="H257" s="8"/>
      <c r="I257" s="8"/>
      <c r="J257" s="8">
        <v>92000</v>
      </c>
      <c r="K257" s="8"/>
      <c r="M257" s="4">
        <v>6</v>
      </c>
      <c r="N257" s="8">
        <f t="shared" si="23"/>
        <v>92000</v>
      </c>
      <c r="O257" s="47" cm="1">
        <f t="array" ref="O257">_xlfn.IFNA(YEAR(INDEX($G$5:$K$5,,MATCH(1,G257:K257,-1))),"")</f>
        <v>2030</v>
      </c>
      <c r="R257" s="8">
        <f t="shared" si="29"/>
        <v>0</v>
      </c>
      <c r="S257" s="8">
        <f t="shared" si="29"/>
        <v>0</v>
      </c>
      <c r="T257" s="8">
        <f t="shared" si="29"/>
        <v>0</v>
      </c>
      <c r="U257" s="8">
        <f t="shared" si="29"/>
        <v>92000</v>
      </c>
      <c r="V257" s="8">
        <f t="shared" si="29"/>
        <v>0</v>
      </c>
    </row>
    <row r="258" spans="1:22" x14ac:dyDescent="0.35">
      <c r="A258" s="25" t="s">
        <v>230</v>
      </c>
      <c r="B258" s="26">
        <v>2014</v>
      </c>
      <c r="C258" s="25" t="s">
        <v>232</v>
      </c>
      <c r="D258" s="27" t="s">
        <v>99</v>
      </c>
      <c r="E258" s="4" t="s">
        <v>95</v>
      </c>
      <c r="F258" s="4" t="s">
        <v>219</v>
      </c>
      <c r="G258" s="8"/>
      <c r="H258" s="8"/>
      <c r="I258" s="8"/>
      <c r="J258" s="8">
        <v>92000</v>
      </c>
      <c r="K258" s="8"/>
      <c r="M258" s="4">
        <v>6</v>
      </c>
      <c r="N258" s="8">
        <f t="shared" si="23"/>
        <v>92000</v>
      </c>
      <c r="O258" s="47" cm="1">
        <f t="array" ref="O258">_xlfn.IFNA(YEAR(INDEX($G$5:$K$5,,MATCH(1,G258:K258,-1))),"")</f>
        <v>2030</v>
      </c>
      <c r="R258" s="8">
        <f t="shared" si="29"/>
        <v>0</v>
      </c>
      <c r="S258" s="8">
        <f t="shared" si="29"/>
        <v>0</v>
      </c>
      <c r="T258" s="8">
        <f t="shared" si="29"/>
        <v>0</v>
      </c>
      <c r="U258" s="8">
        <f t="shared" si="29"/>
        <v>92000</v>
      </c>
      <c r="V258" s="8">
        <f t="shared" si="29"/>
        <v>0</v>
      </c>
    </row>
    <row r="259" spans="1:22" x14ac:dyDescent="0.35">
      <c r="A259" s="25" t="s">
        <v>230</v>
      </c>
      <c r="B259" s="26">
        <v>2014</v>
      </c>
      <c r="C259" s="25" t="s">
        <v>232</v>
      </c>
      <c r="D259" s="27" t="s">
        <v>99</v>
      </c>
      <c r="E259" s="4" t="s">
        <v>95</v>
      </c>
      <c r="F259" s="4" t="s">
        <v>219</v>
      </c>
      <c r="G259" s="8"/>
      <c r="H259" s="8"/>
      <c r="I259" s="8"/>
      <c r="J259" s="8">
        <v>92000</v>
      </c>
      <c r="K259" s="8"/>
      <c r="M259" s="4">
        <v>6</v>
      </c>
      <c r="N259" s="8">
        <f t="shared" si="23"/>
        <v>92000</v>
      </c>
      <c r="O259" s="47" cm="1">
        <f t="array" ref="O259">_xlfn.IFNA(YEAR(INDEX($G$5:$K$5,,MATCH(1,G259:K259,-1))),"")</f>
        <v>2030</v>
      </c>
      <c r="R259" s="8">
        <f t="shared" si="29"/>
        <v>0</v>
      </c>
      <c r="S259" s="8">
        <f t="shared" si="29"/>
        <v>0</v>
      </c>
      <c r="T259" s="8">
        <f t="shared" si="29"/>
        <v>0</v>
      </c>
      <c r="U259" s="8">
        <f t="shared" si="29"/>
        <v>92000</v>
      </c>
      <c r="V259" s="8">
        <f t="shared" si="29"/>
        <v>0</v>
      </c>
    </row>
    <row r="260" spans="1:22" x14ac:dyDescent="0.35">
      <c r="A260" s="25" t="s">
        <v>230</v>
      </c>
      <c r="B260" s="26">
        <v>2014</v>
      </c>
      <c r="C260" s="25" t="s">
        <v>232</v>
      </c>
      <c r="D260" s="27" t="s">
        <v>99</v>
      </c>
      <c r="E260" s="4" t="s">
        <v>95</v>
      </c>
      <c r="F260" s="4" t="s">
        <v>219</v>
      </c>
      <c r="G260" s="8"/>
      <c r="H260" s="8"/>
      <c r="I260" s="8"/>
      <c r="J260" s="8">
        <v>92000</v>
      </c>
      <c r="K260" s="8"/>
      <c r="M260" s="4">
        <v>6</v>
      </c>
      <c r="N260" s="8">
        <f t="shared" si="23"/>
        <v>92000</v>
      </c>
      <c r="O260" s="47" cm="1">
        <f t="array" ref="O260">_xlfn.IFNA(YEAR(INDEX($G$5:$K$5,,MATCH(1,G260:K260,-1))),"")</f>
        <v>2030</v>
      </c>
      <c r="R260" s="8">
        <f t="shared" si="29"/>
        <v>0</v>
      </c>
      <c r="S260" s="8">
        <f t="shared" si="29"/>
        <v>0</v>
      </c>
      <c r="T260" s="8">
        <f t="shared" si="29"/>
        <v>0</v>
      </c>
      <c r="U260" s="8">
        <f t="shared" si="29"/>
        <v>92000</v>
      </c>
      <c r="V260" s="8">
        <f t="shared" si="29"/>
        <v>0</v>
      </c>
    </row>
    <row r="261" spans="1:22" x14ac:dyDescent="0.35">
      <c r="A261" s="25" t="s">
        <v>230</v>
      </c>
      <c r="B261" s="26">
        <v>2014</v>
      </c>
      <c r="C261" s="25" t="s">
        <v>232</v>
      </c>
      <c r="D261" s="27" t="s">
        <v>99</v>
      </c>
      <c r="E261" s="4" t="s">
        <v>95</v>
      </c>
      <c r="F261" s="4" t="s">
        <v>219</v>
      </c>
      <c r="G261" s="8"/>
      <c r="H261" s="8"/>
      <c r="I261" s="8"/>
      <c r="J261" s="8">
        <v>92000</v>
      </c>
      <c r="K261" s="8"/>
      <c r="M261" s="4">
        <v>6</v>
      </c>
      <c r="N261" s="8">
        <f t="shared" si="23"/>
        <v>92000</v>
      </c>
      <c r="O261" s="47" cm="1">
        <f t="array" ref="O261">_xlfn.IFNA(YEAR(INDEX($G$5:$K$5,,MATCH(1,G261:K261,-1))),"")</f>
        <v>2030</v>
      </c>
      <c r="R261" s="8">
        <f t="shared" si="29"/>
        <v>0</v>
      </c>
      <c r="S261" s="8">
        <f t="shared" si="29"/>
        <v>0</v>
      </c>
      <c r="T261" s="8">
        <f t="shared" si="29"/>
        <v>0</v>
      </c>
      <c r="U261" s="8">
        <f t="shared" si="29"/>
        <v>92000</v>
      </c>
      <c r="V261" s="8">
        <f t="shared" si="29"/>
        <v>0</v>
      </c>
    </row>
    <row r="262" spans="1:22" x14ac:dyDescent="0.35">
      <c r="A262" s="25" t="s">
        <v>230</v>
      </c>
      <c r="B262" s="26">
        <v>2014</v>
      </c>
      <c r="C262" s="25" t="s">
        <v>232</v>
      </c>
      <c r="D262" s="27" t="s">
        <v>99</v>
      </c>
      <c r="E262" s="4" t="s">
        <v>95</v>
      </c>
      <c r="F262" s="4" t="s">
        <v>219</v>
      </c>
      <c r="G262" s="8"/>
      <c r="H262" s="8"/>
      <c r="I262" s="8"/>
      <c r="J262" s="8">
        <v>92000</v>
      </c>
      <c r="K262" s="8"/>
      <c r="M262" s="4">
        <v>6</v>
      </c>
      <c r="N262" s="8">
        <f t="shared" ref="N262:N325" si="30">MAX(G262:K262)</f>
        <v>92000</v>
      </c>
      <c r="O262" s="47" cm="1">
        <f t="array" ref="O262">_xlfn.IFNA(YEAR(INDEX($G$5:$K$5,,MATCH(1,G262:K262,-1))),"")</f>
        <v>2030</v>
      </c>
      <c r="R262" s="8">
        <f t="shared" si="29"/>
        <v>0</v>
      </c>
      <c r="S262" s="8">
        <f t="shared" si="29"/>
        <v>0</v>
      </c>
      <c r="T262" s="8">
        <f t="shared" si="29"/>
        <v>0</v>
      </c>
      <c r="U262" s="8">
        <f t="shared" si="29"/>
        <v>92000</v>
      </c>
      <c r="V262" s="8">
        <f t="shared" si="29"/>
        <v>0</v>
      </c>
    </row>
    <row r="263" spans="1:22" x14ac:dyDescent="0.35">
      <c r="A263" s="25" t="s">
        <v>217</v>
      </c>
      <c r="B263" s="26">
        <v>2015</v>
      </c>
      <c r="C263" s="25" t="s">
        <v>218</v>
      </c>
      <c r="D263" s="27" t="s">
        <v>99</v>
      </c>
      <c r="E263" s="4" t="s">
        <v>95</v>
      </c>
      <c r="F263" s="4" t="s">
        <v>219</v>
      </c>
      <c r="G263" s="8"/>
      <c r="H263" s="8"/>
      <c r="I263" s="8"/>
      <c r="J263" s="8">
        <v>65000</v>
      </c>
      <c r="K263" s="8"/>
      <c r="M263" s="4">
        <v>6</v>
      </c>
      <c r="N263" s="8">
        <f t="shared" si="30"/>
        <v>65000</v>
      </c>
      <c r="O263" s="47" cm="1">
        <f t="array" ref="O263">_xlfn.IFNA(YEAR(INDEX($G$5:$K$5,,MATCH(1,G263:K263,-1))),"")</f>
        <v>2030</v>
      </c>
      <c r="R263" s="8">
        <f t="shared" si="29"/>
        <v>0</v>
      </c>
      <c r="S263" s="8">
        <f t="shared" si="29"/>
        <v>0</v>
      </c>
      <c r="T263" s="8">
        <f t="shared" si="29"/>
        <v>0</v>
      </c>
      <c r="U263" s="8">
        <f t="shared" si="29"/>
        <v>65000</v>
      </c>
      <c r="V263" s="8">
        <f t="shared" si="29"/>
        <v>0</v>
      </c>
    </row>
    <row r="264" spans="1:22" x14ac:dyDescent="0.35">
      <c r="A264" s="25" t="s">
        <v>93</v>
      </c>
      <c r="B264" s="26">
        <v>2013</v>
      </c>
      <c r="C264" s="25" t="s">
        <v>233</v>
      </c>
      <c r="D264" s="27" t="s">
        <v>22</v>
      </c>
      <c r="E264" s="4" t="s">
        <v>95</v>
      </c>
      <c r="F264" s="4" t="s">
        <v>219</v>
      </c>
      <c r="G264" s="8"/>
      <c r="H264" s="8"/>
      <c r="I264" s="8"/>
      <c r="J264" s="8"/>
      <c r="K264" s="28">
        <v>420000</v>
      </c>
      <c r="M264" s="4">
        <v>10</v>
      </c>
      <c r="N264" s="8">
        <f t="shared" si="30"/>
        <v>420000</v>
      </c>
      <c r="O264" s="47" cm="1">
        <f t="array" ref="O264">_xlfn.IFNA(YEAR(INDEX($G$5:$K$5,,MATCH(1,G264:K264,-1))),"")</f>
        <v>2031</v>
      </c>
      <c r="R264" s="8">
        <f t="shared" si="29"/>
        <v>0</v>
      </c>
      <c r="S264" s="8">
        <f t="shared" si="29"/>
        <v>0</v>
      </c>
      <c r="T264" s="8">
        <f t="shared" si="29"/>
        <v>0</v>
      </c>
      <c r="U264" s="8">
        <f t="shared" si="29"/>
        <v>0</v>
      </c>
      <c r="V264" s="8">
        <f t="shared" si="29"/>
        <v>420000</v>
      </c>
    </row>
    <row r="265" spans="1:22" x14ac:dyDescent="0.35">
      <c r="A265" s="25" t="s">
        <v>93</v>
      </c>
      <c r="B265" s="26">
        <v>2004</v>
      </c>
      <c r="C265" s="25" t="s">
        <v>234</v>
      </c>
      <c r="D265" s="27" t="s">
        <v>72</v>
      </c>
      <c r="E265" s="4" t="s">
        <v>95</v>
      </c>
      <c r="F265" s="4" t="s">
        <v>219</v>
      </c>
      <c r="G265" s="8"/>
      <c r="H265" s="8"/>
      <c r="I265" s="8"/>
      <c r="J265" s="8"/>
      <c r="K265" s="28">
        <v>200000</v>
      </c>
      <c r="M265" s="4">
        <v>20</v>
      </c>
      <c r="N265" s="8">
        <f t="shared" si="30"/>
        <v>200000</v>
      </c>
      <c r="O265" s="47" cm="1">
        <f t="array" ref="O265">_xlfn.IFNA(YEAR(INDEX($G$5:$K$5,,MATCH(1,G265:K265,-1))),"")</f>
        <v>2031</v>
      </c>
      <c r="R265" s="8">
        <f t="shared" si="29"/>
        <v>0</v>
      </c>
      <c r="S265" s="8">
        <f t="shared" si="29"/>
        <v>0</v>
      </c>
      <c r="T265" s="8">
        <f t="shared" si="29"/>
        <v>0</v>
      </c>
      <c r="U265" s="8">
        <f t="shared" si="29"/>
        <v>0</v>
      </c>
      <c r="V265" s="8">
        <f t="shared" si="29"/>
        <v>200000</v>
      </c>
    </row>
    <row r="266" spans="1:22" x14ac:dyDescent="0.35">
      <c r="A266" s="25" t="s">
        <v>223</v>
      </c>
      <c r="B266" s="26">
        <v>2007</v>
      </c>
      <c r="C266" s="25" t="s">
        <v>245</v>
      </c>
      <c r="D266" s="27" t="s">
        <v>99</v>
      </c>
      <c r="E266" s="4" t="s">
        <v>95</v>
      </c>
      <c r="F266" s="4" t="s">
        <v>219</v>
      </c>
      <c r="G266" s="8"/>
      <c r="H266" s="8"/>
      <c r="I266" s="8"/>
      <c r="J266" s="8"/>
      <c r="K266" s="8">
        <v>65000</v>
      </c>
      <c r="M266" s="4">
        <v>6</v>
      </c>
      <c r="N266" s="8">
        <f t="shared" si="30"/>
        <v>65000</v>
      </c>
      <c r="O266" s="47" cm="1">
        <f t="array" ref="O266">_xlfn.IFNA(YEAR(INDEX($G$5:$K$5,,MATCH(1,G266:K266,-1))),"")</f>
        <v>2031</v>
      </c>
      <c r="R266" s="8">
        <f t="shared" ref="R266:V275" si="31">IF($O266="",0,IF(MOD(YEAR(R$5)-$O266,$M266)=0,$N266,0))</f>
        <v>0</v>
      </c>
      <c r="S266" s="8">
        <f t="shared" si="31"/>
        <v>0</v>
      </c>
      <c r="T266" s="8">
        <f t="shared" si="31"/>
        <v>0</v>
      </c>
      <c r="U266" s="8">
        <f t="shared" si="31"/>
        <v>0</v>
      </c>
      <c r="V266" s="8">
        <f t="shared" si="31"/>
        <v>65000</v>
      </c>
    </row>
    <row r="267" spans="1:22" x14ac:dyDescent="0.35">
      <c r="A267" s="25" t="s">
        <v>93</v>
      </c>
      <c r="B267" s="26">
        <v>2009</v>
      </c>
      <c r="C267" s="25" t="s">
        <v>235</v>
      </c>
      <c r="D267" s="27" t="s">
        <v>72</v>
      </c>
      <c r="E267" s="4" t="s">
        <v>95</v>
      </c>
      <c r="F267" s="4" t="s">
        <v>219</v>
      </c>
      <c r="G267" s="8"/>
      <c r="H267" s="8"/>
      <c r="I267" s="8"/>
      <c r="J267" s="8">
        <v>200000</v>
      </c>
      <c r="K267" s="8"/>
      <c r="M267" s="4">
        <v>10</v>
      </c>
      <c r="N267" s="8">
        <f t="shared" si="30"/>
        <v>200000</v>
      </c>
      <c r="O267" s="47" cm="1">
        <f t="array" ref="O267">_xlfn.IFNA(YEAR(INDEX($G$5:$K$5,,MATCH(1,G267:K267,-1))),"")</f>
        <v>2030</v>
      </c>
      <c r="R267" s="8">
        <f t="shared" si="31"/>
        <v>0</v>
      </c>
      <c r="S267" s="8">
        <f t="shared" si="31"/>
        <v>0</v>
      </c>
      <c r="T267" s="8">
        <f t="shared" si="31"/>
        <v>0</v>
      </c>
      <c r="U267" s="8">
        <f t="shared" si="31"/>
        <v>200000</v>
      </c>
      <c r="V267" s="8">
        <f t="shared" si="31"/>
        <v>0</v>
      </c>
    </row>
    <row r="268" spans="1:22" x14ac:dyDescent="0.35">
      <c r="A268" s="25" t="s">
        <v>93</v>
      </c>
      <c r="B268" s="26">
        <v>2009</v>
      </c>
      <c r="C268" s="25" t="s">
        <v>246</v>
      </c>
      <c r="D268" s="27" t="s">
        <v>72</v>
      </c>
      <c r="E268" s="4" t="s">
        <v>95</v>
      </c>
      <c r="F268" s="4" t="s">
        <v>219</v>
      </c>
      <c r="G268" s="8"/>
      <c r="H268" s="8"/>
      <c r="I268" s="8"/>
      <c r="J268" s="8"/>
      <c r="K268" s="28">
        <v>200000</v>
      </c>
      <c r="M268" s="4">
        <v>10</v>
      </c>
      <c r="N268" s="8">
        <f t="shared" si="30"/>
        <v>200000</v>
      </c>
      <c r="O268" s="47" cm="1">
        <f t="array" ref="O268">_xlfn.IFNA(YEAR(INDEX($G$5:$K$5,,MATCH(1,G268:K268,-1))),"")</f>
        <v>2031</v>
      </c>
      <c r="R268" s="8">
        <f t="shared" si="31"/>
        <v>0</v>
      </c>
      <c r="S268" s="8">
        <f t="shared" si="31"/>
        <v>0</v>
      </c>
      <c r="T268" s="8">
        <f t="shared" si="31"/>
        <v>0</v>
      </c>
      <c r="U268" s="8">
        <f t="shared" si="31"/>
        <v>0</v>
      </c>
      <c r="V268" s="8">
        <f t="shared" si="31"/>
        <v>200000</v>
      </c>
    </row>
    <row r="269" spans="1:22" x14ac:dyDescent="0.35">
      <c r="A269" s="25" t="s">
        <v>239</v>
      </c>
      <c r="B269" s="26">
        <v>2003</v>
      </c>
      <c r="C269" s="25" t="s">
        <v>247</v>
      </c>
      <c r="D269" s="27" t="s">
        <v>99</v>
      </c>
      <c r="E269" s="4" t="s">
        <v>100</v>
      </c>
      <c r="F269" s="4" t="s">
        <v>219</v>
      </c>
      <c r="G269" s="8"/>
      <c r="H269" s="8"/>
      <c r="I269" s="8"/>
      <c r="J269" s="8"/>
      <c r="K269" s="28">
        <v>27000</v>
      </c>
      <c r="M269" s="4">
        <v>15</v>
      </c>
      <c r="N269" s="8">
        <f t="shared" si="30"/>
        <v>27000</v>
      </c>
      <c r="O269" s="47" cm="1">
        <f t="array" ref="O269">_xlfn.IFNA(YEAR(INDEX($G$5:$K$5,,MATCH(1,G269:K269,-1))),"")</f>
        <v>2031</v>
      </c>
      <c r="R269" s="8">
        <f t="shared" si="31"/>
        <v>0</v>
      </c>
      <c r="S269" s="8">
        <f t="shared" si="31"/>
        <v>0</v>
      </c>
      <c r="T269" s="8">
        <f t="shared" si="31"/>
        <v>0</v>
      </c>
      <c r="U269" s="8">
        <f t="shared" si="31"/>
        <v>0</v>
      </c>
      <c r="V269" s="8">
        <f t="shared" si="31"/>
        <v>27000</v>
      </c>
    </row>
    <row r="270" spans="1:22" x14ac:dyDescent="0.35">
      <c r="A270" s="25" t="s">
        <v>248</v>
      </c>
      <c r="B270" s="26">
        <v>2003</v>
      </c>
      <c r="C270" s="25" t="s">
        <v>249</v>
      </c>
      <c r="D270" s="27" t="s">
        <v>99</v>
      </c>
      <c r="E270" s="4" t="s">
        <v>100</v>
      </c>
      <c r="F270" s="4" t="s">
        <v>219</v>
      </c>
      <c r="G270" s="8"/>
      <c r="H270" s="8"/>
      <c r="I270" s="8"/>
      <c r="J270" s="8"/>
      <c r="K270" s="28">
        <v>27000</v>
      </c>
      <c r="M270" s="4">
        <v>15</v>
      </c>
      <c r="N270" s="8">
        <f t="shared" si="30"/>
        <v>27000</v>
      </c>
      <c r="O270" s="47" cm="1">
        <f t="array" ref="O270">_xlfn.IFNA(YEAR(INDEX($G$5:$K$5,,MATCH(1,G270:K270,-1))),"")</f>
        <v>2031</v>
      </c>
      <c r="R270" s="8">
        <f t="shared" si="31"/>
        <v>0</v>
      </c>
      <c r="S270" s="8">
        <f t="shared" si="31"/>
        <v>0</v>
      </c>
      <c r="T270" s="8">
        <f t="shared" si="31"/>
        <v>0</v>
      </c>
      <c r="U270" s="8">
        <f t="shared" si="31"/>
        <v>0</v>
      </c>
      <c r="V270" s="8">
        <f t="shared" si="31"/>
        <v>27000</v>
      </c>
    </row>
    <row r="271" spans="1:22" x14ac:dyDescent="0.35">
      <c r="A271" s="25" t="s">
        <v>250</v>
      </c>
      <c r="B271" s="26">
        <v>2006</v>
      </c>
      <c r="C271" s="25" t="s">
        <v>251</v>
      </c>
      <c r="D271" s="27" t="s">
        <v>99</v>
      </c>
      <c r="E271" s="4" t="s">
        <v>100</v>
      </c>
      <c r="F271" s="4" t="s">
        <v>219</v>
      </c>
      <c r="G271" s="8"/>
      <c r="H271" s="8"/>
      <c r="I271" s="8"/>
      <c r="J271" s="8"/>
      <c r="K271" s="28">
        <v>27000</v>
      </c>
      <c r="M271" s="4">
        <v>15</v>
      </c>
      <c r="N271" s="8">
        <f t="shared" si="30"/>
        <v>27000</v>
      </c>
      <c r="O271" s="47" cm="1">
        <f t="array" ref="O271">_xlfn.IFNA(YEAR(INDEX($G$5:$K$5,,MATCH(1,G271:K271,-1))),"")</f>
        <v>2031</v>
      </c>
      <c r="R271" s="8">
        <f t="shared" si="31"/>
        <v>0</v>
      </c>
      <c r="S271" s="8">
        <f t="shared" si="31"/>
        <v>0</v>
      </c>
      <c r="T271" s="8">
        <f t="shared" si="31"/>
        <v>0</v>
      </c>
      <c r="U271" s="8">
        <f t="shared" si="31"/>
        <v>0</v>
      </c>
      <c r="V271" s="8">
        <f t="shared" si="31"/>
        <v>27000</v>
      </c>
    </row>
    <row r="272" spans="1:22" x14ac:dyDescent="0.35">
      <c r="A272" s="25" t="s">
        <v>239</v>
      </c>
      <c r="B272" s="26">
        <v>2006</v>
      </c>
      <c r="C272" s="25" t="s">
        <v>252</v>
      </c>
      <c r="D272" s="27" t="s">
        <v>99</v>
      </c>
      <c r="E272" s="4" t="s">
        <v>100</v>
      </c>
      <c r="F272" s="4" t="s">
        <v>219</v>
      </c>
      <c r="G272" s="8"/>
      <c r="H272" s="8"/>
      <c r="I272" s="8"/>
      <c r="J272" s="8"/>
      <c r="K272" s="28">
        <v>27000</v>
      </c>
      <c r="M272" s="4">
        <v>15</v>
      </c>
      <c r="N272" s="8">
        <f t="shared" si="30"/>
        <v>27000</v>
      </c>
      <c r="O272" s="47" cm="1">
        <f t="array" ref="O272">_xlfn.IFNA(YEAR(INDEX($G$5:$K$5,,MATCH(1,G272:K272,-1))),"")</f>
        <v>2031</v>
      </c>
      <c r="R272" s="8">
        <f t="shared" si="31"/>
        <v>0</v>
      </c>
      <c r="S272" s="8">
        <f t="shared" si="31"/>
        <v>0</v>
      </c>
      <c r="T272" s="8">
        <f t="shared" si="31"/>
        <v>0</v>
      </c>
      <c r="U272" s="8">
        <f t="shared" si="31"/>
        <v>0</v>
      </c>
      <c r="V272" s="8">
        <f t="shared" si="31"/>
        <v>27000</v>
      </c>
    </row>
    <row r="273" spans="1:22" x14ac:dyDescent="0.35">
      <c r="A273" s="25" t="s">
        <v>242</v>
      </c>
      <c r="B273" s="26">
        <v>2007</v>
      </c>
      <c r="C273" s="25" t="s">
        <v>253</v>
      </c>
      <c r="D273" s="27" t="s">
        <v>99</v>
      </c>
      <c r="E273" s="4" t="s">
        <v>100</v>
      </c>
      <c r="F273" s="4" t="s">
        <v>219</v>
      </c>
      <c r="G273" s="8"/>
      <c r="H273" s="8"/>
      <c r="I273" s="8"/>
      <c r="J273" s="8"/>
      <c r="K273" s="28">
        <v>27000</v>
      </c>
      <c r="M273" s="4">
        <v>15</v>
      </c>
      <c r="N273" s="8">
        <f t="shared" si="30"/>
        <v>27000</v>
      </c>
      <c r="O273" s="47" cm="1">
        <f t="array" ref="O273">_xlfn.IFNA(YEAR(INDEX($G$5:$K$5,,MATCH(1,G273:K273,-1))),"")</f>
        <v>2031</v>
      </c>
      <c r="R273" s="8">
        <f t="shared" si="31"/>
        <v>0</v>
      </c>
      <c r="S273" s="8">
        <f t="shared" si="31"/>
        <v>0</v>
      </c>
      <c r="T273" s="8">
        <f t="shared" si="31"/>
        <v>0</v>
      </c>
      <c r="U273" s="8">
        <f t="shared" si="31"/>
        <v>0</v>
      </c>
      <c r="V273" s="8">
        <f t="shared" si="31"/>
        <v>27000</v>
      </c>
    </row>
    <row r="274" spans="1:22" x14ac:dyDescent="0.35">
      <c r="A274" s="25" t="s">
        <v>254</v>
      </c>
      <c r="B274" s="26">
        <v>2014</v>
      </c>
      <c r="C274" s="25" t="s">
        <v>255</v>
      </c>
      <c r="D274" s="27" t="s">
        <v>99</v>
      </c>
      <c r="E274" s="4" t="s">
        <v>100</v>
      </c>
      <c r="F274" s="4" t="s">
        <v>219</v>
      </c>
      <c r="G274" s="8"/>
      <c r="H274" s="8"/>
      <c r="I274" s="8"/>
      <c r="J274" s="8"/>
      <c r="K274" s="28">
        <v>27000</v>
      </c>
      <c r="M274" s="4">
        <v>15</v>
      </c>
      <c r="N274" s="8">
        <f t="shared" si="30"/>
        <v>27000</v>
      </c>
      <c r="O274" s="47" cm="1">
        <f t="array" ref="O274">_xlfn.IFNA(YEAR(INDEX($G$5:$K$5,,MATCH(1,G274:K274,-1))),"")</f>
        <v>2031</v>
      </c>
      <c r="R274" s="8">
        <f t="shared" si="31"/>
        <v>0</v>
      </c>
      <c r="S274" s="8">
        <f t="shared" si="31"/>
        <v>0</v>
      </c>
      <c r="T274" s="8">
        <f t="shared" si="31"/>
        <v>0</v>
      </c>
      <c r="U274" s="8">
        <f t="shared" si="31"/>
        <v>0</v>
      </c>
      <c r="V274" s="8">
        <f t="shared" si="31"/>
        <v>27000</v>
      </c>
    </row>
    <row r="275" spans="1:22" x14ac:dyDescent="0.35">
      <c r="A275" s="25" t="s">
        <v>109</v>
      </c>
      <c r="B275" s="26">
        <v>2016</v>
      </c>
      <c r="C275" s="25" t="s">
        <v>256</v>
      </c>
      <c r="D275" s="27" t="s">
        <v>99</v>
      </c>
      <c r="E275" s="4" t="s">
        <v>100</v>
      </c>
      <c r="F275" s="4" t="s">
        <v>219</v>
      </c>
      <c r="G275" s="8"/>
      <c r="H275" s="8"/>
      <c r="I275" s="8"/>
      <c r="J275" s="8"/>
      <c r="K275" s="28">
        <v>27000</v>
      </c>
      <c r="M275" s="4">
        <v>15</v>
      </c>
      <c r="N275" s="8">
        <f t="shared" si="30"/>
        <v>27000</v>
      </c>
      <c r="O275" s="47" cm="1">
        <f t="array" ref="O275">_xlfn.IFNA(YEAR(INDEX($G$5:$K$5,,MATCH(1,G275:K275,-1))),"")</f>
        <v>2031</v>
      </c>
      <c r="R275" s="8">
        <f t="shared" si="31"/>
        <v>0</v>
      </c>
      <c r="S275" s="8">
        <f t="shared" si="31"/>
        <v>0</v>
      </c>
      <c r="T275" s="8">
        <f t="shared" si="31"/>
        <v>0</v>
      </c>
      <c r="U275" s="8">
        <f t="shared" si="31"/>
        <v>0</v>
      </c>
      <c r="V275" s="8">
        <f t="shared" si="31"/>
        <v>27000</v>
      </c>
    </row>
    <row r="276" spans="1:22" x14ac:dyDescent="0.35">
      <c r="A276" s="25" t="s">
        <v>217</v>
      </c>
      <c r="B276" s="26">
        <v>2014</v>
      </c>
      <c r="C276" s="25" t="s">
        <v>218</v>
      </c>
      <c r="D276" s="27" t="s">
        <v>99</v>
      </c>
      <c r="E276" s="4" t="s">
        <v>95</v>
      </c>
      <c r="F276" s="4" t="s">
        <v>219</v>
      </c>
      <c r="G276" s="8"/>
      <c r="H276" s="8"/>
      <c r="I276" s="8"/>
      <c r="J276" s="8">
        <v>65000</v>
      </c>
      <c r="K276" s="8"/>
      <c r="M276" s="4">
        <v>6</v>
      </c>
      <c r="N276" s="8">
        <f t="shared" si="30"/>
        <v>65000</v>
      </c>
      <c r="O276" s="47" cm="1">
        <f t="array" ref="O276">_xlfn.IFNA(YEAR(INDEX($G$5:$K$5,,MATCH(1,G276:K276,-1))),"")</f>
        <v>2030</v>
      </c>
      <c r="R276" s="8">
        <f t="shared" ref="R276:V285" si="32">IF($O276="",0,IF(MOD(YEAR(R$5)-$O276,$M276)=0,$N276,0))</f>
        <v>0</v>
      </c>
      <c r="S276" s="8">
        <f t="shared" si="32"/>
        <v>0</v>
      </c>
      <c r="T276" s="8">
        <f t="shared" si="32"/>
        <v>0</v>
      </c>
      <c r="U276" s="8">
        <f t="shared" si="32"/>
        <v>65000</v>
      </c>
      <c r="V276" s="8">
        <f t="shared" si="32"/>
        <v>0</v>
      </c>
    </row>
    <row r="277" spans="1:22" x14ac:dyDescent="0.35">
      <c r="A277" s="25" t="s">
        <v>217</v>
      </c>
      <c r="B277" s="26">
        <v>2014</v>
      </c>
      <c r="C277" s="25" t="s">
        <v>218</v>
      </c>
      <c r="D277" s="27" t="s">
        <v>99</v>
      </c>
      <c r="E277" s="4" t="s">
        <v>95</v>
      </c>
      <c r="F277" s="4" t="s">
        <v>219</v>
      </c>
      <c r="G277" s="8"/>
      <c r="H277" s="8"/>
      <c r="I277" s="8"/>
      <c r="J277" s="8">
        <v>65000</v>
      </c>
      <c r="K277" s="8"/>
      <c r="M277" s="4">
        <v>6</v>
      </c>
      <c r="N277" s="8">
        <f t="shared" si="30"/>
        <v>65000</v>
      </c>
      <c r="O277" s="47" cm="1">
        <f t="array" ref="O277">_xlfn.IFNA(YEAR(INDEX($G$5:$K$5,,MATCH(1,G277:K277,-1))),"")</f>
        <v>2030</v>
      </c>
      <c r="R277" s="8">
        <f t="shared" si="32"/>
        <v>0</v>
      </c>
      <c r="S277" s="8">
        <f t="shared" si="32"/>
        <v>0</v>
      </c>
      <c r="T277" s="8">
        <f t="shared" si="32"/>
        <v>0</v>
      </c>
      <c r="U277" s="8">
        <f t="shared" si="32"/>
        <v>65000</v>
      </c>
      <c r="V277" s="8">
        <f t="shared" si="32"/>
        <v>0</v>
      </c>
    </row>
    <row r="278" spans="1:22" x14ac:dyDescent="0.35">
      <c r="A278" s="25" t="s">
        <v>217</v>
      </c>
      <c r="B278" s="26">
        <v>2014</v>
      </c>
      <c r="C278" s="25" t="s">
        <v>218</v>
      </c>
      <c r="D278" s="27" t="s">
        <v>99</v>
      </c>
      <c r="E278" s="4" t="s">
        <v>95</v>
      </c>
      <c r="F278" s="4" t="s">
        <v>219</v>
      </c>
      <c r="G278" s="8"/>
      <c r="H278" s="8"/>
      <c r="I278" s="8"/>
      <c r="J278" s="8">
        <v>65000</v>
      </c>
      <c r="K278" s="8"/>
      <c r="M278" s="4">
        <v>6</v>
      </c>
      <c r="N278" s="8">
        <f t="shared" si="30"/>
        <v>65000</v>
      </c>
      <c r="O278" s="47" cm="1">
        <f t="array" ref="O278">_xlfn.IFNA(YEAR(INDEX($G$5:$K$5,,MATCH(1,G278:K278,-1))),"")</f>
        <v>2030</v>
      </c>
      <c r="R278" s="8">
        <f t="shared" si="32"/>
        <v>0</v>
      </c>
      <c r="S278" s="8">
        <f t="shared" si="32"/>
        <v>0</v>
      </c>
      <c r="T278" s="8">
        <f t="shared" si="32"/>
        <v>0</v>
      </c>
      <c r="U278" s="8">
        <f t="shared" si="32"/>
        <v>65000</v>
      </c>
      <c r="V278" s="8">
        <f t="shared" si="32"/>
        <v>0</v>
      </c>
    </row>
    <row r="279" spans="1:22" x14ac:dyDescent="0.35">
      <c r="A279" s="25" t="s">
        <v>217</v>
      </c>
      <c r="B279" s="26">
        <v>2014</v>
      </c>
      <c r="C279" s="25" t="s">
        <v>218</v>
      </c>
      <c r="D279" s="27" t="s">
        <v>99</v>
      </c>
      <c r="E279" s="4" t="s">
        <v>95</v>
      </c>
      <c r="F279" s="4" t="s">
        <v>219</v>
      </c>
      <c r="G279" s="8"/>
      <c r="H279" s="8"/>
      <c r="I279" s="8"/>
      <c r="J279" s="8">
        <v>65000</v>
      </c>
      <c r="K279" s="8"/>
      <c r="M279" s="4">
        <v>6</v>
      </c>
      <c r="N279" s="8">
        <f t="shared" si="30"/>
        <v>65000</v>
      </c>
      <c r="O279" s="47" cm="1">
        <f t="array" ref="O279">_xlfn.IFNA(YEAR(INDEX($G$5:$K$5,,MATCH(1,G279:K279,-1))),"")</f>
        <v>2030</v>
      </c>
      <c r="R279" s="8">
        <f t="shared" si="32"/>
        <v>0</v>
      </c>
      <c r="S279" s="8">
        <f t="shared" si="32"/>
        <v>0</v>
      </c>
      <c r="T279" s="8">
        <f t="shared" si="32"/>
        <v>0</v>
      </c>
      <c r="U279" s="8">
        <f t="shared" si="32"/>
        <v>65000</v>
      </c>
      <c r="V279" s="8">
        <f t="shared" si="32"/>
        <v>0</v>
      </c>
    </row>
    <row r="280" spans="1:22" x14ac:dyDescent="0.35">
      <c r="A280" s="25" t="s">
        <v>217</v>
      </c>
      <c r="B280" s="26">
        <v>2014</v>
      </c>
      <c r="C280" s="25" t="s">
        <v>218</v>
      </c>
      <c r="D280" s="27" t="s">
        <v>99</v>
      </c>
      <c r="E280" s="4" t="s">
        <v>95</v>
      </c>
      <c r="F280" s="4" t="s">
        <v>219</v>
      </c>
      <c r="G280" s="8"/>
      <c r="H280" s="8"/>
      <c r="I280" s="8"/>
      <c r="J280" s="8">
        <v>65000</v>
      </c>
      <c r="K280" s="8"/>
      <c r="M280" s="4">
        <v>6</v>
      </c>
      <c r="N280" s="8">
        <f t="shared" si="30"/>
        <v>65000</v>
      </c>
      <c r="O280" s="47" cm="1">
        <f t="array" ref="O280">_xlfn.IFNA(YEAR(INDEX($G$5:$K$5,,MATCH(1,G280:K280,-1))),"")</f>
        <v>2030</v>
      </c>
      <c r="R280" s="8">
        <f t="shared" si="32"/>
        <v>0</v>
      </c>
      <c r="S280" s="8">
        <f t="shared" si="32"/>
        <v>0</v>
      </c>
      <c r="T280" s="8">
        <f t="shared" si="32"/>
        <v>0</v>
      </c>
      <c r="U280" s="8">
        <f t="shared" si="32"/>
        <v>65000</v>
      </c>
      <c r="V280" s="8">
        <f t="shared" si="32"/>
        <v>0</v>
      </c>
    </row>
    <row r="281" spans="1:22" x14ac:dyDescent="0.35">
      <c r="A281" s="25" t="s">
        <v>117</v>
      </c>
      <c r="B281" s="26">
        <v>2016</v>
      </c>
      <c r="C281" s="25" t="s">
        <v>221</v>
      </c>
      <c r="D281" s="27" t="s">
        <v>99</v>
      </c>
      <c r="E281" s="4" t="s">
        <v>95</v>
      </c>
      <c r="F281" s="4" t="s">
        <v>219</v>
      </c>
      <c r="G281" s="8"/>
      <c r="H281" s="8"/>
      <c r="I281" s="8"/>
      <c r="J281" s="8"/>
      <c r="K281" s="8">
        <v>55000</v>
      </c>
      <c r="M281" s="4">
        <v>6</v>
      </c>
      <c r="N281" s="8">
        <f t="shared" si="30"/>
        <v>55000</v>
      </c>
      <c r="O281" s="47" cm="1">
        <f t="array" ref="O281">_xlfn.IFNA(YEAR(INDEX($G$5:$K$5,,MATCH(1,G281:K281,-1))),"")</f>
        <v>2031</v>
      </c>
      <c r="R281" s="8">
        <f t="shared" si="32"/>
        <v>0</v>
      </c>
      <c r="S281" s="8">
        <f t="shared" si="32"/>
        <v>0</v>
      </c>
      <c r="T281" s="8">
        <f t="shared" si="32"/>
        <v>0</v>
      </c>
      <c r="U281" s="8">
        <f t="shared" si="32"/>
        <v>0</v>
      </c>
      <c r="V281" s="8">
        <f t="shared" si="32"/>
        <v>55000</v>
      </c>
    </row>
    <row r="282" spans="1:22" x14ac:dyDescent="0.35">
      <c r="A282" s="25" t="s">
        <v>230</v>
      </c>
      <c r="B282" s="26">
        <v>2015</v>
      </c>
      <c r="C282" s="25" t="s">
        <v>232</v>
      </c>
      <c r="D282" s="27" t="s">
        <v>99</v>
      </c>
      <c r="E282" s="4" t="s">
        <v>95</v>
      </c>
      <c r="F282" s="4" t="s">
        <v>219</v>
      </c>
      <c r="G282" s="8"/>
      <c r="H282" s="8"/>
      <c r="I282" s="8"/>
      <c r="J282" s="8"/>
      <c r="K282" s="8">
        <v>92000</v>
      </c>
      <c r="M282" s="4">
        <v>6</v>
      </c>
      <c r="N282" s="8">
        <f t="shared" si="30"/>
        <v>92000</v>
      </c>
      <c r="O282" s="47" cm="1">
        <f t="array" ref="O282">_xlfn.IFNA(YEAR(INDEX($G$5:$K$5,,MATCH(1,G282:K282,-1))),"")</f>
        <v>2031</v>
      </c>
      <c r="R282" s="8">
        <f t="shared" si="32"/>
        <v>0</v>
      </c>
      <c r="S282" s="8">
        <f t="shared" si="32"/>
        <v>0</v>
      </c>
      <c r="T282" s="8">
        <f t="shared" si="32"/>
        <v>0</v>
      </c>
      <c r="U282" s="8">
        <f t="shared" si="32"/>
        <v>0</v>
      </c>
      <c r="V282" s="8">
        <f t="shared" si="32"/>
        <v>92000</v>
      </c>
    </row>
    <row r="283" spans="1:22" x14ac:dyDescent="0.35">
      <c r="A283" s="25" t="s">
        <v>230</v>
      </c>
      <c r="B283" s="26">
        <v>2015</v>
      </c>
      <c r="C283" s="25" t="s">
        <v>232</v>
      </c>
      <c r="D283" s="27" t="s">
        <v>99</v>
      </c>
      <c r="E283" s="4" t="s">
        <v>95</v>
      </c>
      <c r="F283" s="4" t="s">
        <v>219</v>
      </c>
      <c r="G283" s="8"/>
      <c r="H283" s="8"/>
      <c r="I283" s="8"/>
      <c r="J283" s="8"/>
      <c r="K283" s="8">
        <v>92000</v>
      </c>
      <c r="M283" s="4">
        <v>6</v>
      </c>
      <c r="N283" s="8">
        <f t="shared" si="30"/>
        <v>92000</v>
      </c>
      <c r="O283" s="47" cm="1">
        <f t="array" ref="O283">_xlfn.IFNA(YEAR(INDEX($G$5:$K$5,,MATCH(1,G283:K283,-1))),"")</f>
        <v>2031</v>
      </c>
      <c r="R283" s="8">
        <f t="shared" si="32"/>
        <v>0</v>
      </c>
      <c r="S283" s="8">
        <f t="shared" si="32"/>
        <v>0</v>
      </c>
      <c r="T283" s="8">
        <f t="shared" si="32"/>
        <v>0</v>
      </c>
      <c r="U283" s="8">
        <f t="shared" si="32"/>
        <v>0</v>
      </c>
      <c r="V283" s="8">
        <f t="shared" si="32"/>
        <v>92000</v>
      </c>
    </row>
    <row r="284" spans="1:22" x14ac:dyDescent="0.35">
      <c r="A284" s="25" t="s">
        <v>257</v>
      </c>
      <c r="B284" s="26">
        <v>2014</v>
      </c>
      <c r="C284" s="25" t="s">
        <v>258</v>
      </c>
      <c r="D284" s="27" t="s">
        <v>72</v>
      </c>
      <c r="E284" s="4" t="s">
        <v>95</v>
      </c>
      <c r="F284" s="4" t="s">
        <v>219</v>
      </c>
      <c r="G284" s="8"/>
      <c r="H284" s="8"/>
      <c r="I284" s="8"/>
      <c r="J284" s="28">
        <v>600000</v>
      </c>
      <c r="K284" s="8"/>
      <c r="M284" s="4">
        <v>15</v>
      </c>
      <c r="N284" s="8">
        <f t="shared" si="30"/>
        <v>600000</v>
      </c>
      <c r="O284" s="47" cm="1">
        <f t="array" ref="O284">_xlfn.IFNA(YEAR(INDEX($G$5:$K$5,,MATCH(1,G284:K284,-1))),"")</f>
        <v>2030</v>
      </c>
      <c r="R284" s="8">
        <f t="shared" si="32"/>
        <v>0</v>
      </c>
      <c r="S284" s="8">
        <f t="shared" si="32"/>
        <v>0</v>
      </c>
      <c r="T284" s="8">
        <f t="shared" si="32"/>
        <v>0</v>
      </c>
      <c r="U284" s="8">
        <f t="shared" si="32"/>
        <v>600000</v>
      </c>
      <c r="V284" s="8">
        <f t="shared" si="32"/>
        <v>0</v>
      </c>
    </row>
    <row r="285" spans="1:22" x14ac:dyDescent="0.35">
      <c r="A285" s="25" t="s">
        <v>117</v>
      </c>
      <c r="B285" s="26">
        <v>2015</v>
      </c>
      <c r="C285" s="25" t="s">
        <v>221</v>
      </c>
      <c r="D285" s="27" t="s">
        <v>99</v>
      </c>
      <c r="E285" s="4" t="s">
        <v>95</v>
      </c>
      <c r="F285" s="4" t="s">
        <v>219</v>
      </c>
      <c r="G285" s="8"/>
      <c r="H285" s="8"/>
      <c r="I285" s="8"/>
      <c r="J285" s="8"/>
      <c r="K285" s="8">
        <v>55000</v>
      </c>
      <c r="M285" s="4">
        <v>6</v>
      </c>
      <c r="N285" s="8">
        <f t="shared" si="30"/>
        <v>55000</v>
      </c>
      <c r="O285" s="47" cm="1">
        <f t="array" ref="O285">_xlfn.IFNA(YEAR(INDEX($G$5:$K$5,,MATCH(1,G285:K285,-1))),"")</f>
        <v>2031</v>
      </c>
      <c r="R285" s="8">
        <f t="shared" si="32"/>
        <v>0</v>
      </c>
      <c r="S285" s="8">
        <f t="shared" si="32"/>
        <v>0</v>
      </c>
      <c r="T285" s="8">
        <f t="shared" si="32"/>
        <v>0</v>
      </c>
      <c r="U285" s="8">
        <f t="shared" si="32"/>
        <v>0</v>
      </c>
      <c r="V285" s="8">
        <f t="shared" si="32"/>
        <v>55000</v>
      </c>
    </row>
    <row r="286" spans="1:22" x14ac:dyDescent="0.35">
      <c r="A286" s="25" t="s">
        <v>230</v>
      </c>
      <c r="B286" s="26">
        <v>2016</v>
      </c>
      <c r="C286" s="25" t="s">
        <v>259</v>
      </c>
      <c r="D286" s="27" t="s">
        <v>99</v>
      </c>
      <c r="E286" s="4" t="s">
        <v>95</v>
      </c>
      <c r="F286" s="4" t="s">
        <v>219</v>
      </c>
      <c r="G286" s="8"/>
      <c r="H286" s="8"/>
      <c r="I286" s="8"/>
      <c r="J286" s="8"/>
      <c r="K286" s="28">
        <v>92000</v>
      </c>
      <c r="M286" s="4">
        <v>6</v>
      </c>
      <c r="N286" s="8">
        <f t="shared" si="30"/>
        <v>92000</v>
      </c>
      <c r="O286" s="47" cm="1">
        <f t="array" ref="O286">_xlfn.IFNA(YEAR(INDEX($G$5:$K$5,,MATCH(1,G286:K286,-1))),"")</f>
        <v>2031</v>
      </c>
      <c r="R286" s="8">
        <f t="shared" ref="R286:V295" si="33">IF($O286="",0,IF(MOD(YEAR(R$5)-$O286,$M286)=0,$N286,0))</f>
        <v>0</v>
      </c>
      <c r="S286" s="8">
        <f t="shared" si="33"/>
        <v>0</v>
      </c>
      <c r="T286" s="8">
        <f t="shared" si="33"/>
        <v>0</v>
      </c>
      <c r="U286" s="8">
        <f t="shared" si="33"/>
        <v>0</v>
      </c>
      <c r="V286" s="8">
        <f t="shared" si="33"/>
        <v>92000</v>
      </c>
    </row>
    <row r="287" spans="1:22" x14ac:dyDescent="0.35">
      <c r="A287" s="25" t="s">
        <v>230</v>
      </c>
      <c r="B287" s="26">
        <v>2016</v>
      </c>
      <c r="C287" s="25" t="s">
        <v>259</v>
      </c>
      <c r="D287" s="27" t="s">
        <v>99</v>
      </c>
      <c r="E287" s="4" t="s">
        <v>95</v>
      </c>
      <c r="F287" s="4" t="s">
        <v>219</v>
      </c>
      <c r="G287" s="8"/>
      <c r="H287" s="8"/>
      <c r="I287" s="8"/>
      <c r="J287" s="8"/>
      <c r="K287" s="28">
        <v>92000</v>
      </c>
      <c r="M287" s="4">
        <v>6</v>
      </c>
      <c r="N287" s="8">
        <f t="shared" si="30"/>
        <v>92000</v>
      </c>
      <c r="O287" s="47" cm="1">
        <f t="array" ref="O287">_xlfn.IFNA(YEAR(INDEX($G$5:$K$5,,MATCH(1,G287:K287,-1))),"")</f>
        <v>2031</v>
      </c>
      <c r="R287" s="8">
        <f t="shared" si="33"/>
        <v>0</v>
      </c>
      <c r="S287" s="8">
        <f t="shared" si="33"/>
        <v>0</v>
      </c>
      <c r="T287" s="8">
        <f t="shared" si="33"/>
        <v>0</v>
      </c>
      <c r="U287" s="8">
        <f t="shared" si="33"/>
        <v>0</v>
      </c>
      <c r="V287" s="8">
        <f t="shared" si="33"/>
        <v>92000</v>
      </c>
    </row>
    <row r="288" spans="1:22" x14ac:dyDescent="0.35">
      <c r="A288" s="25" t="s">
        <v>230</v>
      </c>
      <c r="B288" s="26">
        <v>2016</v>
      </c>
      <c r="C288" s="25" t="s">
        <v>259</v>
      </c>
      <c r="D288" s="27" t="s">
        <v>99</v>
      </c>
      <c r="E288" s="4" t="s">
        <v>95</v>
      </c>
      <c r="F288" s="4" t="s">
        <v>219</v>
      </c>
      <c r="G288" s="8"/>
      <c r="H288" s="8"/>
      <c r="I288" s="8"/>
      <c r="J288" s="8"/>
      <c r="K288" s="28">
        <v>92000</v>
      </c>
      <c r="M288" s="4">
        <v>6</v>
      </c>
      <c r="N288" s="8">
        <f t="shared" si="30"/>
        <v>92000</v>
      </c>
      <c r="O288" s="47" cm="1">
        <f t="array" ref="O288">_xlfn.IFNA(YEAR(INDEX($G$5:$K$5,,MATCH(1,G288:K288,-1))),"")</f>
        <v>2031</v>
      </c>
      <c r="R288" s="8">
        <f t="shared" si="33"/>
        <v>0</v>
      </c>
      <c r="S288" s="8">
        <f t="shared" si="33"/>
        <v>0</v>
      </c>
      <c r="T288" s="8">
        <f t="shared" si="33"/>
        <v>0</v>
      </c>
      <c r="U288" s="8">
        <f t="shared" si="33"/>
        <v>0</v>
      </c>
      <c r="V288" s="8">
        <f t="shared" si="33"/>
        <v>92000</v>
      </c>
    </row>
    <row r="289" spans="1:22" x14ac:dyDescent="0.35">
      <c r="A289" s="25" t="s">
        <v>217</v>
      </c>
      <c r="B289" s="26">
        <v>2016</v>
      </c>
      <c r="C289" s="25" t="s">
        <v>218</v>
      </c>
      <c r="D289" s="27" t="s">
        <v>99</v>
      </c>
      <c r="E289" s="4" t="s">
        <v>95</v>
      </c>
      <c r="F289" s="4" t="s">
        <v>219</v>
      </c>
      <c r="G289" s="8"/>
      <c r="H289" s="8"/>
      <c r="I289" s="8"/>
      <c r="J289" s="8"/>
      <c r="K289" s="28">
        <v>55000</v>
      </c>
      <c r="M289" s="4">
        <v>6</v>
      </c>
      <c r="N289" s="8">
        <f t="shared" si="30"/>
        <v>55000</v>
      </c>
      <c r="O289" s="47" cm="1">
        <f t="array" ref="O289">_xlfn.IFNA(YEAR(INDEX($G$5:$K$5,,MATCH(1,G289:K289,-1))),"")</f>
        <v>2031</v>
      </c>
      <c r="R289" s="8">
        <f t="shared" si="33"/>
        <v>0</v>
      </c>
      <c r="S289" s="8">
        <f t="shared" si="33"/>
        <v>0</v>
      </c>
      <c r="T289" s="8">
        <f t="shared" si="33"/>
        <v>0</v>
      </c>
      <c r="U289" s="8">
        <f t="shared" si="33"/>
        <v>0</v>
      </c>
      <c r="V289" s="8">
        <f t="shared" si="33"/>
        <v>55000</v>
      </c>
    </row>
    <row r="290" spans="1:22" x14ac:dyDescent="0.35">
      <c r="A290" s="25" t="s">
        <v>93</v>
      </c>
      <c r="B290" s="26">
        <v>2016</v>
      </c>
      <c r="C290" s="25" t="s">
        <v>260</v>
      </c>
      <c r="D290" s="27" t="s">
        <v>22</v>
      </c>
      <c r="E290" s="4" t="s">
        <v>95</v>
      </c>
      <c r="F290" s="4" t="s">
        <v>219</v>
      </c>
      <c r="G290" s="8"/>
      <c r="H290" s="8">
        <v>420000</v>
      </c>
      <c r="I290" s="8"/>
      <c r="J290" s="8"/>
      <c r="K290" s="8"/>
      <c r="M290" s="4">
        <v>10</v>
      </c>
      <c r="N290" s="8">
        <f t="shared" si="30"/>
        <v>420000</v>
      </c>
      <c r="O290" s="47" cm="1">
        <f t="array" ref="O290">_xlfn.IFNA(YEAR(INDEX($G$5:$K$5,,MATCH(1,G290:K290,-1))),"")</f>
        <v>2028</v>
      </c>
      <c r="R290" s="8">
        <f t="shared" si="33"/>
        <v>0</v>
      </c>
      <c r="S290" s="8">
        <f t="shared" si="33"/>
        <v>420000</v>
      </c>
      <c r="T290" s="8">
        <f t="shared" si="33"/>
        <v>0</v>
      </c>
      <c r="U290" s="8">
        <f t="shared" si="33"/>
        <v>0</v>
      </c>
      <c r="V290" s="8">
        <f t="shared" si="33"/>
        <v>0</v>
      </c>
    </row>
    <row r="291" spans="1:22" x14ac:dyDescent="0.35">
      <c r="A291" s="25" t="s">
        <v>93</v>
      </c>
      <c r="B291" s="26">
        <v>2016</v>
      </c>
      <c r="C291" s="25" t="s">
        <v>260</v>
      </c>
      <c r="D291" s="27" t="s">
        <v>22</v>
      </c>
      <c r="E291" s="4" t="s">
        <v>95</v>
      </c>
      <c r="F291" s="4" t="s">
        <v>219</v>
      </c>
      <c r="G291" s="8"/>
      <c r="H291" s="8">
        <v>420000</v>
      </c>
      <c r="I291" s="8"/>
      <c r="J291" s="8"/>
      <c r="K291" s="8"/>
      <c r="M291" s="4">
        <v>10</v>
      </c>
      <c r="N291" s="8">
        <f t="shared" si="30"/>
        <v>420000</v>
      </c>
      <c r="O291" s="47" cm="1">
        <f t="array" ref="O291">_xlfn.IFNA(YEAR(INDEX($G$5:$K$5,,MATCH(1,G291:K291,-1))),"")</f>
        <v>2028</v>
      </c>
      <c r="R291" s="8">
        <f t="shared" si="33"/>
        <v>0</v>
      </c>
      <c r="S291" s="8">
        <f t="shared" si="33"/>
        <v>420000</v>
      </c>
      <c r="T291" s="8">
        <f t="shared" si="33"/>
        <v>0</v>
      </c>
      <c r="U291" s="8">
        <f t="shared" si="33"/>
        <v>0</v>
      </c>
      <c r="V291" s="8">
        <f t="shared" si="33"/>
        <v>0</v>
      </c>
    </row>
    <row r="292" spans="1:22" x14ac:dyDescent="0.35">
      <c r="A292" s="25" t="s">
        <v>93</v>
      </c>
      <c r="B292" s="26">
        <v>2016</v>
      </c>
      <c r="C292" s="25" t="s">
        <v>260</v>
      </c>
      <c r="D292" s="27" t="s">
        <v>22</v>
      </c>
      <c r="E292" s="4" t="s">
        <v>95</v>
      </c>
      <c r="F292" s="4" t="s">
        <v>219</v>
      </c>
      <c r="G292" s="8"/>
      <c r="H292" s="8">
        <v>420000</v>
      </c>
      <c r="I292" s="8"/>
      <c r="J292" s="8"/>
      <c r="K292" s="8"/>
      <c r="M292" s="4">
        <v>10</v>
      </c>
      <c r="N292" s="8">
        <f t="shared" si="30"/>
        <v>420000</v>
      </c>
      <c r="O292" s="47" cm="1">
        <f t="array" ref="O292">_xlfn.IFNA(YEAR(INDEX($G$5:$K$5,,MATCH(1,G292:K292,-1))),"")</f>
        <v>2028</v>
      </c>
      <c r="R292" s="8">
        <f t="shared" si="33"/>
        <v>0</v>
      </c>
      <c r="S292" s="8">
        <f t="shared" si="33"/>
        <v>420000</v>
      </c>
      <c r="T292" s="8">
        <f t="shared" si="33"/>
        <v>0</v>
      </c>
      <c r="U292" s="8">
        <f t="shared" si="33"/>
        <v>0</v>
      </c>
      <c r="V292" s="8">
        <f t="shared" si="33"/>
        <v>0</v>
      </c>
    </row>
    <row r="293" spans="1:22" x14ac:dyDescent="0.35">
      <c r="A293" s="25" t="s">
        <v>117</v>
      </c>
      <c r="B293" s="26">
        <v>2016</v>
      </c>
      <c r="C293" s="25" t="s">
        <v>221</v>
      </c>
      <c r="D293" s="27" t="s">
        <v>99</v>
      </c>
      <c r="E293" s="4" t="s">
        <v>95</v>
      </c>
      <c r="F293" s="4" t="s">
        <v>219</v>
      </c>
      <c r="G293" s="8"/>
      <c r="H293" s="8"/>
      <c r="I293" s="8"/>
      <c r="J293" s="8">
        <v>55000</v>
      </c>
      <c r="K293" s="8"/>
      <c r="M293" s="4">
        <v>6</v>
      </c>
      <c r="N293" s="8">
        <f t="shared" si="30"/>
        <v>55000</v>
      </c>
      <c r="O293" s="47" cm="1">
        <f t="array" ref="O293">_xlfn.IFNA(YEAR(INDEX($G$5:$K$5,,MATCH(1,G293:K293,-1))),"")</f>
        <v>2030</v>
      </c>
      <c r="R293" s="8">
        <f t="shared" si="33"/>
        <v>0</v>
      </c>
      <c r="S293" s="8">
        <f t="shared" si="33"/>
        <v>0</v>
      </c>
      <c r="T293" s="8">
        <f t="shared" si="33"/>
        <v>0</v>
      </c>
      <c r="U293" s="8">
        <f t="shared" si="33"/>
        <v>55000</v>
      </c>
      <c r="V293" s="8">
        <f t="shared" si="33"/>
        <v>0</v>
      </c>
    </row>
    <row r="294" spans="1:22" x14ac:dyDescent="0.35">
      <c r="A294" s="25" t="s">
        <v>117</v>
      </c>
      <c r="B294" s="26">
        <v>2016</v>
      </c>
      <c r="C294" s="25" t="s">
        <v>225</v>
      </c>
      <c r="D294" s="27" t="s">
        <v>99</v>
      </c>
      <c r="E294" s="4" t="s">
        <v>95</v>
      </c>
      <c r="F294" s="4" t="s">
        <v>219</v>
      </c>
      <c r="G294" s="8"/>
      <c r="H294" s="8"/>
      <c r="I294" s="8"/>
      <c r="J294" s="8">
        <v>55000</v>
      </c>
      <c r="K294" s="8"/>
      <c r="M294" s="4">
        <v>6</v>
      </c>
      <c r="N294" s="8">
        <f t="shared" si="30"/>
        <v>55000</v>
      </c>
      <c r="O294" s="47" cm="1">
        <f t="array" ref="O294">_xlfn.IFNA(YEAR(INDEX($G$5:$K$5,,MATCH(1,G294:K294,-1))),"")</f>
        <v>2030</v>
      </c>
      <c r="R294" s="8">
        <f t="shared" si="33"/>
        <v>0</v>
      </c>
      <c r="S294" s="8">
        <f t="shared" si="33"/>
        <v>0</v>
      </c>
      <c r="T294" s="8">
        <f t="shared" si="33"/>
        <v>0</v>
      </c>
      <c r="U294" s="8">
        <f t="shared" si="33"/>
        <v>55000</v>
      </c>
      <c r="V294" s="8">
        <f t="shared" si="33"/>
        <v>0</v>
      </c>
    </row>
    <row r="295" spans="1:22" x14ac:dyDescent="0.35">
      <c r="A295" s="25" t="s">
        <v>93</v>
      </c>
      <c r="B295" s="26">
        <v>2013</v>
      </c>
      <c r="C295" s="25" t="s">
        <v>233</v>
      </c>
      <c r="D295" s="27" t="s">
        <v>22</v>
      </c>
      <c r="E295" s="4" t="s">
        <v>95</v>
      </c>
      <c r="F295" s="4" t="s">
        <v>219</v>
      </c>
      <c r="G295" s="8"/>
      <c r="H295" s="8"/>
      <c r="I295" s="8">
        <v>420000</v>
      </c>
      <c r="J295" s="8"/>
      <c r="K295" s="8"/>
      <c r="M295" s="4">
        <v>10</v>
      </c>
      <c r="N295" s="8">
        <f t="shared" si="30"/>
        <v>420000</v>
      </c>
      <c r="O295" s="47" cm="1">
        <f t="array" ref="O295">_xlfn.IFNA(YEAR(INDEX($G$5:$K$5,,MATCH(1,G295:K295,-1))),"")</f>
        <v>2029</v>
      </c>
      <c r="R295" s="8">
        <f t="shared" si="33"/>
        <v>0</v>
      </c>
      <c r="S295" s="8">
        <f t="shared" si="33"/>
        <v>0</v>
      </c>
      <c r="T295" s="8">
        <f t="shared" si="33"/>
        <v>420000</v>
      </c>
      <c r="U295" s="8">
        <f t="shared" si="33"/>
        <v>0</v>
      </c>
      <c r="V295" s="8">
        <f t="shared" si="33"/>
        <v>0</v>
      </c>
    </row>
    <row r="296" spans="1:22" x14ac:dyDescent="0.35">
      <c r="A296" s="25" t="s">
        <v>93</v>
      </c>
      <c r="B296" s="26">
        <v>2016</v>
      </c>
      <c r="C296" s="25" t="s">
        <v>261</v>
      </c>
      <c r="D296" s="27" t="s">
        <v>22</v>
      </c>
      <c r="E296" s="4" t="s">
        <v>95</v>
      </c>
      <c r="F296" s="4" t="s">
        <v>219</v>
      </c>
      <c r="G296" s="8"/>
      <c r="H296" s="8">
        <v>570000</v>
      </c>
      <c r="I296" s="8"/>
      <c r="J296" s="8"/>
      <c r="K296" s="8"/>
      <c r="M296" s="4">
        <v>15</v>
      </c>
      <c r="N296" s="8">
        <f t="shared" si="30"/>
        <v>570000</v>
      </c>
      <c r="O296" s="47" cm="1">
        <f t="array" ref="O296">_xlfn.IFNA(YEAR(INDEX($G$5:$K$5,,MATCH(1,G296:K296,-1))),"")</f>
        <v>2028</v>
      </c>
      <c r="R296" s="8">
        <f t="shared" ref="R296:V305" si="34">IF($O296="",0,IF(MOD(YEAR(R$5)-$O296,$M296)=0,$N296,0))</f>
        <v>0</v>
      </c>
      <c r="S296" s="8">
        <f t="shared" si="34"/>
        <v>570000</v>
      </c>
      <c r="T296" s="8">
        <f t="shared" si="34"/>
        <v>0</v>
      </c>
      <c r="U296" s="8">
        <f t="shared" si="34"/>
        <v>0</v>
      </c>
      <c r="V296" s="8">
        <f t="shared" si="34"/>
        <v>0</v>
      </c>
    </row>
    <row r="297" spans="1:22" x14ac:dyDescent="0.35">
      <c r="A297" s="25" t="s">
        <v>93</v>
      </c>
      <c r="B297" s="26">
        <v>2016</v>
      </c>
      <c r="C297" s="25" t="s">
        <v>261</v>
      </c>
      <c r="D297" s="27" t="s">
        <v>22</v>
      </c>
      <c r="E297" s="4" t="s">
        <v>95</v>
      </c>
      <c r="F297" s="4" t="s">
        <v>219</v>
      </c>
      <c r="G297" s="8"/>
      <c r="H297" s="8">
        <v>570000</v>
      </c>
      <c r="I297" s="8"/>
      <c r="J297" s="8"/>
      <c r="K297" s="8"/>
      <c r="M297" s="4">
        <v>15</v>
      </c>
      <c r="N297" s="8">
        <f t="shared" si="30"/>
        <v>570000</v>
      </c>
      <c r="O297" s="47" cm="1">
        <f t="array" ref="O297">_xlfn.IFNA(YEAR(INDEX($G$5:$K$5,,MATCH(1,G297:K297,-1))),"")</f>
        <v>2028</v>
      </c>
      <c r="R297" s="8">
        <f t="shared" si="34"/>
        <v>0</v>
      </c>
      <c r="S297" s="8">
        <f t="shared" si="34"/>
        <v>570000</v>
      </c>
      <c r="T297" s="8">
        <f t="shared" si="34"/>
        <v>0</v>
      </c>
      <c r="U297" s="8">
        <f t="shared" si="34"/>
        <v>0</v>
      </c>
      <c r="V297" s="8">
        <f t="shared" si="34"/>
        <v>0</v>
      </c>
    </row>
    <row r="298" spans="1:22" x14ac:dyDescent="0.35">
      <c r="A298" s="25" t="s">
        <v>93</v>
      </c>
      <c r="B298" s="26">
        <v>2016</v>
      </c>
      <c r="C298" s="25" t="s">
        <v>261</v>
      </c>
      <c r="D298" s="27" t="s">
        <v>22</v>
      </c>
      <c r="E298" s="4" t="s">
        <v>95</v>
      </c>
      <c r="F298" s="4" t="s">
        <v>219</v>
      </c>
      <c r="G298" s="8"/>
      <c r="H298" s="8">
        <v>570000</v>
      </c>
      <c r="I298" s="8"/>
      <c r="J298" s="8"/>
      <c r="K298" s="8"/>
      <c r="M298" s="4">
        <v>15</v>
      </c>
      <c r="N298" s="8">
        <f t="shared" si="30"/>
        <v>570000</v>
      </c>
      <c r="O298" s="47" cm="1">
        <f t="array" ref="O298">_xlfn.IFNA(YEAR(INDEX($G$5:$K$5,,MATCH(1,G298:K298,-1))),"")</f>
        <v>2028</v>
      </c>
      <c r="R298" s="8">
        <f t="shared" si="34"/>
        <v>0</v>
      </c>
      <c r="S298" s="8">
        <f t="shared" si="34"/>
        <v>570000</v>
      </c>
      <c r="T298" s="8">
        <f t="shared" si="34"/>
        <v>0</v>
      </c>
      <c r="U298" s="8">
        <f t="shared" si="34"/>
        <v>0</v>
      </c>
      <c r="V298" s="8">
        <f t="shared" si="34"/>
        <v>0</v>
      </c>
    </row>
    <row r="299" spans="1:22" x14ac:dyDescent="0.35">
      <c r="A299" s="25" t="s">
        <v>93</v>
      </c>
      <c r="B299" s="26">
        <v>2016</v>
      </c>
      <c r="C299" s="25" t="s">
        <v>262</v>
      </c>
      <c r="D299" s="27" t="s">
        <v>72</v>
      </c>
      <c r="E299" s="4" t="s">
        <v>95</v>
      </c>
      <c r="F299" s="4" t="s">
        <v>219</v>
      </c>
      <c r="G299" s="8"/>
      <c r="H299" s="8"/>
      <c r="I299" s="8">
        <v>200000</v>
      </c>
      <c r="J299" s="8"/>
      <c r="K299" s="8"/>
      <c r="M299" s="4">
        <v>15</v>
      </c>
      <c r="N299" s="8">
        <f t="shared" si="30"/>
        <v>200000</v>
      </c>
      <c r="O299" s="47" cm="1">
        <f t="array" ref="O299">_xlfn.IFNA(YEAR(INDEX($G$5:$K$5,,MATCH(1,G299:K299,-1))),"")</f>
        <v>2029</v>
      </c>
      <c r="R299" s="8">
        <f t="shared" si="34"/>
        <v>0</v>
      </c>
      <c r="S299" s="8">
        <f t="shared" si="34"/>
        <v>0</v>
      </c>
      <c r="T299" s="8">
        <f t="shared" si="34"/>
        <v>200000</v>
      </c>
      <c r="U299" s="8">
        <f t="shared" si="34"/>
        <v>0</v>
      </c>
      <c r="V299" s="8">
        <f t="shared" si="34"/>
        <v>0</v>
      </c>
    </row>
    <row r="300" spans="1:22" x14ac:dyDescent="0.35">
      <c r="A300" s="25" t="s">
        <v>93</v>
      </c>
      <c r="B300" s="26">
        <v>2016</v>
      </c>
      <c r="C300" s="25" t="s">
        <v>262</v>
      </c>
      <c r="D300" s="27" t="s">
        <v>72</v>
      </c>
      <c r="E300" s="4" t="s">
        <v>95</v>
      </c>
      <c r="F300" s="4" t="s">
        <v>219</v>
      </c>
      <c r="G300" s="8"/>
      <c r="H300" s="8"/>
      <c r="I300" s="8">
        <v>200000</v>
      </c>
      <c r="J300" s="8"/>
      <c r="K300" s="8"/>
      <c r="M300" s="4">
        <v>15</v>
      </c>
      <c r="N300" s="8">
        <f t="shared" si="30"/>
        <v>200000</v>
      </c>
      <c r="O300" s="47" cm="1">
        <f t="array" ref="O300">_xlfn.IFNA(YEAR(INDEX($G$5:$K$5,,MATCH(1,G300:K300,-1))),"")</f>
        <v>2029</v>
      </c>
      <c r="R300" s="8">
        <f t="shared" si="34"/>
        <v>0</v>
      </c>
      <c r="S300" s="8">
        <f t="shared" si="34"/>
        <v>0</v>
      </c>
      <c r="T300" s="8">
        <f t="shared" si="34"/>
        <v>200000</v>
      </c>
      <c r="U300" s="8">
        <f t="shared" si="34"/>
        <v>0</v>
      </c>
      <c r="V300" s="8">
        <f t="shared" si="34"/>
        <v>0</v>
      </c>
    </row>
    <row r="301" spans="1:22" x14ac:dyDescent="0.35">
      <c r="A301" s="25" t="s">
        <v>93</v>
      </c>
      <c r="B301" s="26">
        <v>2004</v>
      </c>
      <c r="C301" s="25" t="s">
        <v>263</v>
      </c>
      <c r="D301" s="27" t="s">
        <v>72</v>
      </c>
      <c r="E301" s="4" t="s">
        <v>95</v>
      </c>
      <c r="F301" s="4" t="s">
        <v>219</v>
      </c>
      <c r="G301" s="8"/>
      <c r="H301" s="8"/>
      <c r="I301" s="8"/>
      <c r="J301" s="8"/>
      <c r="K301" s="28">
        <v>890000</v>
      </c>
      <c r="M301" s="4">
        <v>20</v>
      </c>
      <c r="N301" s="8">
        <f t="shared" si="30"/>
        <v>890000</v>
      </c>
      <c r="O301" s="47" cm="1">
        <f t="array" ref="O301">_xlfn.IFNA(YEAR(INDEX($G$5:$K$5,,MATCH(1,G301:K301,-1))),"")</f>
        <v>2031</v>
      </c>
      <c r="R301" s="8">
        <f t="shared" si="34"/>
        <v>0</v>
      </c>
      <c r="S301" s="8">
        <f t="shared" si="34"/>
        <v>0</v>
      </c>
      <c r="T301" s="8">
        <f t="shared" si="34"/>
        <v>0</v>
      </c>
      <c r="U301" s="8">
        <f t="shared" si="34"/>
        <v>0</v>
      </c>
      <c r="V301" s="8">
        <f t="shared" si="34"/>
        <v>890000</v>
      </c>
    </row>
    <row r="302" spans="1:22" x14ac:dyDescent="0.35">
      <c r="A302" s="25" t="s">
        <v>93</v>
      </c>
      <c r="B302" s="26">
        <v>2005</v>
      </c>
      <c r="C302" s="25" t="s">
        <v>234</v>
      </c>
      <c r="D302" s="27" t="s">
        <v>72</v>
      </c>
      <c r="E302" s="4" t="s">
        <v>95</v>
      </c>
      <c r="F302" s="4" t="s">
        <v>219</v>
      </c>
      <c r="G302" s="8"/>
      <c r="H302" s="8"/>
      <c r="I302" s="8"/>
      <c r="J302" s="8"/>
      <c r="K302" s="28">
        <v>890000</v>
      </c>
      <c r="M302" s="4">
        <v>15</v>
      </c>
      <c r="N302" s="8">
        <f t="shared" si="30"/>
        <v>890000</v>
      </c>
      <c r="O302" s="47" cm="1">
        <f t="array" ref="O302">_xlfn.IFNA(YEAR(INDEX($G$5:$K$5,,MATCH(1,G302:K302,-1))),"")</f>
        <v>2031</v>
      </c>
      <c r="R302" s="8">
        <f t="shared" si="34"/>
        <v>0</v>
      </c>
      <c r="S302" s="8">
        <f t="shared" si="34"/>
        <v>0</v>
      </c>
      <c r="T302" s="8">
        <f t="shared" si="34"/>
        <v>0</v>
      </c>
      <c r="U302" s="8">
        <f t="shared" si="34"/>
        <v>0</v>
      </c>
      <c r="V302" s="8">
        <f t="shared" si="34"/>
        <v>890000</v>
      </c>
    </row>
    <row r="303" spans="1:22" x14ac:dyDescent="0.35">
      <c r="A303" s="25" t="s">
        <v>257</v>
      </c>
      <c r="B303" s="26">
        <v>2007</v>
      </c>
      <c r="C303" s="25" t="s">
        <v>264</v>
      </c>
      <c r="D303" s="27" t="s">
        <v>72</v>
      </c>
      <c r="E303" s="4" t="s">
        <v>95</v>
      </c>
      <c r="F303" s="4" t="s">
        <v>219</v>
      </c>
      <c r="G303" s="8"/>
      <c r="H303" s="8"/>
      <c r="I303" s="8"/>
      <c r="J303" s="8"/>
      <c r="K303" s="8">
        <v>450000</v>
      </c>
      <c r="M303" s="4">
        <v>15</v>
      </c>
      <c r="N303" s="8">
        <f t="shared" si="30"/>
        <v>450000</v>
      </c>
      <c r="O303" s="47" cm="1">
        <f t="array" ref="O303">_xlfn.IFNA(YEAR(INDEX($G$5:$K$5,,MATCH(1,G303:K303,-1))),"")</f>
        <v>2031</v>
      </c>
      <c r="R303" s="8">
        <f t="shared" si="34"/>
        <v>0</v>
      </c>
      <c r="S303" s="8">
        <f t="shared" si="34"/>
        <v>0</v>
      </c>
      <c r="T303" s="8">
        <f t="shared" si="34"/>
        <v>0</v>
      </c>
      <c r="U303" s="8">
        <f t="shared" si="34"/>
        <v>0</v>
      </c>
      <c r="V303" s="8">
        <f t="shared" si="34"/>
        <v>450000</v>
      </c>
    </row>
    <row r="304" spans="1:22" x14ac:dyDescent="0.35">
      <c r="A304" s="25" t="s">
        <v>223</v>
      </c>
      <c r="B304" s="26">
        <v>2010</v>
      </c>
      <c r="C304" s="25" t="s">
        <v>265</v>
      </c>
      <c r="D304" s="27" t="s">
        <v>99</v>
      </c>
      <c r="E304" s="4" t="s">
        <v>95</v>
      </c>
      <c r="F304" s="4" t="s">
        <v>219</v>
      </c>
      <c r="G304" s="8"/>
      <c r="H304" s="8"/>
      <c r="I304" s="8"/>
      <c r="J304" s="8"/>
      <c r="K304" s="8">
        <v>55000</v>
      </c>
      <c r="M304" s="4">
        <v>6</v>
      </c>
      <c r="N304" s="8">
        <f t="shared" si="30"/>
        <v>55000</v>
      </c>
      <c r="O304" s="47" cm="1">
        <f t="array" ref="O304">_xlfn.IFNA(YEAR(INDEX($G$5:$K$5,,MATCH(1,G304:K304,-1))),"")</f>
        <v>2031</v>
      </c>
      <c r="R304" s="8">
        <f t="shared" si="34"/>
        <v>0</v>
      </c>
      <c r="S304" s="8">
        <f t="shared" si="34"/>
        <v>0</v>
      </c>
      <c r="T304" s="8">
        <f t="shared" si="34"/>
        <v>0</v>
      </c>
      <c r="U304" s="8">
        <f t="shared" si="34"/>
        <v>0</v>
      </c>
      <c r="V304" s="8">
        <f t="shared" si="34"/>
        <v>55000</v>
      </c>
    </row>
    <row r="305" spans="1:22" x14ac:dyDescent="0.35">
      <c r="A305" s="25" t="s">
        <v>113</v>
      </c>
      <c r="B305" s="26">
        <v>2011</v>
      </c>
      <c r="C305" s="25" t="s">
        <v>266</v>
      </c>
      <c r="D305" s="27" t="s">
        <v>22</v>
      </c>
      <c r="E305" s="4" t="s">
        <v>95</v>
      </c>
      <c r="F305" s="4" t="s">
        <v>219</v>
      </c>
      <c r="G305" s="8"/>
      <c r="H305" s="8"/>
      <c r="I305" s="8"/>
      <c r="J305" s="8"/>
      <c r="K305" s="28">
        <v>720000</v>
      </c>
      <c r="M305" s="4">
        <v>15</v>
      </c>
      <c r="N305" s="8">
        <f t="shared" si="30"/>
        <v>720000</v>
      </c>
      <c r="O305" s="47" cm="1">
        <f t="array" ref="O305">_xlfn.IFNA(YEAR(INDEX($G$5:$K$5,,MATCH(1,G305:K305,-1))),"")</f>
        <v>2031</v>
      </c>
      <c r="R305" s="8">
        <f t="shared" si="34"/>
        <v>0</v>
      </c>
      <c r="S305" s="8">
        <f t="shared" si="34"/>
        <v>0</v>
      </c>
      <c r="T305" s="8">
        <f t="shared" si="34"/>
        <v>0</v>
      </c>
      <c r="U305" s="8">
        <f t="shared" si="34"/>
        <v>0</v>
      </c>
      <c r="V305" s="8">
        <f t="shared" si="34"/>
        <v>720000</v>
      </c>
    </row>
    <row r="306" spans="1:22" x14ac:dyDescent="0.35">
      <c r="A306" s="25" t="s">
        <v>93</v>
      </c>
      <c r="B306" s="26">
        <v>2011</v>
      </c>
      <c r="C306" s="25" t="s">
        <v>267</v>
      </c>
      <c r="D306" s="27" t="s">
        <v>22</v>
      </c>
      <c r="E306" s="4" t="s">
        <v>95</v>
      </c>
      <c r="F306" s="4" t="s">
        <v>219</v>
      </c>
      <c r="G306" s="8"/>
      <c r="H306" s="8"/>
      <c r="I306" s="8"/>
      <c r="J306" s="8"/>
      <c r="K306" s="28">
        <v>620000</v>
      </c>
      <c r="M306" s="4">
        <v>15</v>
      </c>
      <c r="N306" s="8">
        <f t="shared" si="30"/>
        <v>620000</v>
      </c>
      <c r="O306" s="47" cm="1">
        <f t="array" ref="O306">_xlfn.IFNA(YEAR(INDEX($G$5:$K$5,,MATCH(1,G306:K306,-1))),"")</f>
        <v>2031</v>
      </c>
      <c r="R306" s="8">
        <f t="shared" ref="R306:V315" si="35">IF($O306="",0,IF(MOD(YEAR(R$5)-$O306,$M306)=0,$N306,0))</f>
        <v>0</v>
      </c>
      <c r="S306" s="8">
        <f t="shared" si="35"/>
        <v>0</v>
      </c>
      <c r="T306" s="8">
        <f t="shared" si="35"/>
        <v>0</v>
      </c>
      <c r="U306" s="8">
        <f t="shared" si="35"/>
        <v>0</v>
      </c>
      <c r="V306" s="8">
        <f t="shared" si="35"/>
        <v>620000</v>
      </c>
    </row>
    <row r="307" spans="1:22" x14ac:dyDescent="0.35">
      <c r="A307" s="25" t="s">
        <v>93</v>
      </c>
      <c r="B307" s="26">
        <v>2011</v>
      </c>
      <c r="C307" s="25" t="s">
        <v>268</v>
      </c>
      <c r="D307" s="27" t="s">
        <v>22</v>
      </c>
      <c r="E307" s="4" t="s">
        <v>95</v>
      </c>
      <c r="F307" s="4" t="s">
        <v>219</v>
      </c>
      <c r="G307" s="8"/>
      <c r="H307" s="8"/>
      <c r="I307" s="8"/>
      <c r="J307" s="8"/>
      <c r="K307" s="28">
        <v>625000</v>
      </c>
      <c r="M307" s="4">
        <v>15</v>
      </c>
      <c r="N307" s="8">
        <f t="shared" si="30"/>
        <v>625000</v>
      </c>
      <c r="O307" s="47" cm="1">
        <f t="array" ref="O307">_xlfn.IFNA(YEAR(INDEX($G$5:$K$5,,MATCH(1,G307:K307,-1))),"")</f>
        <v>2031</v>
      </c>
      <c r="R307" s="8">
        <f t="shared" si="35"/>
        <v>0</v>
      </c>
      <c r="S307" s="8">
        <f t="shared" si="35"/>
        <v>0</v>
      </c>
      <c r="T307" s="8">
        <f t="shared" si="35"/>
        <v>0</v>
      </c>
      <c r="U307" s="8">
        <f t="shared" si="35"/>
        <v>0</v>
      </c>
      <c r="V307" s="8">
        <f t="shared" si="35"/>
        <v>625000</v>
      </c>
    </row>
    <row r="308" spans="1:22" x14ac:dyDescent="0.35">
      <c r="A308" s="25" t="s">
        <v>93</v>
      </c>
      <c r="B308" s="26">
        <v>2011</v>
      </c>
      <c r="C308" s="25" t="s">
        <v>269</v>
      </c>
      <c r="D308" s="27" t="s">
        <v>72</v>
      </c>
      <c r="E308" s="4" t="s">
        <v>95</v>
      </c>
      <c r="F308" s="4" t="s">
        <v>219</v>
      </c>
      <c r="G308" s="8"/>
      <c r="H308" s="8"/>
      <c r="I308" s="8"/>
      <c r="J308" s="8"/>
      <c r="K308" s="28">
        <v>200000</v>
      </c>
      <c r="M308" s="4">
        <v>10</v>
      </c>
      <c r="N308" s="8">
        <f t="shared" si="30"/>
        <v>200000</v>
      </c>
      <c r="O308" s="47" cm="1">
        <f t="array" ref="O308">_xlfn.IFNA(YEAR(INDEX($G$5:$K$5,,MATCH(1,G308:K308,-1))),"")</f>
        <v>2031</v>
      </c>
      <c r="R308" s="8">
        <f t="shared" si="35"/>
        <v>0</v>
      </c>
      <c r="S308" s="8">
        <f t="shared" si="35"/>
        <v>0</v>
      </c>
      <c r="T308" s="8">
        <f t="shared" si="35"/>
        <v>0</v>
      </c>
      <c r="U308" s="8">
        <f t="shared" si="35"/>
        <v>0</v>
      </c>
      <c r="V308" s="8">
        <f t="shared" si="35"/>
        <v>200000</v>
      </c>
    </row>
    <row r="309" spans="1:22" x14ac:dyDescent="0.35">
      <c r="A309" s="25" t="s">
        <v>93</v>
      </c>
      <c r="B309" s="26">
        <v>2011</v>
      </c>
      <c r="C309" s="25" t="s">
        <v>268</v>
      </c>
      <c r="D309" s="27" t="s">
        <v>22</v>
      </c>
      <c r="E309" s="4" t="s">
        <v>95</v>
      </c>
      <c r="F309" s="4" t="s">
        <v>219</v>
      </c>
      <c r="G309" s="8"/>
      <c r="H309" s="8"/>
      <c r="I309" s="8"/>
      <c r="J309" s="8"/>
      <c r="K309" s="28">
        <v>800000</v>
      </c>
      <c r="M309" s="4">
        <v>15</v>
      </c>
      <c r="N309" s="8">
        <f t="shared" si="30"/>
        <v>800000</v>
      </c>
      <c r="O309" s="47" cm="1">
        <f t="array" ref="O309">_xlfn.IFNA(YEAR(INDEX($G$5:$K$5,,MATCH(1,G309:K309,-1))),"")</f>
        <v>2031</v>
      </c>
      <c r="R309" s="8">
        <f t="shared" si="35"/>
        <v>0</v>
      </c>
      <c r="S309" s="8">
        <f t="shared" si="35"/>
        <v>0</v>
      </c>
      <c r="T309" s="8">
        <f t="shared" si="35"/>
        <v>0</v>
      </c>
      <c r="U309" s="8">
        <f t="shared" si="35"/>
        <v>0</v>
      </c>
      <c r="V309" s="8">
        <f t="shared" si="35"/>
        <v>800000</v>
      </c>
    </row>
    <row r="310" spans="1:22" x14ac:dyDescent="0.35">
      <c r="A310" s="25" t="s">
        <v>117</v>
      </c>
      <c r="B310" s="26">
        <v>2013</v>
      </c>
      <c r="C310" s="25" t="s">
        <v>270</v>
      </c>
      <c r="D310" s="27" t="s">
        <v>74</v>
      </c>
      <c r="E310" s="4" t="s">
        <v>95</v>
      </c>
      <c r="F310" s="4" t="s">
        <v>219</v>
      </c>
      <c r="G310" s="8"/>
      <c r="H310" s="8"/>
      <c r="I310" s="8">
        <v>45000</v>
      </c>
      <c r="J310" s="8"/>
      <c r="K310" s="8"/>
      <c r="M310" s="4">
        <v>4</v>
      </c>
      <c r="N310" s="8">
        <f t="shared" si="30"/>
        <v>45000</v>
      </c>
      <c r="O310" s="47" cm="1">
        <f t="array" ref="O310">_xlfn.IFNA(YEAR(INDEX($G$5:$K$5,,MATCH(1,G310:K310,-1))),"")</f>
        <v>2029</v>
      </c>
      <c r="R310" s="8">
        <f t="shared" si="35"/>
        <v>0</v>
      </c>
      <c r="S310" s="8">
        <f t="shared" si="35"/>
        <v>0</v>
      </c>
      <c r="T310" s="8">
        <f t="shared" si="35"/>
        <v>45000</v>
      </c>
      <c r="U310" s="8">
        <f t="shared" si="35"/>
        <v>0</v>
      </c>
      <c r="V310" s="8">
        <f t="shared" si="35"/>
        <v>0</v>
      </c>
    </row>
    <row r="311" spans="1:22" x14ac:dyDescent="0.35">
      <c r="A311" s="25" t="s">
        <v>271</v>
      </c>
      <c r="B311" s="26">
        <v>1989</v>
      </c>
      <c r="C311" s="25" t="s">
        <v>272</v>
      </c>
      <c r="D311" s="27" t="s">
        <v>99</v>
      </c>
      <c r="E311" s="4" t="s">
        <v>100</v>
      </c>
      <c r="F311" s="4" t="s">
        <v>219</v>
      </c>
      <c r="G311" s="8"/>
      <c r="H311" s="8"/>
      <c r="I311" s="8"/>
      <c r="J311" s="8"/>
      <c r="K311" s="28">
        <v>90000</v>
      </c>
      <c r="M311" s="4">
        <v>15</v>
      </c>
      <c r="N311" s="8">
        <f t="shared" si="30"/>
        <v>90000</v>
      </c>
      <c r="O311" s="47" cm="1">
        <f t="array" ref="O311">_xlfn.IFNA(YEAR(INDEX($G$5:$K$5,,MATCH(1,G311:K311,-1))),"")</f>
        <v>2031</v>
      </c>
      <c r="R311" s="8">
        <f t="shared" si="35"/>
        <v>0</v>
      </c>
      <c r="S311" s="8">
        <f t="shared" si="35"/>
        <v>0</v>
      </c>
      <c r="T311" s="8">
        <f t="shared" si="35"/>
        <v>0</v>
      </c>
      <c r="U311" s="8">
        <f t="shared" si="35"/>
        <v>0</v>
      </c>
      <c r="V311" s="8">
        <f t="shared" si="35"/>
        <v>90000</v>
      </c>
    </row>
    <row r="312" spans="1:22" x14ac:dyDescent="0.35">
      <c r="A312" s="25" t="s">
        <v>239</v>
      </c>
      <c r="B312" s="26">
        <v>2003</v>
      </c>
      <c r="C312" s="25" t="s">
        <v>252</v>
      </c>
      <c r="D312" s="27" t="s">
        <v>99</v>
      </c>
      <c r="E312" s="4" t="s">
        <v>100</v>
      </c>
      <c r="F312" s="4" t="s">
        <v>219</v>
      </c>
      <c r="G312" s="8"/>
      <c r="H312" s="8"/>
      <c r="I312" s="8"/>
      <c r="J312" s="8"/>
      <c r="K312" s="28">
        <v>27000</v>
      </c>
      <c r="M312" s="4">
        <v>15</v>
      </c>
      <c r="N312" s="8">
        <f t="shared" si="30"/>
        <v>27000</v>
      </c>
      <c r="O312" s="47" cm="1">
        <f t="array" ref="O312">_xlfn.IFNA(YEAR(INDEX($G$5:$K$5,,MATCH(1,G312:K312,-1))),"")</f>
        <v>2031</v>
      </c>
      <c r="R312" s="8">
        <f t="shared" si="35"/>
        <v>0</v>
      </c>
      <c r="S312" s="8">
        <f t="shared" si="35"/>
        <v>0</v>
      </c>
      <c r="T312" s="8">
        <f t="shared" si="35"/>
        <v>0</v>
      </c>
      <c r="U312" s="8">
        <f t="shared" si="35"/>
        <v>0</v>
      </c>
      <c r="V312" s="8">
        <f t="shared" si="35"/>
        <v>27000</v>
      </c>
    </row>
    <row r="313" spans="1:22" x14ac:dyDescent="0.35">
      <c r="A313" s="25" t="s">
        <v>109</v>
      </c>
      <c r="B313" s="26">
        <v>2011</v>
      </c>
      <c r="C313" s="25" t="s">
        <v>273</v>
      </c>
      <c r="D313" s="27" t="s">
        <v>99</v>
      </c>
      <c r="E313" s="4" t="s">
        <v>95</v>
      </c>
      <c r="F313" s="4" t="s">
        <v>219</v>
      </c>
      <c r="G313" s="8">
        <v>27000</v>
      </c>
      <c r="H313" s="8"/>
      <c r="I313" s="8"/>
      <c r="J313" s="8"/>
      <c r="K313" s="8"/>
      <c r="M313" s="4">
        <v>15</v>
      </c>
      <c r="N313" s="8">
        <f t="shared" si="30"/>
        <v>27000</v>
      </c>
      <c r="O313" s="47" cm="1">
        <f t="array" ref="O313">_xlfn.IFNA(YEAR(INDEX($G$5:$K$5,,MATCH(1,G313:K313,-1))),"")</f>
        <v>2027</v>
      </c>
      <c r="R313" s="8">
        <f t="shared" si="35"/>
        <v>27000</v>
      </c>
      <c r="S313" s="8">
        <f t="shared" si="35"/>
        <v>0</v>
      </c>
      <c r="T313" s="8">
        <f t="shared" si="35"/>
        <v>0</v>
      </c>
      <c r="U313" s="8">
        <f t="shared" si="35"/>
        <v>0</v>
      </c>
      <c r="V313" s="8">
        <f t="shared" si="35"/>
        <v>0</v>
      </c>
    </row>
    <row r="314" spans="1:22" x14ac:dyDescent="0.35">
      <c r="A314" s="25" t="s">
        <v>254</v>
      </c>
      <c r="B314" s="26">
        <v>2015</v>
      </c>
      <c r="C314" s="25" t="s">
        <v>274</v>
      </c>
      <c r="D314" s="27" t="s">
        <v>99</v>
      </c>
      <c r="E314" s="4" t="s">
        <v>95</v>
      </c>
      <c r="F314" s="4" t="s">
        <v>219</v>
      </c>
      <c r="G314" s="8"/>
      <c r="H314" s="8"/>
      <c r="I314" s="8"/>
      <c r="J314" s="8"/>
      <c r="K314" s="8">
        <v>27000</v>
      </c>
      <c r="M314" s="4">
        <v>15</v>
      </c>
      <c r="N314" s="8">
        <f t="shared" si="30"/>
        <v>27000</v>
      </c>
      <c r="O314" s="47" cm="1">
        <f t="array" ref="O314">_xlfn.IFNA(YEAR(INDEX($G$5:$K$5,,MATCH(1,G314:K314,-1))),"")</f>
        <v>2031</v>
      </c>
      <c r="R314" s="8">
        <f t="shared" si="35"/>
        <v>0</v>
      </c>
      <c r="S314" s="8">
        <f t="shared" si="35"/>
        <v>0</v>
      </c>
      <c r="T314" s="8">
        <f t="shared" si="35"/>
        <v>0</v>
      </c>
      <c r="U314" s="8">
        <f t="shared" si="35"/>
        <v>0</v>
      </c>
      <c r="V314" s="8">
        <f t="shared" si="35"/>
        <v>27000</v>
      </c>
    </row>
    <row r="315" spans="1:22" x14ac:dyDescent="0.35">
      <c r="A315" s="25" t="s">
        <v>93</v>
      </c>
      <c r="B315" s="26">
        <v>2013</v>
      </c>
      <c r="C315" s="25" t="s">
        <v>233</v>
      </c>
      <c r="D315" s="27" t="s">
        <v>22</v>
      </c>
      <c r="E315" s="4" t="s">
        <v>95</v>
      </c>
      <c r="F315" s="4" t="s">
        <v>219</v>
      </c>
      <c r="G315" s="8"/>
      <c r="H315" s="8"/>
      <c r="I315" s="8"/>
      <c r="J315" s="8"/>
      <c r="K315" s="28">
        <v>420000</v>
      </c>
      <c r="M315" s="4">
        <v>10</v>
      </c>
      <c r="N315" s="8">
        <f t="shared" si="30"/>
        <v>420000</v>
      </c>
      <c r="O315" s="47" cm="1">
        <f t="array" ref="O315">_xlfn.IFNA(YEAR(INDEX($G$5:$K$5,,MATCH(1,G315:K315,-1))),"")</f>
        <v>2031</v>
      </c>
      <c r="R315" s="8">
        <f t="shared" si="35"/>
        <v>0</v>
      </c>
      <c r="S315" s="8">
        <f t="shared" si="35"/>
        <v>0</v>
      </c>
      <c r="T315" s="8">
        <f t="shared" si="35"/>
        <v>0</v>
      </c>
      <c r="U315" s="8">
        <f t="shared" si="35"/>
        <v>0</v>
      </c>
      <c r="V315" s="8">
        <f t="shared" si="35"/>
        <v>420000</v>
      </c>
    </row>
    <row r="316" spans="1:22" x14ac:dyDescent="0.35">
      <c r="A316" s="25" t="s">
        <v>93</v>
      </c>
      <c r="B316" s="26">
        <v>2013</v>
      </c>
      <c r="C316" s="25" t="s">
        <v>233</v>
      </c>
      <c r="D316" s="27" t="s">
        <v>22</v>
      </c>
      <c r="E316" s="4" t="s">
        <v>95</v>
      </c>
      <c r="F316" s="4" t="s">
        <v>219</v>
      </c>
      <c r="G316" s="8"/>
      <c r="H316" s="8"/>
      <c r="I316" s="8"/>
      <c r="J316" s="8"/>
      <c r="K316" s="28">
        <v>420000</v>
      </c>
      <c r="M316" s="4">
        <v>10</v>
      </c>
      <c r="N316" s="8">
        <f t="shared" si="30"/>
        <v>420000</v>
      </c>
      <c r="O316" s="47" cm="1">
        <f t="array" ref="O316">_xlfn.IFNA(YEAR(INDEX($G$5:$K$5,,MATCH(1,G316:K316,-1))),"")</f>
        <v>2031</v>
      </c>
      <c r="R316" s="8">
        <f t="shared" ref="R316:V325" si="36">IF($O316="",0,IF(MOD(YEAR(R$5)-$O316,$M316)=0,$N316,0))</f>
        <v>0</v>
      </c>
      <c r="S316" s="8">
        <f t="shared" si="36"/>
        <v>0</v>
      </c>
      <c r="T316" s="8">
        <f t="shared" si="36"/>
        <v>0</v>
      </c>
      <c r="U316" s="8">
        <f t="shared" si="36"/>
        <v>0</v>
      </c>
      <c r="V316" s="8">
        <f t="shared" si="36"/>
        <v>420000</v>
      </c>
    </row>
    <row r="317" spans="1:22" x14ac:dyDescent="0.35">
      <c r="A317" s="25" t="s">
        <v>117</v>
      </c>
      <c r="B317" s="26">
        <v>2016</v>
      </c>
      <c r="C317" s="25" t="s">
        <v>221</v>
      </c>
      <c r="D317" s="27" t="s">
        <v>99</v>
      </c>
      <c r="E317" s="4" t="s">
        <v>95</v>
      </c>
      <c r="F317" s="4" t="s">
        <v>219</v>
      </c>
      <c r="G317" s="8"/>
      <c r="H317" s="8"/>
      <c r="I317" s="8"/>
      <c r="J317" s="8">
        <v>65000</v>
      </c>
      <c r="K317" s="8"/>
      <c r="M317" s="4">
        <v>6</v>
      </c>
      <c r="N317" s="8">
        <f t="shared" si="30"/>
        <v>65000</v>
      </c>
      <c r="O317" s="47" cm="1">
        <f t="array" ref="O317">_xlfn.IFNA(YEAR(INDEX($G$5:$K$5,,MATCH(1,G317:K317,-1))),"")</f>
        <v>2030</v>
      </c>
      <c r="R317" s="8">
        <f t="shared" si="36"/>
        <v>0</v>
      </c>
      <c r="S317" s="8">
        <f t="shared" si="36"/>
        <v>0</v>
      </c>
      <c r="T317" s="8">
        <f t="shared" si="36"/>
        <v>0</v>
      </c>
      <c r="U317" s="8">
        <f t="shared" si="36"/>
        <v>65000</v>
      </c>
      <c r="V317" s="8">
        <f t="shared" si="36"/>
        <v>0</v>
      </c>
    </row>
    <row r="318" spans="1:22" x14ac:dyDescent="0.35">
      <c r="A318" s="25" t="s">
        <v>93</v>
      </c>
      <c r="B318" s="26">
        <v>2012</v>
      </c>
      <c r="C318" s="25" t="s">
        <v>233</v>
      </c>
      <c r="D318" s="27" t="s">
        <v>22</v>
      </c>
      <c r="E318" s="4" t="s">
        <v>95</v>
      </c>
      <c r="F318" s="4" t="s">
        <v>219</v>
      </c>
      <c r="G318" s="8"/>
      <c r="H318" s="8"/>
      <c r="I318" s="8"/>
      <c r="J318" s="8"/>
      <c r="K318" s="28">
        <v>420000</v>
      </c>
      <c r="M318" s="4">
        <v>10</v>
      </c>
      <c r="N318" s="8">
        <f t="shared" si="30"/>
        <v>420000</v>
      </c>
      <c r="O318" s="47" cm="1">
        <f t="array" ref="O318">_xlfn.IFNA(YEAR(INDEX($G$5:$K$5,,MATCH(1,G318:K318,-1))),"")</f>
        <v>2031</v>
      </c>
      <c r="R318" s="8">
        <f t="shared" si="36"/>
        <v>0</v>
      </c>
      <c r="S318" s="8">
        <f t="shared" si="36"/>
        <v>0</v>
      </c>
      <c r="T318" s="8">
        <f t="shared" si="36"/>
        <v>0</v>
      </c>
      <c r="U318" s="8">
        <f t="shared" si="36"/>
        <v>0</v>
      </c>
      <c r="V318" s="8">
        <f t="shared" si="36"/>
        <v>420000</v>
      </c>
    </row>
    <row r="319" spans="1:22" x14ac:dyDescent="0.35">
      <c r="A319" s="25" t="s">
        <v>93</v>
      </c>
      <c r="B319" s="26">
        <v>2013</v>
      </c>
      <c r="C319" s="25" t="s">
        <v>233</v>
      </c>
      <c r="D319" s="27" t="s">
        <v>22</v>
      </c>
      <c r="E319" s="4" t="s">
        <v>95</v>
      </c>
      <c r="F319" s="4" t="s">
        <v>219</v>
      </c>
      <c r="G319" s="8"/>
      <c r="H319" s="8"/>
      <c r="I319" s="8"/>
      <c r="J319" s="8"/>
      <c r="K319" s="28">
        <v>420000</v>
      </c>
      <c r="M319" s="4">
        <v>10</v>
      </c>
      <c r="N319" s="8">
        <f t="shared" si="30"/>
        <v>420000</v>
      </c>
      <c r="O319" s="47" cm="1">
        <f t="array" ref="O319">_xlfn.IFNA(YEAR(INDEX($G$5:$K$5,,MATCH(1,G319:K319,-1))),"")</f>
        <v>2031</v>
      </c>
      <c r="R319" s="8">
        <f t="shared" si="36"/>
        <v>0</v>
      </c>
      <c r="S319" s="8">
        <f t="shared" si="36"/>
        <v>0</v>
      </c>
      <c r="T319" s="8">
        <f t="shared" si="36"/>
        <v>0</v>
      </c>
      <c r="U319" s="8">
        <f t="shared" si="36"/>
        <v>0</v>
      </c>
      <c r="V319" s="8">
        <f t="shared" si="36"/>
        <v>420000</v>
      </c>
    </row>
    <row r="320" spans="1:22" x14ac:dyDescent="0.35">
      <c r="A320" s="25" t="s">
        <v>117</v>
      </c>
      <c r="B320" s="26">
        <v>2015</v>
      </c>
      <c r="C320" s="25" t="s">
        <v>222</v>
      </c>
      <c r="D320" s="27" t="s">
        <v>74</v>
      </c>
      <c r="E320" s="4" t="s">
        <v>95</v>
      </c>
      <c r="F320" s="4" t="s">
        <v>219</v>
      </c>
      <c r="G320" s="8"/>
      <c r="H320" s="8"/>
      <c r="I320" s="8"/>
      <c r="J320" s="8"/>
      <c r="K320" s="8">
        <v>45000</v>
      </c>
      <c r="M320" s="4">
        <v>4</v>
      </c>
      <c r="N320" s="8">
        <f t="shared" si="30"/>
        <v>45000</v>
      </c>
      <c r="O320" s="47" cm="1">
        <f t="array" ref="O320">_xlfn.IFNA(YEAR(INDEX($G$5:$K$5,,MATCH(1,G320:K320,-1))),"")</f>
        <v>2031</v>
      </c>
      <c r="R320" s="8">
        <f t="shared" si="36"/>
        <v>45000</v>
      </c>
      <c r="S320" s="8">
        <f t="shared" si="36"/>
        <v>0</v>
      </c>
      <c r="T320" s="8">
        <f t="shared" si="36"/>
        <v>0</v>
      </c>
      <c r="U320" s="8">
        <f t="shared" si="36"/>
        <v>0</v>
      </c>
      <c r="V320" s="8">
        <f t="shared" si="36"/>
        <v>45000</v>
      </c>
    </row>
    <row r="321" spans="1:22" x14ac:dyDescent="0.35">
      <c r="A321" s="25" t="s">
        <v>117</v>
      </c>
      <c r="B321" s="26">
        <v>2015</v>
      </c>
      <c r="C321" s="25" t="s">
        <v>222</v>
      </c>
      <c r="D321" s="27" t="s">
        <v>74</v>
      </c>
      <c r="E321" s="4" t="s">
        <v>95</v>
      </c>
      <c r="F321" s="4" t="s">
        <v>219</v>
      </c>
      <c r="G321" s="8"/>
      <c r="H321" s="8"/>
      <c r="I321" s="8"/>
      <c r="J321" s="8"/>
      <c r="K321" s="8">
        <v>45000</v>
      </c>
      <c r="M321" s="4">
        <v>4</v>
      </c>
      <c r="N321" s="8">
        <f t="shared" si="30"/>
        <v>45000</v>
      </c>
      <c r="O321" s="47" cm="1">
        <f t="array" ref="O321">_xlfn.IFNA(YEAR(INDEX($G$5:$K$5,,MATCH(1,G321:K321,-1))),"")</f>
        <v>2031</v>
      </c>
      <c r="R321" s="8">
        <f t="shared" si="36"/>
        <v>45000</v>
      </c>
      <c r="S321" s="8">
        <f t="shared" si="36"/>
        <v>0</v>
      </c>
      <c r="T321" s="8">
        <f t="shared" si="36"/>
        <v>0</v>
      </c>
      <c r="U321" s="8">
        <f t="shared" si="36"/>
        <v>0</v>
      </c>
      <c r="V321" s="8">
        <f t="shared" si="36"/>
        <v>45000</v>
      </c>
    </row>
    <row r="322" spans="1:22" x14ac:dyDescent="0.35">
      <c r="A322" s="25" t="s">
        <v>117</v>
      </c>
      <c r="B322" s="26">
        <v>2016</v>
      </c>
      <c r="C322" s="25" t="s">
        <v>222</v>
      </c>
      <c r="D322" s="27" t="s">
        <v>74</v>
      </c>
      <c r="E322" s="4" t="s">
        <v>95</v>
      </c>
      <c r="F322" s="4" t="s">
        <v>219</v>
      </c>
      <c r="G322" s="8"/>
      <c r="H322" s="8"/>
      <c r="I322" s="8"/>
      <c r="J322" s="8"/>
      <c r="K322" s="28">
        <v>45000</v>
      </c>
      <c r="M322" s="4">
        <v>4</v>
      </c>
      <c r="N322" s="8">
        <f t="shared" si="30"/>
        <v>45000</v>
      </c>
      <c r="O322" s="47" cm="1">
        <f t="array" ref="O322">_xlfn.IFNA(YEAR(INDEX($G$5:$K$5,,MATCH(1,G322:K322,-1))),"")</f>
        <v>2031</v>
      </c>
      <c r="R322" s="8">
        <f t="shared" si="36"/>
        <v>45000</v>
      </c>
      <c r="S322" s="8">
        <f t="shared" si="36"/>
        <v>0</v>
      </c>
      <c r="T322" s="8">
        <f t="shared" si="36"/>
        <v>0</v>
      </c>
      <c r="U322" s="8">
        <f t="shared" si="36"/>
        <v>0</v>
      </c>
      <c r="V322" s="8">
        <f t="shared" si="36"/>
        <v>45000</v>
      </c>
    </row>
    <row r="323" spans="1:22" x14ac:dyDescent="0.35">
      <c r="A323" s="25" t="s">
        <v>117</v>
      </c>
      <c r="B323" s="26">
        <v>2016</v>
      </c>
      <c r="C323" s="25" t="s">
        <v>222</v>
      </c>
      <c r="D323" s="27" t="s">
        <v>74</v>
      </c>
      <c r="E323" s="4" t="s">
        <v>95</v>
      </c>
      <c r="F323" s="4" t="s">
        <v>219</v>
      </c>
      <c r="G323" s="8"/>
      <c r="H323" s="8"/>
      <c r="I323" s="8"/>
      <c r="J323" s="8"/>
      <c r="K323" s="28">
        <v>45000</v>
      </c>
      <c r="M323" s="4">
        <v>4</v>
      </c>
      <c r="N323" s="8">
        <f t="shared" si="30"/>
        <v>45000</v>
      </c>
      <c r="O323" s="47" cm="1">
        <f t="array" ref="O323">_xlfn.IFNA(YEAR(INDEX($G$5:$K$5,,MATCH(1,G323:K323,-1))),"")</f>
        <v>2031</v>
      </c>
      <c r="R323" s="8">
        <f t="shared" si="36"/>
        <v>45000</v>
      </c>
      <c r="S323" s="8">
        <f t="shared" si="36"/>
        <v>0</v>
      </c>
      <c r="T323" s="8">
        <f t="shared" si="36"/>
        <v>0</v>
      </c>
      <c r="U323" s="8">
        <f t="shared" si="36"/>
        <v>0</v>
      </c>
      <c r="V323" s="8">
        <f t="shared" si="36"/>
        <v>45000</v>
      </c>
    </row>
    <row r="324" spans="1:22" x14ac:dyDescent="0.35">
      <c r="A324" s="25" t="s">
        <v>117</v>
      </c>
      <c r="B324" s="26">
        <v>2014</v>
      </c>
      <c r="C324" s="25" t="s">
        <v>275</v>
      </c>
      <c r="D324" s="27" t="s">
        <v>74</v>
      </c>
      <c r="E324" s="4" t="s">
        <v>95</v>
      </c>
      <c r="F324" s="4" t="s">
        <v>219</v>
      </c>
      <c r="G324" s="8"/>
      <c r="H324" s="8"/>
      <c r="I324" s="8"/>
      <c r="J324" s="8">
        <v>45000</v>
      </c>
      <c r="K324" s="8"/>
      <c r="M324" s="4">
        <v>4</v>
      </c>
      <c r="N324" s="8">
        <f t="shared" si="30"/>
        <v>45000</v>
      </c>
      <c r="O324" s="47" cm="1">
        <f t="array" ref="O324">_xlfn.IFNA(YEAR(INDEX($G$5:$K$5,,MATCH(1,G324:K324,-1))),"")</f>
        <v>2030</v>
      </c>
      <c r="R324" s="8">
        <f t="shared" si="36"/>
        <v>0</v>
      </c>
      <c r="S324" s="8">
        <f t="shared" si="36"/>
        <v>0</v>
      </c>
      <c r="T324" s="8">
        <f t="shared" si="36"/>
        <v>0</v>
      </c>
      <c r="U324" s="8">
        <f t="shared" si="36"/>
        <v>45000</v>
      </c>
      <c r="V324" s="8">
        <f t="shared" si="36"/>
        <v>0</v>
      </c>
    </row>
    <row r="325" spans="1:22" x14ac:dyDescent="0.35">
      <c r="A325" s="25" t="s">
        <v>217</v>
      </c>
      <c r="B325" s="26">
        <v>2014</v>
      </c>
      <c r="C325" s="25" t="s">
        <v>218</v>
      </c>
      <c r="D325" s="27" t="s">
        <v>99</v>
      </c>
      <c r="E325" s="4" t="s">
        <v>95</v>
      </c>
      <c r="F325" s="4" t="s">
        <v>219</v>
      </c>
      <c r="G325" s="8"/>
      <c r="H325" s="8"/>
      <c r="I325" s="8"/>
      <c r="J325" s="8">
        <v>65000</v>
      </c>
      <c r="K325" s="8"/>
      <c r="M325" s="4">
        <v>6</v>
      </c>
      <c r="N325" s="8">
        <f t="shared" si="30"/>
        <v>65000</v>
      </c>
      <c r="O325" s="47" cm="1">
        <f t="array" ref="O325">_xlfn.IFNA(YEAR(INDEX($G$5:$K$5,,MATCH(1,G325:K325,-1))),"")</f>
        <v>2030</v>
      </c>
      <c r="R325" s="8">
        <f t="shared" si="36"/>
        <v>0</v>
      </c>
      <c r="S325" s="8">
        <f t="shared" si="36"/>
        <v>0</v>
      </c>
      <c r="T325" s="8">
        <f t="shared" si="36"/>
        <v>0</v>
      </c>
      <c r="U325" s="8">
        <f t="shared" si="36"/>
        <v>65000</v>
      </c>
      <c r="V325" s="8">
        <f t="shared" si="36"/>
        <v>0</v>
      </c>
    </row>
    <row r="326" spans="1:22" x14ac:dyDescent="0.35">
      <c r="A326" s="25" t="s">
        <v>217</v>
      </c>
      <c r="B326" s="26">
        <v>2014</v>
      </c>
      <c r="C326" s="25" t="s">
        <v>218</v>
      </c>
      <c r="D326" s="27" t="s">
        <v>99</v>
      </c>
      <c r="E326" s="4" t="s">
        <v>95</v>
      </c>
      <c r="F326" s="4" t="s">
        <v>219</v>
      </c>
      <c r="G326" s="8"/>
      <c r="H326" s="8"/>
      <c r="I326" s="8"/>
      <c r="J326" s="8">
        <v>65000</v>
      </c>
      <c r="K326" s="8"/>
      <c r="M326" s="4">
        <v>6</v>
      </c>
      <c r="N326" s="8">
        <f t="shared" ref="N326:N389" si="37">MAX(G326:K326)</f>
        <v>65000</v>
      </c>
      <c r="O326" s="47" cm="1">
        <f t="array" ref="O326">_xlfn.IFNA(YEAR(INDEX($G$5:$K$5,,MATCH(1,G326:K326,-1))),"")</f>
        <v>2030</v>
      </c>
      <c r="R326" s="8">
        <f t="shared" ref="R326:V335" si="38">IF($O326="",0,IF(MOD(YEAR(R$5)-$O326,$M326)=0,$N326,0))</f>
        <v>0</v>
      </c>
      <c r="S326" s="8">
        <f t="shared" si="38"/>
        <v>0</v>
      </c>
      <c r="T326" s="8">
        <f t="shared" si="38"/>
        <v>0</v>
      </c>
      <c r="U326" s="8">
        <f t="shared" si="38"/>
        <v>65000</v>
      </c>
      <c r="V326" s="8">
        <f t="shared" si="38"/>
        <v>0</v>
      </c>
    </row>
    <row r="327" spans="1:22" x14ac:dyDescent="0.35">
      <c r="A327" s="25" t="s">
        <v>223</v>
      </c>
      <c r="B327" s="26">
        <v>2014</v>
      </c>
      <c r="C327" s="25" t="s">
        <v>238</v>
      </c>
      <c r="D327" s="27" t="s">
        <v>99</v>
      </c>
      <c r="E327" s="4" t="s">
        <v>95</v>
      </c>
      <c r="F327" s="4" t="s">
        <v>219</v>
      </c>
      <c r="G327" s="8"/>
      <c r="H327" s="8"/>
      <c r="I327" s="8"/>
      <c r="J327" s="8">
        <v>65000</v>
      </c>
      <c r="K327" s="8"/>
      <c r="M327" s="4">
        <v>6</v>
      </c>
      <c r="N327" s="8">
        <f t="shared" si="37"/>
        <v>65000</v>
      </c>
      <c r="O327" s="47" cm="1">
        <f t="array" ref="O327">_xlfn.IFNA(YEAR(INDEX($G$5:$K$5,,MATCH(1,G327:K327,-1))),"")</f>
        <v>2030</v>
      </c>
      <c r="R327" s="8">
        <f t="shared" si="38"/>
        <v>0</v>
      </c>
      <c r="S327" s="8">
        <f t="shared" si="38"/>
        <v>0</v>
      </c>
      <c r="T327" s="8">
        <f t="shared" si="38"/>
        <v>0</v>
      </c>
      <c r="U327" s="8">
        <f t="shared" si="38"/>
        <v>65000</v>
      </c>
      <c r="V327" s="8">
        <f t="shared" si="38"/>
        <v>0</v>
      </c>
    </row>
    <row r="328" spans="1:22" x14ac:dyDescent="0.35">
      <c r="A328" s="25" t="s">
        <v>230</v>
      </c>
      <c r="B328" s="26">
        <v>2015</v>
      </c>
      <c r="C328" s="25" t="s">
        <v>232</v>
      </c>
      <c r="D328" s="27" t="s">
        <v>99</v>
      </c>
      <c r="E328" s="4" t="s">
        <v>95</v>
      </c>
      <c r="F328" s="4" t="s">
        <v>219</v>
      </c>
      <c r="G328" s="8"/>
      <c r="H328" s="8"/>
      <c r="I328" s="8"/>
      <c r="J328" s="8"/>
      <c r="K328" s="8">
        <v>92000</v>
      </c>
      <c r="M328" s="4">
        <v>6</v>
      </c>
      <c r="N328" s="8">
        <f t="shared" si="37"/>
        <v>92000</v>
      </c>
      <c r="O328" s="47" cm="1">
        <f t="array" ref="O328">_xlfn.IFNA(YEAR(INDEX($G$5:$K$5,,MATCH(1,G328:K328,-1))),"")</f>
        <v>2031</v>
      </c>
      <c r="R328" s="8">
        <f t="shared" si="38"/>
        <v>0</v>
      </c>
      <c r="S328" s="8">
        <f t="shared" si="38"/>
        <v>0</v>
      </c>
      <c r="T328" s="8">
        <f t="shared" si="38"/>
        <v>0</v>
      </c>
      <c r="U328" s="8">
        <f t="shared" si="38"/>
        <v>0</v>
      </c>
      <c r="V328" s="8">
        <f t="shared" si="38"/>
        <v>92000</v>
      </c>
    </row>
    <row r="329" spans="1:22" x14ac:dyDescent="0.35">
      <c r="A329" s="25" t="s">
        <v>230</v>
      </c>
      <c r="B329" s="26">
        <v>2015</v>
      </c>
      <c r="C329" s="25" t="s">
        <v>232</v>
      </c>
      <c r="D329" s="27" t="s">
        <v>99</v>
      </c>
      <c r="E329" s="4" t="s">
        <v>95</v>
      </c>
      <c r="F329" s="4" t="s">
        <v>219</v>
      </c>
      <c r="G329" s="8"/>
      <c r="H329" s="8"/>
      <c r="I329" s="8"/>
      <c r="J329" s="8"/>
      <c r="K329" s="8">
        <v>92000</v>
      </c>
      <c r="M329" s="4">
        <v>6</v>
      </c>
      <c r="N329" s="8">
        <f t="shared" si="37"/>
        <v>92000</v>
      </c>
      <c r="O329" s="47" cm="1">
        <f t="array" ref="O329">_xlfn.IFNA(YEAR(INDEX($G$5:$K$5,,MATCH(1,G329:K329,-1))),"")</f>
        <v>2031</v>
      </c>
      <c r="R329" s="8">
        <f t="shared" si="38"/>
        <v>0</v>
      </c>
      <c r="S329" s="8">
        <f t="shared" si="38"/>
        <v>0</v>
      </c>
      <c r="T329" s="8">
        <f t="shared" si="38"/>
        <v>0</v>
      </c>
      <c r="U329" s="8">
        <f t="shared" si="38"/>
        <v>0</v>
      </c>
      <c r="V329" s="8">
        <f t="shared" si="38"/>
        <v>92000</v>
      </c>
    </row>
    <row r="330" spans="1:22" x14ac:dyDescent="0.35">
      <c r="A330" s="25" t="s">
        <v>230</v>
      </c>
      <c r="B330" s="26">
        <v>2015</v>
      </c>
      <c r="C330" s="25" t="s">
        <v>232</v>
      </c>
      <c r="D330" s="27" t="s">
        <v>99</v>
      </c>
      <c r="E330" s="4" t="s">
        <v>95</v>
      </c>
      <c r="F330" s="4" t="s">
        <v>219</v>
      </c>
      <c r="G330" s="8"/>
      <c r="H330" s="8"/>
      <c r="I330" s="8"/>
      <c r="J330" s="8"/>
      <c r="K330" s="8">
        <v>92000</v>
      </c>
      <c r="M330" s="4">
        <v>6</v>
      </c>
      <c r="N330" s="8">
        <f t="shared" si="37"/>
        <v>92000</v>
      </c>
      <c r="O330" s="47" cm="1">
        <f t="array" ref="O330">_xlfn.IFNA(YEAR(INDEX($G$5:$K$5,,MATCH(1,G330:K330,-1))),"")</f>
        <v>2031</v>
      </c>
      <c r="R330" s="8">
        <f t="shared" si="38"/>
        <v>0</v>
      </c>
      <c r="S330" s="8">
        <f t="shared" si="38"/>
        <v>0</v>
      </c>
      <c r="T330" s="8">
        <f t="shared" si="38"/>
        <v>0</v>
      </c>
      <c r="U330" s="8">
        <f t="shared" si="38"/>
        <v>0</v>
      </c>
      <c r="V330" s="8">
        <f t="shared" si="38"/>
        <v>92000</v>
      </c>
    </row>
    <row r="331" spans="1:22" x14ac:dyDescent="0.35">
      <c r="A331" s="25" t="s">
        <v>117</v>
      </c>
      <c r="B331" s="26">
        <v>2016</v>
      </c>
      <c r="C331" s="25" t="s">
        <v>276</v>
      </c>
      <c r="D331" s="27" t="s">
        <v>99</v>
      </c>
      <c r="E331" s="4" t="s">
        <v>95</v>
      </c>
      <c r="F331" s="4" t="s">
        <v>219</v>
      </c>
      <c r="G331" s="8">
        <v>55000</v>
      </c>
      <c r="H331" s="8"/>
      <c r="I331" s="8"/>
      <c r="J331" s="8"/>
      <c r="K331" s="8"/>
      <c r="M331" s="4">
        <v>6</v>
      </c>
      <c r="N331" s="8">
        <f t="shared" si="37"/>
        <v>55000</v>
      </c>
      <c r="O331" s="47" cm="1">
        <f t="array" ref="O331">_xlfn.IFNA(YEAR(INDEX($G$5:$K$5,,MATCH(1,G331:K331,-1))),"")</f>
        <v>2027</v>
      </c>
      <c r="R331" s="8">
        <f t="shared" si="38"/>
        <v>55000</v>
      </c>
      <c r="S331" s="8">
        <f t="shared" si="38"/>
        <v>0</v>
      </c>
      <c r="T331" s="8">
        <f t="shared" si="38"/>
        <v>0</v>
      </c>
      <c r="U331" s="8">
        <f t="shared" si="38"/>
        <v>0</v>
      </c>
      <c r="V331" s="8">
        <f t="shared" si="38"/>
        <v>0</v>
      </c>
    </row>
    <row r="332" spans="1:22" x14ac:dyDescent="0.35">
      <c r="A332" s="25" t="s">
        <v>117</v>
      </c>
      <c r="B332" s="26">
        <v>2016</v>
      </c>
      <c r="C332" s="25" t="s">
        <v>225</v>
      </c>
      <c r="D332" s="27" t="s">
        <v>99</v>
      </c>
      <c r="E332" s="4" t="s">
        <v>95</v>
      </c>
      <c r="F332" s="4" t="s">
        <v>219</v>
      </c>
      <c r="G332" s="8">
        <v>55000</v>
      </c>
      <c r="H332" s="8"/>
      <c r="I332" s="8"/>
      <c r="J332" s="8"/>
      <c r="K332" s="8"/>
      <c r="M332" s="4">
        <v>6</v>
      </c>
      <c r="N332" s="8">
        <f t="shared" si="37"/>
        <v>55000</v>
      </c>
      <c r="O332" s="47" cm="1">
        <f t="array" ref="O332">_xlfn.IFNA(YEAR(INDEX($G$5:$K$5,,MATCH(1,G332:K332,-1))),"")</f>
        <v>2027</v>
      </c>
      <c r="R332" s="8">
        <f t="shared" si="38"/>
        <v>55000</v>
      </c>
      <c r="S332" s="8">
        <f t="shared" si="38"/>
        <v>0</v>
      </c>
      <c r="T332" s="8">
        <f t="shared" si="38"/>
        <v>0</v>
      </c>
      <c r="U332" s="8">
        <f t="shared" si="38"/>
        <v>0</v>
      </c>
      <c r="V332" s="8">
        <f t="shared" si="38"/>
        <v>0</v>
      </c>
    </row>
    <row r="333" spans="1:22" x14ac:dyDescent="0.35">
      <c r="A333" s="25" t="s">
        <v>117</v>
      </c>
      <c r="B333" s="26">
        <v>2016</v>
      </c>
      <c r="C333" s="25" t="s">
        <v>225</v>
      </c>
      <c r="D333" s="27" t="s">
        <v>99</v>
      </c>
      <c r="E333" s="4" t="s">
        <v>95</v>
      </c>
      <c r="F333" s="4" t="s">
        <v>219</v>
      </c>
      <c r="G333" s="8">
        <v>55000</v>
      </c>
      <c r="H333" s="8"/>
      <c r="I333" s="8"/>
      <c r="J333" s="8"/>
      <c r="K333" s="8"/>
      <c r="M333" s="4">
        <v>6</v>
      </c>
      <c r="N333" s="8">
        <f t="shared" si="37"/>
        <v>55000</v>
      </c>
      <c r="O333" s="47" cm="1">
        <f t="array" ref="O333">_xlfn.IFNA(YEAR(INDEX($G$5:$K$5,,MATCH(1,G333:K333,-1))),"")</f>
        <v>2027</v>
      </c>
      <c r="R333" s="8">
        <f t="shared" si="38"/>
        <v>55000</v>
      </c>
      <c r="S333" s="8">
        <f t="shared" si="38"/>
        <v>0</v>
      </c>
      <c r="T333" s="8">
        <f t="shared" si="38"/>
        <v>0</v>
      </c>
      <c r="U333" s="8">
        <f t="shared" si="38"/>
        <v>0</v>
      </c>
      <c r="V333" s="8">
        <f t="shared" si="38"/>
        <v>0</v>
      </c>
    </row>
    <row r="334" spans="1:22" x14ac:dyDescent="0.35">
      <c r="A334" s="25" t="s">
        <v>93</v>
      </c>
      <c r="B334" s="26">
        <v>2016</v>
      </c>
      <c r="C334" s="25" t="s">
        <v>277</v>
      </c>
      <c r="D334" s="27" t="s">
        <v>22</v>
      </c>
      <c r="E334" s="4" t="s">
        <v>95</v>
      </c>
      <c r="F334" s="4" t="s">
        <v>219</v>
      </c>
      <c r="G334" s="8">
        <v>420000</v>
      </c>
      <c r="H334" s="8"/>
      <c r="I334" s="8"/>
      <c r="J334" s="8"/>
      <c r="K334" s="8"/>
      <c r="M334" s="4">
        <v>10</v>
      </c>
      <c r="N334" s="8">
        <f t="shared" si="37"/>
        <v>420000</v>
      </c>
      <c r="O334" s="47" cm="1">
        <f t="array" ref="O334">_xlfn.IFNA(YEAR(INDEX($G$5:$K$5,,MATCH(1,G334:K334,-1))),"")</f>
        <v>2027</v>
      </c>
      <c r="R334" s="8">
        <f t="shared" si="38"/>
        <v>420000</v>
      </c>
      <c r="S334" s="8">
        <f t="shared" si="38"/>
        <v>0</v>
      </c>
      <c r="T334" s="8">
        <f t="shared" si="38"/>
        <v>0</v>
      </c>
      <c r="U334" s="8">
        <f t="shared" si="38"/>
        <v>0</v>
      </c>
      <c r="V334" s="8">
        <f t="shared" si="38"/>
        <v>0</v>
      </c>
    </row>
    <row r="335" spans="1:22" x14ac:dyDescent="0.35">
      <c r="A335" s="25" t="s">
        <v>93</v>
      </c>
      <c r="B335" s="26">
        <v>2017</v>
      </c>
      <c r="C335" s="25" t="s">
        <v>278</v>
      </c>
      <c r="D335" s="27" t="s">
        <v>72</v>
      </c>
      <c r="E335" s="4" t="s">
        <v>95</v>
      </c>
      <c r="F335" s="4" t="s">
        <v>219</v>
      </c>
      <c r="G335" s="8"/>
      <c r="H335" s="8"/>
      <c r="I335" s="8">
        <v>200000</v>
      </c>
      <c r="J335" s="8"/>
      <c r="K335" s="8"/>
      <c r="M335" s="4">
        <v>10</v>
      </c>
      <c r="N335" s="8">
        <f t="shared" si="37"/>
        <v>200000</v>
      </c>
      <c r="O335" s="47" cm="1">
        <f t="array" ref="O335">_xlfn.IFNA(YEAR(INDEX($G$5:$K$5,,MATCH(1,G335:K335,-1))),"")</f>
        <v>2029</v>
      </c>
      <c r="R335" s="8">
        <f t="shared" si="38"/>
        <v>0</v>
      </c>
      <c r="S335" s="8">
        <f t="shared" si="38"/>
        <v>0</v>
      </c>
      <c r="T335" s="8">
        <f t="shared" si="38"/>
        <v>200000</v>
      </c>
      <c r="U335" s="8">
        <f t="shared" si="38"/>
        <v>0</v>
      </c>
      <c r="V335" s="8">
        <f t="shared" si="38"/>
        <v>0</v>
      </c>
    </row>
    <row r="336" spans="1:22" x14ac:dyDescent="0.35">
      <c r="A336" s="25" t="s">
        <v>93</v>
      </c>
      <c r="B336" s="26">
        <v>2017</v>
      </c>
      <c r="C336" s="25" t="s">
        <v>278</v>
      </c>
      <c r="D336" s="27" t="s">
        <v>72</v>
      </c>
      <c r="E336" s="4" t="s">
        <v>95</v>
      </c>
      <c r="F336" s="4" t="s">
        <v>219</v>
      </c>
      <c r="G336" s="8"/>
      <c r="H336" s="8"/>
      <c r="I336" s="8">
        <v>200000</v>
      </c>
      <c r="J336" s="8"/>
      <c r="K336" s="8"/>
      <c r="M336" s="4">
        <v>10</v>
      </c>
      <c r="N336" s="8">
        <f t="shared" si="37"/>
        <v>200000</v>
      </c>
      <c r="O336" s="47" cm="1">
        <f t="array" ref="O336">_xlfn.IFNA(YEAR(INDEX($G$5:$K$5,,MATCH(1,G336:K336,-1))),"")</f>
        <v>2029</v>
      </c>
      <c r="R336" s="8">
        <f t="shared" ref="R336:V345" si="39">IF($O336="",0,IF(MOD(YEAR(R$5)-$O336,$M336)=0,$N336,0))</f>
        <v>0</v>
      </c>
      <c r="S336" s="8">
        <f t="shared" si="39"/>
        <v>0</v>
      </c>
      <c r="T336" s="8">
        <f t="shared" si="39"/>
        <v>200000</v>
      </c>
      <c r="U336" s="8">
        <f t="shared" si="39"/>
        <v>0</v>
      </c>
      <c r="V336" s="8">
        <f t="shared" si="39"/>
        <v>0</v>
      </c>
    </row>
    <row r="337" spans="1:22" x14ac:dyDescent="0.35">
      <c r="A337" s="25" t="s">
        <v>93</v>
      </c>
      <c r="B337" s="26">
        <v>2016</v>
      </c>
      <c r="C337" s="25" t="s">
        <v>279</v>
      </c>
      <c r="D337" s="27" t="s">
        <v>72</v>
      </c>
      <c r="E337" s="4" t="s">
        <v>95</v>
      </c>
      <c r="F337" s="4" t="s">
        <v>219</v>
      </c>
      <c r="G337" s="8"/>
      <c r="H337" s="8">
        <v>200000</v>
      </c>
      <c r="I337" s="8"/>
      <c r="J337" s="8"/>
      <c r="K337" s="8"/>
      <c r="M337" s="4">
        <v>10</v>
      </c>
      <c r="N337" s="8">
        <f t="shared" si="37"/>
        <v>200000</v>
      </c>
      <c r="O337" s="47" cm="1">
        <f t="array" ref="O337">_xlfn.IFNA(YEAR(INDEX($G$5:$K$5,,MATCH(1,G337:K337,-1))),"")</f>
        <v>2028</v>
      </c>
      <c r="R337" s="8">
        <f t="shared" si="39"/>
        <v>0</v>
      </c>
      <c r="S337" s="8">
        <f t="shared" si="39"/>
        <v>200000</v>
      </c>
      <c r="T337" s="8">
        <f t="shared" si="39"/>
        <v>0</v>
      </c>
      <c r="U337" s="8">
        <f t="shared" si="39"/>
        <v>0</v>
      </c>
      <c r="V337" s="8">
        <f t="shared" si="39"/>
        <v>0</v>
      </c>
    </row>
    <row r="338" spans="1:22" x14ac:dyDescent="0.35">
      <c r="A338" s="25" t="s">
        <v>93</v>
      </c>
      <c r="B338" s="26">
        <v>2016</v>
      </c>
      <c r="C338" s="25" t="s">
        <v>261</v>
      </c>
      <c r="D338" s="27" t="s">
        <v>22</v>
      </c>
      <c r="E338" s="4" t="s">
        <v>95</v>
      </c>
      <c r="F338" s="4" t="s">
        <v>219</v>
      </c>
      <c r="G338" s="8">
        <v>570000</v>
      </c>
      <c r="H338" s="8"/>
      <c r="I338" s="8"/>
      <c r="J338" s="8"/>
      <c r="K338" s="8"/>
      <c r="M338" s="4">
        <v>15</v>
      </c>
      <c r="N338" s="8">
        <f t="shared" si="37"/>
        <v>570000</v>
      </c>
      <c r="O338" s="47" cm="1">
        <f t="array" ref="O338">_xlfn.IFNA(YEAR(INDEX($G$5:$K$5,,MATCH(1,G338:K338,-1))),"")</f>
        <v>2027</v>
      </c>
      <c r="R338" s="8">
        <f t="shared" si="39"/>
        <v>570000</v>
      </c>
      <c r="S338" s="8">
        <f t="shared" si="39"/>
        <v>0</v>
      </c>
      <c r="T338" s="8">
        <f t="shared" si="39"/>
        <v>0</v>
      </c>
      <c r="U338" s="8">
        <f t="shared" si="39"/>
        <v>0</v>
      </c>
      <c r="V338" s="8">
        <f t="shared" si="39"/>
        <v>0</v>
      </c>
    </row>
    <row r="339" spans="1:22" x14ac:dyDescent="0.35">
      <c r="A339" s="25" t="s">
        <v>93</v>
      </c>
      <c r="B339" s="26">
        <v>2012</v>
      </c>
      <c r="C339" s="25" t="s">
        <v>267</v>
      </c>
      <c r="D339" s="27" t="s">
        <v>22</v>
      </c>
      <c r="E339" s="4" t="s">
        <v>95</v>
      </c>
      <c r="F339" s="4" t="s">
        <v>219</v>
      </c>
      <c r="G339" s="8"/>
      <c r="H339" s="8"/>
      <c r="I339" s="8"/>
      <c r="J339" s="8"/>
      <c r="K339" s="28">
        <v>650000</v>
      </c>
      <c r="M339" s="4">
        <v>15</v>
      </c>
      <c r="N339" s="8">
        <f t="shared" si="37"/>
        <v>650000</v>
      </c>
      <c r="O339" s="47" cm="1">
        <f t="array" ref="O339">_xlfn.IFNA(YEAR(INDEX($G$5:$K$5,,MATCH(1,G339:K339,-1))),"")</f>
        <v>2031</v>
      </c>
      <c r="R339" s="8">
        <f t="shared" si="39"/>
        <v>0</v>
      </c>
      <c r="S339" s="8">
        <f t="shared" si="39"/>
        <v>0</v>
      </c>
      <c r="T339" s="8">
        <f t="shared" si="39"/>
        <v>0</v>
      </c>
      <c r="U339" s="8">
        <f t="shared" si="39"/>
        <v>0</v>
      </c>
      <c r="V339" s="8">
        <f t="shared" si="39"/>
        <v>650000</v>
      </c>
    </row>
    <row r="340" spans="1:22" x14ac:dyDescent="0.35">
      <c r="A340" s="25" t="s">
        <v>239</v>
      </c>
      <c r="B340" s="26">
        <v>2004</v>
      </c>
      <c r="C340" s="25" t="s">
        <v>280</v>
      </c>
      <c r="D340" s="27" t="s">
        <v>99</v>
      </c>
      <c r="E340" s="4" t="s">
        <v>100</v>
      </c>
      <c r="F340" s="4" t="s">
        <v>219</v>
      </c>
      <c r="G340" s="8"/>
      <c r="H340" s="8"/>
      <c r="I340" s="8"/>
      <c r="J340" s="8"/>
      <c r="K340" s="28">
        <v>27000</v>
      </c>
      <c r="M340" s="4">
        <v>15</v>
      </c>
      <c r="N340" s="8">
        <f t="shared" si="37"/>
        <v>27000</v>
      </c>
      <c r="O340" s="47" cm="1">
        <f t="array" ref="O340">_xlfn.IFNA(YEAR(INDEX($G$5:$K$5,,MATCH(1,G340:K340,-1))),"")</f>
        <v>2031</v>
      </c>
      <c r="R340" s="8">
        <f t="shared" si="39"/>
        <v>0</v>
      </c>
      <c r="S340" s="8">
        <f t="shared" si="39"/>
        <v>0</v>
      </c>
      <c r="T340" s="8">
        <f t="shared" si="39"/>
        <v>0</v>
      </c>
      <c r="U340" s="8">
        <f t="shared" si="39"/>
        <v>0</v>
      </c>
      <c r="V340" s="8">
        <f t="shared" si="39"/>
        <v>27000</v>
      </c>
    </row>
    <row r="341" spans="1:22" x14ac:dyDescent="0.35">
      <c r="A341" s="25" t="s">
        <v>109</v>
      </c>
      <c r="B341" s="26">
        <v>2011</v>
      </c>
      <c r="C341" s="25" t="s">
        <v>273</v>
      </c>
      <c r="D341" s="27" t="s">
        <v>99</v>
      </c>
      <c r="E341" s="4" t="s">
        <v>100</v>
      </c>
      <c r="F341" s="4" t="s">
        <v>219</v>
      </c>
      <c r="G341" s="8"/>
      <c r="H341" s="8"/>
      <c r="I341" s="8"/>
      <c r="J341" s="8"/>
      <c r="K341" s="28">
        <v>27000</v>
      </c>
      <c r="M341" s="4">
        <v>15</v>
      </c>
      <c r="N341" s="8">
        <f t="shared" si="37"/>
        <v>27000</v>
      </c>
      <c r="O341" s="47" cm="1">
        <f t="array" ref="O341">_xlfn.IFNA(YEAR(INDEX($G$5:$K$5,,MATCH(1,G341:K341,-1))),"")</f>
        <v>2031</v>
      </c>
      <c r="R341" s="8">
        <f t="shared" si="39"/>
        <v>0</v>
      </c>
      <c r="S341" s="8">
        <f t="shared" si="39"/>
        <v>0</v>
      </c>
      <c r="T341" s="8">
        <f t="shared" si="39"/>
        <v>0</v>
      </c>
      <c r="U341" s="8">
        <f t="shared" si="39"/>
        <v>0</v>
      </c>
      <c r="V341" s="8">
        <f t="shared" si="39"/>
        <v>27000</v>
      </c>
    </row>
    <row r="342" spans="1:22" x14ac:dyDescent="0.35">
      <c r="A342" s="25" t="s">
        <v>230</v>
      </c>
      <c r="B342" s="26">
        <v>2015</v>
      </c>
      <c r="C342" s="25" t="s">
        <v>232</v>
      </c>
      <c r="D342" s="27" t="s">
        <v>99</v>
      </c>
      <c r="E342" s="4" t="s">
        <v>95</v>
      </c>
      <c r="F342" s="4" t="s">
        <v>219</v>
      </c>
      <c r="G342" s="8"/>
      <c r="H342" s="8"/>
      <c r="I342" s="8"/>
      <c r="J342" s="8"/>
      <c r="K342" s="8">
        <v>92000</v>
      </c>
      <c r="M342" s="4">
        <v>6</v>
      </c>
      <c r="N342" s="8">
        <f t="shared" si="37"/>
        <v>92000</v>
      </c>
      <c r="O342" s="47" cm="1">
        <f t="array" ref="O342">_xlfn.IFNA(YEAR(INDEX($G$5:$K$5,,MATCH(1,G342:K342,-1))),"")</f>
        <v>2031</v>
      </c>
      <c r="R342" s="8">
        <f t="shared" si="39"/>
        <v>0</v>
      </c>
      <c r="S342" s="8">
        <f t="shared" si="39"/>
        <v>0</v>
      </c>
      <c r="T342" s="8">
        <f t="shared" si="39"/>
        <v>0</v>
      </c>
      <c r="U342" s="8">
        <f t="shared" si="39"/>
        <v>0</v>
      </c>
      <c r="V342" s="8">
        <f t="shared" si="39"/>
        <v>92000</v>
      </c>
    </row>
    <row r="343" spans="1:22" x14ac:dyDescent="0.35">
      <c r="A343" s="25" t="s">
        <v>230</v>
      </c>
      <c r="B343" s="26">
        <v>2015</v>
      </c>
      <c r="C343" s="25" t="s">
        <v>244</v>
      </c>
      <c r="D343" s="27" t="s">
        <v>99</v>
      </c>
      <c r="E343" s="4" t="s">
        <v>95</v>
      </c>
      <c r="F343" s="4" t="s">
        <v>219</v>
      </c>
      <c r="G343" s="8"/>
      <c r="H343" s="8"/>
      <c r="I343" s="8"/>
      <c r="J343" s="8"/>
      <c r="K343" s="8">
        <v>130000</v>
      </c>
      <c r="M343" s="4">
        <v>6</v>
      </c>
      <c r="N343" s="8">
        <f t="shared" si="37"/>
        <v>130000</v>
      </c>
      <c r="O343" s="47" cm="1">
        <f t="array" ref="O343">_xlfn.IFNA(YEAR(INDEX($G$5:$K$5,,MATCH(1,G343:K343,-1))),"")</f>
        <v>2031</v>
      </c>
      <c r="R343" s="8">
        <f t="shared" si="39"/>
        <v>0</v>
      </c>
      <c r="S343" s="8">
        <f t="shared" si="39"/>
        <v>0</v>
      </c>
      <c r="T343" s="8">
        <f t="shared" si="39"/>
        <v>0</v>
      </c>
      <c r="U343" s="8">
        <f t="shared" si="39"/>
        <v>0</v>
      </c>
      <c r="V343" s="8">
        <f t="shared" si="39"/>
        <v>130000</v>
      </c>
    </row>
    <row r="344" spans="1:22" x14ac:dyDescent="0.35">
      <c r="A344" s="25" t="s">
        <v>230</v>
      </c>
      <c r="B344" s="26">
        <v>2016</v>
      </c>
      <c r="C344" s="25" t="s">
        <v>259</v>
      </c>
      <c r="D344" s="27" t="s">
        <v>99</v>
      </c>
      <c r="E344" s="4" t="s">
        <v>95</v>
      </c>
      <c r="F344" s="4" t="s">
        <v>219</v>
      </c>
      <c r="G344" s="8">
        <v>92000</v>
      </c>
      <c r="H344" s="8"/>
      <c r="I344" s="8"/>
      <c r="J344" s="8"/>
      <c r="K344" s="8"/>
      <c r="M344" s="4">
        <v>6</v>
      </c>
      <c r="N344" s="8">
        <f t="shared" si="37"/>
        <v>92000</v>
      </c>
      <c r="O344" s="47" cm="1">
        <f t="array" ref="O344">_xlfn.IFNA(YEAR(INDEX($G$5:$K$5,,MATCH(1,G344:K344,-1))),"")</f>
        <v>2027</v>
      </c>
      <c r="R344" s="8">
        <f t="shared" si="39"/>
        <v>92000</v>
      </c>
      <c r="S344" s="8">
        <f t="shared" si="39"/>
        <v>0</v>
      </c>
      <c r="T344" s="8">
        <f t="shared" si="39"/>
        <v>0</v>
      </c>
      <c r="U344" s="8">
        <f t="shared" si="39"/>
        <v>0</v>
      </c>
      <c r="V344" s="8">
        <f t="shared" si="39"/>
        <v>0</v>
      </c>
    </row>
    <row r="345" spans="1:22" x14ac:dyDescent="0.35">
      <c r="A345" s="25" t="s">
        <v>230</v>
      </c>
      <c r="B345" s="26">
        <v>2016</v>
      </c>
      <c r="C345" s="25" t="s">
        <v>259</v>
      </c>
      <c r="D345" s="27" t="s">
        <v>99</v>
      </c>
      <c r="E345" s="4" t="s">
        <v>95</v>
      </c>
      <c r="F345" s="4" t="s">
        <v>219</v>
      </c>
      <c r="G345" s="8">
        <v>92000</v>
      </c>
      <c r="H345" s="8"/>
      <c r="I345" s="8"/>
      <c r="J345" s="8"/>
      <c r="K345" s="8"/>
      <c r="M345" s="4">
        <v>6</v>
      </c>
      <c r="N345" s="8">
        <f t="shared" si="37"/>
        <v>92000</v>
      </c>
      <c r="O345" s="47" cm="1">
        <f t="array" ref="O345">_xlfn.IFNA(YEAR(INDEX($G$5:$K$5,,MATCH(1,G345:K345,-1))),"")</f>
        <v>2027</v>
      </c>
      <c r="R345" s="8">
        <f t="shared" si="39"/>
        <v>92000</v>
      </c>
      <c r="S345" s="8">
        <f t="shared" si="39"/>
        <v>0</v>
      </c>
      <c r="T345" s="8">
        <f t="shared" si="39"/>
        <v>0</v>
      </c>
      <c r="U345" s="8">
        <f t="shared" si="39"/>
        <v>0</v>
      </c>
      <c r="V345" s="8">
        <f t="shared" si="39"/>
        <v>0</v>
      </c>
    </row>
    <row r="346" spans="1:22" x14ac:dyDescent="0.35">
      <c r="A346" s="25" t="s">
        <v>230</v>
      </c>
      <c r="B346" s="26">
        <v>2015</v>
      </c>
      <c r="C346" s="25" t="s">
        <v>244</v>
      </c>
      <c r="D346" s="27" t="s">
        <v>99</v>
      </c>
      <c r="E346" s="4" t="s">
        <v>95</v>
      </c>
      <c r="F346" s="4" t="s">
        <v>219</v>
      </c>
      <c r="G346" s="8"/>
      <c r="H346" s="8"/>
      <c r="I346" s="8"/>
      <c r="J346" s="8"/>
      <c r="K346" s="8">
        <v>130000</v>
      </c>
      <c r="M346" s="4">
        <v>6</v>
      </c>
      <c r="N346" s="8">
        <f t="shared" si="37"/>
        <v>130000</v>
      </c>
      <c r="O346" s="47" cm="1">
        <f t="array" ref="O346">_xlfn.IFNA(YEAR(INDEX($G$5:$K$5,,MATCH(1,G346:K346,-1))),"")</f>
        <v>2031</v>
      </c>
      <c r="R346" s="8">
        <f t="shared" ref="R346:V355" si="40">IF($O346="",0,IF(MOD(YEAR(R$5)-$O346,$M346)=0,$N346,0))</f>
        <v>0</v>
      </c>
      <c r="S346" s="8">
        <f t="shared" si="40"/>
        <v>0</v>
      </c>
      <c r="T346" s="8">
        <f t="shared" si="40"/>
        <v>0</v>
      </c>
      <c r="U346" s="8">
        <f t="shared" si="40"/>
        <v>0</v>
      </c>
      <c r="V346" s="8">
        <f t="shared" si="40"/>
        <v>130000</v>
      </c>
    </row>
    <row r="347" spans="1:22" x14ac:dyDescent="0.35">
      <c r="A347" s="25" t="s">
        <v>230</v>
      </c>
      <c r="B347" s="26">
        <v>2015</v>
      </c>
      <c r="C347" s="25" t="s">
        <v>244</v>
      </c>
      <c r="D347" s="27" t="s">
        <v>99</v>
      </c>
      <c r="E347" s="4" t="s">
        <v>95</v>
      </c>
      <c r="F347" s="4" t="s">
        <v>219</v>
      </c>
      <c r="G347" s="8"/>
      <c r="H347" s="8"/>
      <c r="I347" s="8"/>
      <c r="J347" s="8"/>
      <c r="K347" s="8">
        <v>130000</v>
      </c>
      <c r="M347" s="4">
        <v>6</v>
      </c>
      <c r="N347" s="8">
        <f t="shared" si="37"/>
        <v>130000</v>
      </c>
      <c r="O347" s="47" cm="1">
        <f t="array" ref="O347">_xlfn.IFNA(YEAR(INDEX($G$5:$K$5,,MATCH(1,G347:K347,-1))),"")</f>
        <v>2031</v>
      </c>
      <c r="R347" s="8">
        <f t="shared" si="40"/>
        <v>0</v>
      </c>
      <c r="S347" s="8">
        <f t="shared" si="40"/>
        <v>0</v>
      </c>
      <c r="T347" s="8">
        <f t="shared" si="40"/>
        <v>0</v>
      </c>
      <c r="U347" s="8">
        <f t="shared" si="40"/>
        <v>0</v>
      </c>
      <c r="V347" s="8">
        <f t="shared" si="40"/>
        <v>130000</v>
      </c>
    </row>
    <row r="348" spans="1:22" x14ac:dyDescent="0.35">
      <c r="A348" s="25" t="s">
        <v>230</v>
      </c>
      <c r="B348" s="26">
        <v>2016</v>
      </c>
      <c r="C348" s="25" t="s">
        <v>259</v>
      </c>
      <c r="D348" s="27" t="s">
        <v>99</v>
      </c>
      <c r="E348" s="4" t="s">
        <v>95</v>
      </c>
      <c r="F348" s="4" t="s">
        <v>219</v>
      </c>
      <c r="G348" s="8">
        <v>92000</v>
      </c>
      <c r="H348" s="8"/>
      <c r="I348" s="8"/>
      <c r="J348" s="8"/>
      <c r="K348" s="8"/>
      <c r="M348" s="4">
        <v>6</v>
      </c>
      <c r="N348" s="8">
        <f t="shared" si="37"/>
        <v>92000</v>
      </c>
      <c r="O348" s="47" cm="1">
        <f t="array" ref="O348">_xlfn.IFNA(YEAR(INDEX($G$5:$K$5,,MATCH(1,G348:K348,-1))),"")</f>
        <v>2027</v>
      </c>
      <c r="R348" s="8">
        <f t="shared" si="40"/>
        <v>92000</v>
      </c>
      <c r="S348" s="8">
        <f t="shared" si="40"/>
        <v>0</v>
      </c>
      <c r="T348" s="8">
        <f t="shared" si="40"/>
        <v>0</v>
      </c>
      <c r="U348" s="8">
        <f t="shared" si="40"/>
        <v>0</v>
      </c>
      <c r="V348" s="8">
        <f t="shared" si="40"/>
        <v>0</v>
      </c>
    </row>
    <row r="349" spans="1:22" x14ac:dyDescent="0.35">
      <c r="A349" s="25" t="s">
        <v>117</v>
      </c>
      <c r="B349" s="26">
        <v>2015</v>
      </c>
      <c r="C349" s="25" t="s">
        <v>222</v>
      </c>
      <c r="D349" s="27" t="s">
        <v>74</v>
      </c>
      <c r="E349" s="4" t="s">
        <v>95</v>
      </c>
      <c r="F349" s="4" t="s">
        <v>219</v>
      </c>
      <c r="G349" s="8"/>
      <c r="H349" s="8"/>
      <c r="I349" s="8"/>
      <c r="J349" s="8"/>
      <c r="K349" s="8">
        <v>45000</v>
      </c>
      <c r="M349" s="4">
        <v>4</v>
      </c>
      <c r="N349" s="8">
        <f t="shared" si="37"/>
        <v>45000</v>
      </c>
      <c r="O349" s="47" cm="1">
        <f t="array" ref="O349">_xlfn.IFNA(YEAR(INDEX($G$5:$K$5,,MATCH(1,G349:K349,-1))),"")</f>
        <v>2031</v>
      </c>
      <c r="R349" s="8">
        <f t="shared" si="40"/>
        <v>45000</v>
      </c>
      <c r="S349" s="8">
        <f t="shared" si="40"/>
        <v>0</v>
      </c>
      <c r="T349" s="8">
        <f t="shared" si="40"/>
        <v>0</v>
      </c>
      <c r="U349" s="8">
        <f t="shared" si="40"/>
        <v>0</v>
      </c>
      <c r="V349" s="8">
        <f t="shared" si="40"/>
        <v>45000</v>
      </c>
    </row>
    <row r="350" spans="1:22" x14ac:dyDescent="0.35">
      <c r="A350" s="25" t="s">
        <v>230</v>
      </c>
      <c r="B350" s="26">
        <v>2014</v>
      </c>
      <c r="C350" s="25" t="s">
        <v>232</v>
      </c>
      <c r="D350" s="27" t="s">
        <v>99</v>
      </c>
      <c r="E350" s="4" t="s">
        <v>95</v>
      </c>
      <c r="F350" s="4" t="s">
        <v>219</v>
      </c>
      <c r="G350" s="8"/>
      <c r="H350" s="8"/>
      <c r="I350" s="8"/>
      <c r="J350" s="8">
        <v>92000</v>
      </c>
      <c r="K350" s="8"/>
      <c r="M350" s="4">
        <v>6</v>
      </c>
      <c r="N350" s="8">
        <f t="shared" si="37"/>
        <v>92000</v>
      </c>
      <c r="O350" s="47" cm="1">
        <f t="array" ref="O350">_xlfn.IFNA(YEAR(INDEX($G$5:$K$5,,MATCH(1,G350:K350,-1))),"")</f>
        <v>2030</v>
      </c>
      <c r="R350" s="8">
        <f t="shared" si="40"/>
        <v>0</v>
      </c>
      <c r="S350" s="8">
        <f t="shared" si="40"/>
        <v>0</v>
      </c>
      <c r="T350" s="8">
        <f t="shared" si="40"/>
        <v>0</v>
      </c>
      <c r="U350" s="8">
        <f t="shared" si="40"/>
        <v>92000</v>
      </c>
      <c r="V350" s="8">
        <f t="shared" si="40"/>
        <v>0</v>
      </c>
    </row>
    <row r="351" spans="1:22" x14ac:dyDescent="0.35">
      <c r="A351" s="25" t="s">
        <v>217</v>
      </c>
      <c r="B351" s="26">
        <v>2014</v>
      </c>
      <c r="C351" s="25" t="s">
        <v>218</v>
      </c>
      <c r="D351" s="27" t="s">
        <v>99</v>
      </c>
      <c r="E351" s="4" t="s">
        <v>95</v>
      </c>
      <c r="F351" s="4" t="s">
        <v>219</v>
      </c>
      <c r="G351" s="8"/>
      <c r="H351" s="8"/>
      <c r="I351" s="8"/>
      <c r="J351" s="8">
        <v>65000</v>
      </c>
      <c r="K351" s="8"/>
      <c r="M351" s="4">
        <v>6</v>
      </c>
      <c r="N351" s="8">
        <f t="shared" si="37"/>
        <v>65000</v>
      </c>
      <c r="O351" s="47" cm="1">
        <f t="array" ref="O351">_xlfn.IFNA(YEAR(INDEX($G$5:$K$5,,MATCH(1,G351:K351,-1))),"")</f>
        <v>2030</v>
      </c>
      <c r="R351" s="8">
        <f t="shared" si="40"/>
        <v>0</v>
      </c>
      <c r="S351" s="8">
        <f t="shared" si="40"/>
        <v>0</v>
      </c>
      <c r="T351" s="8">
        <f t="shared" si="40"/>
        <v>0</v>
      </c>
      <c r="U351" s="8">
        <f t="shared" si="40"/>
        <v>65000</v>
      </c>
      <c r="V351" s="8">
        <f t="shared" si="40"/>
        <v>0</v>
      </c>
    </row>
    <row r="352" spans="1:22" x14ac:dyDescent="0.35">
      <c r="A352" s="25" t="s">
        <v>223</v>
      </c>
      <c r="B352" s="26">
        <v>2015</v>
      </c>
      <c r="C352" s="25" t="s">
        <v>238</v>
      </c>
      <c r="D352" s="27" t="s">
        <v>99</v>
      </c>
      <c r="E352" s="4" t="s">
        <v>95</v>
      </c>
      <c r="F352" s="4" t="s">
        <v>219</v>
      </c>
      <c r="G352" s="8"/>
      <c r="H352" s="8"/>
      <c r="I352" s="8"/>
      <c r="J352" s="8"/>
      <c r="K352" s="8">
        <v>55000</v>
      </c>
      <c r="M352" s="4">
        <v>6</v>
      </c>
      <c r="N352" s="8">
        <f t="shared" si="37"/>
        <v>55000</v>
      </c>
      <c r="O352" s="47" cm="1">
        <f t="array" ref="O352">_xlfn.IFNA(YEAR(INDEX($G$5:$K$5,,MATCH(1,G352:K352,-1))),"")</f>
        <v>2031</v>
      </c>
      <c r="R352" s="8">
        <f t="shared" si="40"/>
        <v>0</v>
      </c>
      <c r="S352" s="8">
        <f t="shared" si="40"/>
        <v>0</v>
      </c>
      <c r="T352" s="8">
        <f t="shared" si="40"/>
        <v>0</v>
      </c>
      <c r="U352" s="8">
        <f t="shared" si="40"/>
        <v>0</v>
      </c>
      <c r="V352" s="8">
        <f t="shared" si="40"/>
        <v>55000</v>
      </c>
    </row>
    <row r="353" spans="1:22" x14ac:dyDescent="0.35">
      <c r="A353" s="25" t="s">
        <v>223</v>
      </c>
      <c r="B353" s="26">
        <v>2015</v>
      </c>
      <c r="C353" s="25" t="s">
        <v>238</v>
      </c>
      <c r="D353" s="27" t="s">
        <v>99</v>
      </c>
      <c r="E353" s="4" t="s">
        <v>95</v>
      </c>
      <c r="F353" s="4" t="s">
        <v>219</v>
      </c>
      <c r="G353" s="8"/>
      <c r="H353" s="8"/>
      <c r="I353" s="8"/>
      <c r="J353" s="8"/>
      <c r="K353" s="8">
        <v>55000</v>
      </c>
      <c r="M353" s="4">
        <v>6</v>
      </c>
      <c r="N353" s="8">
        <f t="shared" si="37"/>
        <v>55000</v>
      </c>
      <c r="O353" s="47" cm="1">
        <f t="array" ref="O353">_xlfn.IFNA(YEAR(INDEX($G$5:$K$5,,MATCH(1,G353:K353,-1))),"")</f>
        <v>2031</v>
      </c>
      <c r="R353" s="8">
        <f t="shared" si="40"/>
        <v>0</v>
      </c>
      <c r="S353" s="8">
        <f t="shared" si="40"/>
        <v>0</v>
      </c>
      <c r="T353" s="8">
        <f t="shared" si="40"/>
        <v>0</v>
      </c>
      <c r="U353" s="8">
        <f t="shared" si="40"/>
        <v>0</v>
      </c>
      <c r="V353" s="8">
        <f t="shared" si="40"/>
        <v>55000</v>
      </c>
    </row>
    <row r="354" spans="1:22" x14ac:dyDescent="0.35">
      <c r="A354" s="25" t="s">
        <v>223</v>
      </c>
      <c r="B354" s="26">
        <v>2014</v>
      </c>
      <c r="C354" s="25" t="s">
        <v>238</v>
      </c>
      <c r="D354" s="27" t="s">
        <v>99</v>
      </c>
      <c r="E354" s="4" t="s">
        <v>95</v>
      </c>
      <c r="F354" s="4" t="s">
        <v>219</v>
      </c>
      <c r="G354" s="8"/>
      <c r="H354" s="8"/>
      <c r="I354" s="8"/>
      <c r="J354" s="8"/>
      <c r="K354" s="8">
        <v>55000</v>
      </c>
      <c r="M354" s="4">
        <v>6</v>
      </c>
      <c r="N354" s="8">
        <f t="shared" si="37"/>
        <v>55000</v>
      </c>
      <c r="O354" s="47" cm="1">
        <f t="array" ref="O354">_xlfn.IFNA(YEAR(INDEX($G$5:$K$5,,MATCH(1,G354:K354,-1))),"")</f>
        <v>2031</v>
      </c>
      <c r="R354" s="8">
        <f t="shared" si="40"/>
        <v>0</v>
      </c>
      <c r="S354" s="8">
        <f t="shared" si="40"/>
        <v>0</v>
      </c>
      <c r="T354" s="8">
        <f t="shared" si="40"/>
        <v>0</v>
      </c>
      <c r="U354" s="8">
        <f t="shared" si="40"/>
        <v>0</v>
      </c>
      <c r="V354" s="8">
        <f t="shared" si="40"/>
        <v>55000</v>
      </c>
    </row>
    <row r="355" spans="1:22" x14ac:dyDescent="0.35">
      <c r="A355" s="25" t="s">
        <v>257</v>
      </c>
      <c r="B355" s="26">
        <v>2014</v>
      </c>
      <c r="C355" s="25" t="s">
        <v>281</v>
      </c>
      <c r="D355" s="27" t="s">
        <v>72</v>
      </c>
      <c r="E355" s="4" t="s">
        <v>95</v>
      </c>
      <c r="F355" s="4" t="s">
        <v>219</v>
      </c>
      <c r="G355" s="8"/>
      <c r="H355" s="8"/>
      <c r="I355" s="8"/>
      <c r="J355" s="8"/>
      <c r="K355" s="28">
        <v>600000</v>
      </c>
      <c r="M355" s="4">
        <v>15</v>
      </c>
      <c r="N355" s="8">
        <f t="shared" si="37"/>
        <v>600000</v>
      </c>
      <c r="O355" s="47" cm="1">
        <f t="array" ref="O355">_xlfn.IFNA(YEAR(INDEX($G$5:$K$5,,MATCH(1,G355:K355,-1))),"")</f>
        <v>2031</v>
      </c>
      <c r="R355" s="8">
        <f t="shared" si="40"/>
        <v>0</v>
      </c>
      <c r="S355" s="8">
        <f t="shared" si="40"/>
        <v>0</v>
      </c>
      <c r="T355" s="8">
        <f t="shared" si="40"/>
        <v>0</v>
      </c>
      <c r="U355" s="8">
        <f t="shared" si="40"/>
        <v>0</v>
      </c>
      <c r="V355" s="8">
        <f t="shared" si="40"/>
        <v>600000</v>
      </c>
    </row>
    <row r="356" spans="1:22" x14ac:dyDescent="0.35">
      <c r="A356" s="25" t="s">
        <v>93</v>
      </c>
      <c r="B356" s="26">
        <v>2004</v>
      </c>
      <c r="C356" s="25" t="s">
        <v>282</v>
      </c>
      <c r="D356" s="27" t="s">
        <v>72</v>
      </c>
      <c r="E356" s="4" t="s">
        <v>95</v>
      </c>
      <c r="F356" s="4" t="s">
        <v>219</v>
      </c>
      <c r="G356" s="8"/>
      <c r="H356" s="8"/>
      <c r="I356" s="8"/>
      <c r="J356" s="8"/>
      <c r="K356" s="28">
        <v>200000</v>
      </c>
      <c r="M356" s="4">
        <v>10</v>
      </c>
      <c r="N356" s="8">
        <f t="shared" si="37"/>
        <v>200000</v>
      </c>
      <c r="O356" s="47" cm="1">
        <f t="array" ref="O356">_xlfn.IFNA(YEAR(INDEX($G$5:$K$5,,MATCH(1,G356:K356,-1))),"")</f>
        <v>2031</v>
      </c>
      <c r="R356" s="8">
        <f t="shared" ref="R356:V365" si="41">IF($O356="",0,IF(MOD(YEAR(R$5)-$O356,$M356)=0,$N356,0))</f>
        <v>0</v>
      </c>
      <c r="S356" s="8">
        <f t="shared" si="41"/>
        <v>0</v>
      </c>
      <c r="T356" s="8">
        <f t="shared" si="41"/>
        <v>0</v>
      </c>
      <c r="U356" s="8">
        <f t="shared" si="41"/>
        <v>0</v>
      </c>
      <c r="V356" s="8">
        <f t="shared" si="41"/>
        <v>200000</v>
      </c>
    </row>
    <row r="357" spans="1:22" x14ac:dyDescent="0.35">
      <c r="A357" s="25" t="s">
        <v>283</v>
      </c>
      <c r="B357" s="26">
        <v>2015</v>
      </c>
      <c r="C357" s="25" t="s">
        <v>284</v>
      </c>
      <c r="D357" s="27" t="s">
        <v>99</v>
      </c>
      <c r="E357" s="4" t="s">
        <v>95</v>
      </c>
      <c r="F357" s="4" t="s">
        <v>219</v>
      </c>
      <c r="G357" s="8"/>
      <c r="H357" s="8"/>
      <c r="I357" s="8"/>
      <c r="J357" s="8"/>
      <c r="K357" s="28">
        <v>60000</v>
      </c>
      <c r="M357" s="4">
        <v>10</v>
      </c>
      <c r="N357" s="8">
        <f t="shared" si="37"/>
        <v>60000</v>
      </c>
      <c r="O357" s="47" cm="1">
        <f t="array" ref="O357">_xlfn.IFNA(YEAR(INDEX($G$5:$K$5,,MATCH(1,G357:K357,-1))),"")</f>
        <v>2031</v>
      </c>
      <c r="R357" s="8">
        <f t="shared" si="41"/>
        <v>0</v>
      </c>
      <c r="S357" s="8">
        <f t="shared" si="41"/>
        <v>0</v>
      </c>
      <c r="T357" s="8">
        <f t="shared" si="41"/>
        <v>0</v>
      </c>
      <c r="U357" s="8">
        <f t="shared" si="41"/>
        <v>0</v>
      </c>
      <c r="V357" s="8">
        <f t="shared" si="41"/>
        <v>60000</v>
      </c>
    </row>
    <row r="358" spans="1:22" x14ac:dyDescent="0.35">
      <c r="A358" s="25" t="s">
        <v>285</v>
      </c>
      <c r="B358" s="26">
        <v>2015</v>
      </c>
      <c r="C358" s="25" t="s">
        <v>286</v>
      </c>
      <c r="D358" s="27" t="s">
        <v>99</v>
      </c>
      <c r="E358" s="4" t="s">
        <v>95</v>
      </c>
      <c r="F358" s="4" t="s">
        <v>219</v>
      </c>
      <c r="G358" s="8"/>
      <c r="H358" s="8"/>
      <c r="I358" s="8"/>
      <c r="J358" s="8"/>
      <c r="K358" s="28">
        <v>60000</v>
      </c>
      <c r="M358" s="4">
        <v>10</v>
      </c>
      <c r="N358" s="8">
        <f t="shared" si="37"/>
        <v>60000</v>
      </c>
      <c r="O358" s="47" cm="1">
        <f t="array" ref="O358">_xlfn.IFNA(YEAR(INDEX($G$5:$K$5,,MATCH(1,G358:K358,-1))),"")</f>
        <v>2031</v>
      </c>
      <c r="R358" s="8">
        <f t="shared" si="41"/>
        <v>0</v>
      </c>
      <c r="S358" s="8">
        <f t="shared" si="41"/>
        <v>0</v>
      </c>
      <c r="T358" s="8">
        <f t="shared" si="41"/>
        <v>0</v>
      </c>
      <c r="U358" s="8">
        <f t="shared" si="41"/>
        <v>0</v>
      </c>
      <c r="V358" s="8">
        <f t="shared" si="41"/>
        <v>60000</v>
      </c>
    </row>
    <row r="359" spans="1:22" x14ac:dyDescent="0.35">
      <c r="A359" s="25" t="s">
        <v>287</v>
      </c>
      <c r="B359" s="26">
        <v>2014</v>
      </c>
      <c r="C359" s="25" t="s">
        <v>288</v>
      </c>
      <c r="D359" s="27" t="s">
        <v>99</v>
      </c>
      <c r="E359" s="4" t="s">
        <v>95</v>
      </c>
      <c r="F359" s="4" t="s">
        <v>219</v>
      </c>
      <c r="G359" s="8"/>
      <c r="H359" s="8"/>
      <c r="I359" s="8"/>
      <c r="J359" s="8"/>
      <c r="K359" s="28">
        <v>60000</v>
      </c>
      <c r="M359" s="4">
        <v>10</v>
      </c>
      <c r="N359" s="8">
        <f t="shared" si="37"/>
        <v>60000</v>
      </c>
      <c r="O359" s="47" cm="1">
        <f t="array" ref="O359">_xlfn.IFNA(YEAR(INDEX($G$5:$K$5,,MATCH(1,G359:K359,-1))),"")</f>
        <v>2031</v>
      </c>
      <c r="R359" s="8">
        <f t="shared" si="41"/>
        <v>0</v>
      </c>
      <c r="S359" s="8">
        <f t="shared" si="41"/>
        <v>0</v>
      </c>
      <c r="T359" s="8">
        <f t="shared" si="41"/>
        <v>0</v>
      </c>
      <c r="U359" s="8">
        <f t="shared" si="41"/>
        <v>0</v>
      </c>
      <c r="V359" s="8">
        <f t="shared" si="41"/>
        <v>60000</v>
      </c>
    </row>
    <row r="360" spans="1:22" x14ac:dyDescent="0.35">
      <c r="A360" s="25" t="s">
        <v>239</v>
      </c>
      <c r="B360" s="26">
        <v>2006</v>
      </c>
      <c r="C360" s="25" t="s">
        <v>241</v>
      </c>
      <c r="D360" s="27" t="s">
        <v>99</v>
      </c>
      <c r="E360" s="4" t="s">
        <v>100</v>
      </c>
      <c r="F360" s="4" t="s">
        <v>219</v>
      </c>
      <c r="G360" s="8"/>
      <c r="H360" s="8"/>
      <c r="I360" s="8"/>
      <c r="J360" s="8"/>
      <c r="K360" s="28">
        <v>27000</v>
      </c>
      <c r="M360" s="4">
        <v>15</v>
      </c>
      <c r="N360" s="8">
        <f t="shared" si="37"/>
        <v>27000</v>
      </c>
      <c r="O360" s="47" cm="1">
        <f t="array" ref="O360">_xlfn.IFNA(YEAR(INDEX($G$5:$K$5,,MATCH(1,G360:K360,-1))),"")</f>
        <v>2031</v>
      </c>
      <c r="R360" s="8">
        <f t="shared" si="41"/>
        <v>0</v>
      </c>
      <c r="S360" s="8">
        <f t="shared" si="41"/>
        <v>0</v>
      </c>
      <c r="T360" s="8">
        <f t="shared" si="41"/>
        <v>0</v>
      </c>
      <c r="U360" s="8">
        <f t="shared" si="41"/>
        <v>0</v>
      </c>
      <c r="V360" s="8">
        <f t="shared" si="41"/>
        <v>27000</v>
      </c>
    </row>
    <row r="361" spans="1:22" x14ac:dyDescent="0.35">
      <c r="A361" s="25" t="s">
        <v>111</v>
      </c>
      <c r="B361" s="26">
        <v>2011</v>
      </c>
      <c r="C361" s="25" t="s">
        <v>289</v>
      </c>
      <c r="D361" s="27" t="s">
        <v>99</v>
      </c>
      <c r="E361" s="4" t="s">
        <v>100</v>
      </c>
      <c r="F361" s="4" t="s">
        <v>219</v>
      </c>
      <c r="G361" s="8"/>
      <c r="H361" s="8"/>
      <c r="I361" s="8"/>
      <c r="J361" s="8">
        <v>55000</v>
      </c>
      <c r="K361" s="8"/>
      <c r="M361" s="4">
        <v>15</v>
      </c>
      <c r="N361" s="8">
        <f t="shared" si="37"/>
        <v>55000</v>
      </c>
      <c r="O361" s="47" cm="1">
        <f t="array" ref="O361">_xlfn.IFNA(YEAR(INDEX($G$5:$K$5,,MATCH(1,G361:K361,-1))),"")</f>
        <v>2030</v>
      </c>
      <c r="R361" s="8">
        <f t="shared" si="41"/>
        <v>0</v>
      </c>
      <c r="S361" s="8">
        <f t="shared" si="41"/>
        <v>0</v>
      </c>
      <c r="T361" s="8">
        <f t="shared" si="41"/>
        <v>0</v>
      </c>
      <c r="U361" s="8">
        <f t="shared" si="41"/>
        <v>55000</v>
      </c>
      <c r="V361" s="8">
        <f t="shared" si="41"/>
        <v>0</v>
      </c>
    </row>
    <row r="362" spans="1:22" x14ac:dyDescent="0.35">
      <c r="A362" s="25" t="s">
        <v>290</v>
      </c>
      <c r="B362" s="26">
        <v>2011</v>
      </c>
      <c r="C362" s="25" t="s">
        <v>291</v>
      </c>
      <c r="D362" s="27" t="s">
        <v>99</v>
      </c>
      <c r="E362" s="4" t="s">
        <v>100</v>
      </c>
      <c r="F362" s="4" t="s">
        <v>219</v>
      </c>
      <c r="G362" s="8">
        <v>85000</v>
      </c>
      <c r="H362" s="8"/>
      <c r="I362" s="8"/>
      <c r="J362" s="8"/>
      <c r="K362" s="8"/>
      <c r="M362" s="4">
        <v>15</v>
      </c>
      <c r="N362" s="8">
        <f t="shared" si="37"/>
        <v>85000</v>
      </c>
      <c r="O362" s="47" cm="1">
        <f t="array" ref="O362">_xlfn.IFNA(YEAR(INDEX($G$5:$K$5,,MATCH(1,G362:K362,-1))),"")</f>
        <v>2027</v>
      </c>
      <c r="R362" s="8">
        <f t="shared" si="41"/>
        <v>85000</v>
      </c>
      <c r="S362" s="8">
        <f t="shared" si="41"/>
        <v>0</v>
      </c>
      <c r="T362" s="8">
        <f t="shared" si="41"/>
        <v>0</v>
      </c>
      <c r="U362" s="8">
        <f t="shared" si="41"/>
        <v>0</v>
      </c>
      <c r="V362" s="8">
        <f t="shared" si="41"/>
        <v>0</v>
      </c>
    </row>
    <row r="363" spans="1:22" x14ac:dyDescent="0.35">
      <c r="A363" s="25" t="s">
        <v>292</v>
      </c>
      <c r="B363" s="26">
        <v>2009</v>
      </c>
      <c r="C363" s="25" t="s">
        <v>293</v>
      </c>
      <c r="D363" s="27" t="s">
        <v>99</v>
      </c>
      <c r="E363" s="4" t="s">
        <v>95</v>
      </c>
      <c r="F363" s="4" t="s">
        <v>219</v>
      </c>
      <c r="G363" s="8"/>
      <c r="H363" s="8"/>
      <c r="I363" s="8"/>
      <c r="J363" s="8">
        <v>55000</v>
      </c>
      <c r="K363" s="8"/>
      <c r="M363" s="4">
        <v>15</v>
      </c>
      <c r="N363" s="8">
        <f t="shared" si="37"/>
        <v>55000</v>
      </c>
      <c r="O363" s="47" cm="1">
        <f t="array" ref="O363">_xlfn.IFNA(YEAR(INDEX($G$5:$K$5,,MATCH(1,G363:K363,-1))),"")</f>
        <v>2030</v>
      </c>
      <c r="R363" s="8">
        <f t="shared" si="41"/>
        <v>0</v>
      </c>
      <c r="S363" s="8">
        <f t="shared" si="41"/>
        <v>0</v>
      </c>
      <c r="T363" s="8">
        <f t="shared" si="41"/>
        <v>0</v>
      </c>
      <c r="U363" s="8">
        <f t="shared" si="41"/>
        <v>55000</v>
      </c>
      <c r="V363" s="8">
        <f t="shared" si="41"/>
        <v>0</v>
      </c>
    </row>
    <row r="364" spans="1:22" x14ac:dyDescent="0.35">
      <c r="A364" s="25" t="s">
        <v>294</v>
      </c>
      <c r="B364" s="26">
        <v>1988</v>
      </c>
      <c r="C364" s="25" t="s">
        <v>295</v>
      </c>
      <c r="D364" s="27" t="s">
        <v>99</v>
      </c>
      <c r="E364" s="4" t="s">
        <v>100</v>
      </c>
      <c r="F364" s="4" t="s">
        <v>219</v>
      </c>
      <c r="G364" s="8"/>
      <c r="H364" s="8"/>
      <c r="I364" s="8"/>
      <c r="J364" s="8"/>
      <c r="K364" s="28">
        <v>27000</v>
      </c>
      <c r="M364" s="4">
        <v>15</v>
      </c>
      <c r="N364" s="8">
        <f t="shared" si="37"/>
        <v>27000</v>
      </c>
      <c r="O364" s="47" cm="1">
        <f t="array" ref="O364">_xlfn.IFNA(YEAR(INDEX($G$5:$K$5,,MATCH(1,G364:K364,-1))),"")</f>
        <v>2031</v>
      </c>
      <c r="R364" s="8">
        <f t="shared" si="41"/>
        <v>0</v>
      </c>
      <c r="S364" s="8">
        <f t="shared" si="41"/>
        <v>0</v>
      </c>
      <c r="T364" s="8">
        <f t="shared" si="41"/>
        <v>0</v>
      </c>
      <c r="U364" s="8">
        <f t="shared" si="41"/>
        <v>0</v>
      </c>
      <c r="V364" s="8">
        <f t="shared" si="41"/>
        <v>27000</v>
      </c>
    </row>
    <row r="365" spans="1:22" x14ac:dyDescent="0.35">
      <c r="A365" s="25" t="s">
        <v>109</v>
      </c>
      <c r="B365" s="26">
        <v>2016</v>
      </c>
      <c r="C365" s="25" t="s">
        <v>296</v>
      </c>
      <c r="D365" s="27" t="s">
        <v>99</v>
      </c>
      <c r="E365" s="4" t="s">
        <v>100</v>
      </c>
      <c r="F365" s="4" t="s">
        <v>219</v>
      </c>
      <c r="G365" s="8"/>
      <c r="H365" s="8"/>
      <c r="I365" s="8"/>
      <c r="J365" s="8">
        <v>27000</v>
      </c>
      <c r="K365" s="8"/>
      <c r="M365" s="4">
        <v>15</v>
      </c>
      <c r="N365" s="8">
        <f t="shared" si="37"/>
        <v>27000</v>
      </c>
      <c r="O365" s="47" cm="1">
        <f t="array" ref="O365">_xlfn.IFNA(YEAR(INDEX($G$5:$K$5,,MATCH(1,G365:K365,-1))),"")</f>
        <v>2030</v>
      </c>
      <c r="R365" s="8">
        <f t="shared" si="41"/>
        <v>0</v>
      </c>
      <c r="S365" s="8">
        <f t="shared" si="41"/>
        <v>0</v>
      </c>
      <c r="T365" s="8">
        <f t="shared" si="41"/>
        <v>0</v>
      </c>
      <c r="U365" s="8">
        <f t="shared" si="41"/>
        <v>27000</v>
      </c>
      <c r="V365" s="8">
        <f t="shared" si="41"/>
        <v>0</v>
      </c>
    </row>
    <row r="366" spans="1:22" x14ac:dyDescent="0.35">
      <c r="A366" s="25" t="s">
        <v>271</v>
      </c>
      <c r="B366" s="26">
        <v>2011</v>
      </c>
      <c r="C366" s="25" t="s">
        <v>297</v>
      </c>
      <c r="D366" s="27" t="s">
        <v>99</v>
      </c>
      <c r="E366" s="4" t="s">
        <v>100</v>
      </c>
      <c r="F366" s="4" t="s">
        <v>219</v>
      </c>
      <c r="G366" s="8">
        <v>27000</v>
      </c>
      <c r="H366" s="8"/>
      <c r="I366" s="8"/>
      <c r="J366" s="8"/>
      <c r="K366" s="8"/>
      <c r="M366" s="4">
        <v>15</v>
      </c>
      <c r="N366" s="8">
        <f t="shared" si="37"/>
        <v>27000</v>
      </c>
      <c r="O366" s="47" cm="1">
        <f t="array" ref="O366">_xlfn.IFNA(YEAR(INDEX($G$5:$K$5,,MATCH(1,G366:K366,-1))),"")</f>
        <v>2027</v>
      </c>
      <c r="R366" s="8">
        <f t="shared" ref="R366:V375" si="42">IF($O366="",0,IF(MOD(YEAR(R$5)-$O366,$M366)=0,$N366,0))</f>
        <v>27000</v>
      </c>
      <c r="S366" s="8">
        <f t="shared" si="42"/>
        <v>0</v>
      </c>
      <c r="T366" s="8">
        <f t="shared" si="42"/>
        <v>0</v>
      </c>
      <c r="U366" s="8">
        <f t="shared" si="42"/>
        <v>0</v>
      </c>
      <c r="V366" s="8">
        <f t="shared" si="42"/>
        <v>0</v>
      </c>
    </row>
    <row r="367" spans="1:22" x14ac:dyDescent="0.35">
      <c r="A367" s="25" t="s">
        <v>117</v>
      </c>
      <c r="B367" s="26">
        <v>2016</v>
      </c>
      <c r="C367" s="25" t="s">
        <v>298</v>
      </c>
      <c r="D367" s="27" t="s">
        <v>99</v>
      </c>
      <c r="E367" s="4" t="s">
        <v>95</v>
      </c>
      <c r="F367" s="4" t="s">
        <v>219</v>
      </c>
      <c r="G367" s="8">
        <v>65000</v>
      </c>
      <c r="H367" s="8"/>
      <c r="I367" s="8"/>
      <c r="J367" s="8"/>
      <c r="K367" s="8"/>
      <c r="M367" s="4">
        <v>10</v>
      </c>
      <c r="N367" s="8">
        <f t="shared" si="37"/>
        <v>65000</v>
      </c>
      <c r="O367" s="47" cm="1">
        <f t="array" ref="O367">_xlfn.IFNA(YEAR(INDEX($G$5:$K$5,,MATCH(1,G367:K367,-1))),"")</f>
        <v>2027</v>
      </c>
      <c r="R367" s="8">
        <f t="shared" si="42"/>
        <v>65000</v>
      </c>
      <c r="S367" s="8">
        <f t="shared" si="42"/>
        <v>0</v>
      </c>
      <c r="T367" s="8">
        <f t="shared" si="42"/>
        <v>0</v>
      </c>
      <c r="U367" s="8">
        <f t="shared" si="42"/>
        <v>0</v>
      </c>
      <c r="V367" s="8">
        <f t="shared" si="42"/>
        <v>0</v>
      </c>
    </row>
    <row r="368" spans="1:22" x14ac:dyDescent="0.35">
      <c r="A368" s="25" t="s">
        <v>223</v>
      </c>
      <c r="B368" s="26">
        <v>2011</v>
      </c>
      <c r="C368" s="25" t="s">
        <v>299</v>
      </c>
      <c r="D368" s="27" t="s">
        <v>99</v>
      </c>
      <c r="E368" s="4" t="s">
        <v>95</v>
      </c>
      <c r="F368" s="4" t="s">
        <v>219</v>
      </c>
      <c r="G368" s="8">
        <v>55000</v>
      </c>
      <c r="H368" s="8"/>
      <c r="I368" s="8"/>
      <c r="J368" s="8"/>
      <c r="K368" s="8"/>
      <c r="M368" s="4">
        <v>6</v>
      </c>
      <c r="N368" s="8">
        <f t="shared" si="37"/>
        <v>55000</v>
      </c>
      <c r="O368" s="47" cm="1">
        <f t="array" ref="O368">_xlfn.IFNA(YEAR(INDEX($G$5:$K$5,,MATCH(1,G368:K368,-1))),"")</f>
        <v>2027</v>
      </c>
      <c r="R368" s="8">
        <f t="shared" si="42"/>
        <v>55000</v>
      </c>
      <c r="S368" s="8">
        <f t="shared" si="42"/>
        <v>0</v>
      </c>
      <c r="T368" s="8">
        <f t="shared" si="42"/>
        <v>0</v>
      </c>
      <c r="U368" s="8">
        <f t="shared" si="42"/>
        <v>0</v>
      </c>
      <c r="V368" s="8">
        <f t="shared" si="42"/>
        <v>0</v>
      </c>
    </row>
    <row r="369" spans="1:22" x14ac:dyDescent="0.35">
      <c r="A369" s="25" t="s">
        <v>230</v>
      </c>
      <c r="B369" s="26">
        <v>2014</v>
      </c>
      <c r="C369" s="25" t="s">
        <v>232</v>
      </c>
      <c r="D369" s="27" t="s">
        <v>99</v>
      </c>
      <c r="E369" s="4" t="s">
        <v>95</v>
      </c>
      <c r="F369" s="4" t="s">
        <v>219</v>
      </c>
      <c r="G369" s="8"/>
      <c r="H369" s="8"/>
      <c r="I369" s="8"/>
      <c r="J369" s="8"/>
      <c r="K369" s="8">
        <v>92000</v>
      </c>
      <c r="M369" s="4">
        <v>6</v>
      </c>
      <c r="N369" s="8">
        <f t="shared" si="37"/>
        <v>92000</v>
      </c>
      <c r="O369" s="47" cm="1">
        <f t="array" ref="O369">_xlfn.IFNA(YEAR(INDEX($G$5:$K$5,,MATCH(1,G369:K369,-1))),"")</f>
        <v>2031</v>
      </c>
      <c r="R369" s="8">
        <f t="shared" si="42"/>
        <v>0</v>
      </c>
      <c r="S369" s="8">
        <f t="shared" si="42"/>
        <v>0</v>
      </c>
      <c r="T369" s="8">
        <f t="shared" si="42"/>
        <v>0</v>
      </c>
      <c r="U369" s="8">
        <f t="shared" si="42"/>
        <v>0</v>
      </c>
      <c r="V369" s="8">
        <f t="shared" si="42"/>
        <v>92000</v>
      </c>
    </row>
    <row r="370" spans="1:22" x14ac:dyDescent="0.35">
      <c r="A370" s="25" t="s">
        <v>230</v>
      </c>
      <c r="B370" s="26">
        <v>2014</v>
      </c>
      <c r="C370" s="25" t="s">
        <v>232</v>
      </c>
      <c r="D370" s="27" t="s">
        <v>99</v>
      </c>
      <c r="E370" s="4" t="s">
        <v>95</v>
      </c>
      <c r="F370" s="4" t="s">
        <v>219</v>
      </c>
      <c r="G370" s="8"/>
      <c r="H370" s="8"/>
      <c r="I370" s="8"/>
      <c r="J370" s="8"/>
      <c r="K370" s="8">
        <v>92000</v>
      </c>
      <c r="M370" s="4">
        <v>6</v>
      </c>
      <c r="N370" s="8">
        <f t="shared" si="37"/>
        <v>92000</v>
      </c>
      <c r="O370" s="47" cm="1">
        <f t="array" ref="O370">_xlfn.IFNA(YEAR(INDEX($G$5:$K$5,,MATCH(1,G370:K370,-1))),"")</f>
        <v>2031</v>
      </c>
      <c r="R370" s="8">
        <f t="shared" si="42"/>
        <v>0</v>
      </c>
      <c r="S370" s="8">
        <f t="shared" si="42"/>
        <v>0</v>
      </c>
      <c r="T370" s="8">
        <f t="shared" si="42"/>
        <v>0</v>
      </c>
      <c r="U370" s="8">
        <f t="shared" si="42"/>
        <v>0</v>
      </c>
      <c r="V370" s="8">
        <f t="shared" si="42"/>
        <v>92000</v>
      </c>
    </row>
    <row r="371" spans="1:22" x14ac:dyDescent="0.35">
      <c r="A371" s="25" t="s">
        <v>217</v>
      </c>
      <c r="B371" s="26">
        <v>2014</v>
      </c>
      <c r="C371" s="25" t="s">
        <v>218</v>
      </c>
      <c r="D371" s="27" t="s">
        <v>99</v>
      </c>
      <c r="E371" s="4" t="s">
        <v>95</v>
      </c>
      <c r="F371" s="4" t="s">
        <v>219</v>
      </c>
      <c r="G371" s="8"/>
      <c r="H371" s="8"/>
      <c r="I371" s="8"/>
      <c r="J371" s="8"/>
      <c r="K371" s="8">
        <v>55000</v>
      </c>
      <c r="M371" s="4">
        <v>6</v>
      </c>
      <c r="N371" s="8">
        <f t="shared" si="37"/>
        <v>55000</v>
      </c>
      <c r="O371" s="47" cm="1">
        <f t="array" ref="O371">_xlfn.IFNA(YEAR(INDEX($G$5:$K$5,,MATCH(1,G371:K371,-1))),"")</f>
        <v>2031</v>
      </c>
      <c r="R371" s="8">
        <f t="shared" si="42"/>
        <v>0</v>
      </c>
      <c r="S371" s="8">
        <f t="shared" si="42"/>
        <v>0</v>
      </c>
      <c r="T371" s="8">
        <f t="shared" si="42"/>
        <v>0</v>
      </c>
      <c r="U371" s="8">
        <f t="shared" si="42"/>
        <v>0</v>
      </c>
      <c r="V371" s="8">
        <f t="shared" si="42"/>
        <v>55000</v>
      </c>
    </row>
    <row r="372" spans="1:22" x14ac:dyDescent="0.35">
      <c r="A372" s="25" t="s">
        <v>217</v>
      </c>
      <c r="B372" s="26">
        <v>2014</v>
      </c>
      <c r="C372" s="25" t="s">
        <v>218</v>
      </c>
      <c r="D372" s="27" t="s">
        <v>99</v>
      </c>
      <c r="E372" s="4" t="s">
        <v>95</v>
      </c>
      <c r="F372" s="4" t="s">
        <v>219</v>
      </c>
      <c r="G372" s="8"/>
      <c r="H372" s="8"/>
      <c r="I372" s="8"/>
      <c r="J372" s="8"/>
      <c r="K372" s="8">
        <v>55000</v>
      </c>
      <c r="M372" s="4">
        <v>6</v>
      </c>
      <c r="N372" s="8">
        <f t="shared" si="37"/>
        <v>55000</v>
      </c>
      <c r="O372" s="47" cm="1">
        <f t="array" ref="O372">_xlfn.IFNA(YEAR(INDEX($G$5:$K$5,,MATCH(1,G372:K372,-1))),"")</f>
        <v>2031</v>
      </c>
      <c r="R372" s="8">
        <f t="shared" si="42"/>
        <v>0</v>
      </c>
      <c r="S372" s="8">
        <f t="shared" si="42"/>
        <v>0</v>
      </c>
      <c r="T372" s="8">
        <f t="shared" si="42"/>
        <v>0</v>
      </c>
      <c r="U372" s="8">
        <f t="shared" si="42"/>
        <v>0</v>
      </c>
      <c r="V372" s="8">
        <f t="shared" si="42"/>
        <v>55000</v>
      </c>
    </row>
    <row r="373" spans="1:22" x14ac:dyDescent="0.35">
      <c r="A373" s="25" t="s">
        <v>257</v>
      </c>
      <c r="B373" s="26">
        <v>2014</v>
      </c>
      <c r="C373" s="25" t="s">
        <v>300</v>
      </c>
      <c r="D373" s="29" t="s">
        <v>22</v>
      </c>
      <c r="E373" s="4" t="s">
        <v>95</v>
      </c>
      <c r="F373" s="4" t="s">
        <v>219</v>
      </c>
      <c r="G373" s="8"/>
      <c r="H373" s="8"/>
      <c r="I373" s="8"/>
      <c r="J373" s="8"/>
      <c r="K373" s="28">
        <v>600000</v>
      </c>
      <c r="M373" s="4">
        <v>15</v>
      </c>
      <c r="N373" s="8">
        <f t="shared" si="37"/>
        <v>600000</v>
      </c>
      <c r="O373" s="47" cm="1">
        <f t="array" ref="O373">_xlfn.IFNA(YEAR(INDEX($G$5:$K$5,,MATCH(1,G373:K373,-1))),"")</f>
        <v>2031</v>
      </c>
      <c r="R373" s="8">
        <f t="shared" si="42"/>
        <v>0</v>
      </c>
      <c r="S373" s="8">
        <f t="shared" si="42"/>
        <v>0</v>
      </c>
      <c r="T373" s="8">
        <f t="shared" si="42"/>
        <v>0</v>
      </c>
      <c r="U373" s="8">
        <f t="shared" si="42"/>
        <v>0</v>
      </c>
      <c r="V373" s="8">
        <f t="shared" si="42"/>
        <v>600000</v>
      </c>
    </row>
    <row r="374" spans="1:22" x14ac:dyDescent="0.35">
      <c r="A374" s="25" t="s">
        <v>301</v>
      </c>
      <c r="B374" s="26">
        <v>2013</v>
      </c>
      <c r="C374" s="25" t="s">
        <v>302</v>
      </c>
      <c r="D374" s="27" t="s">
        <v>99</v>
      </c>
      <c r="E374" s="4" t="s">
        <v>95</v>
      </c>
      <c r="F374" s="4" t="s">
        <v>219</v>
      </c>
      <c r="G374" s="8"/>
      <c r="H374" s="8"/>
      <c r="I374" s="8"/>
      <c r="J374" s="8"/>
      <c r="K374" s="28">
        <v>75000</v>
      </c>
      <c r="M374" s="4">
        <v>10</v>
      </c>
      <c r="N374" s="8">
        <f t="shared" si="37"/>
        <v>75000</v>
      </c>
      <c r="O374" s="47" cm="1">
        <f t="array" ref="O374">_xlfn.IFNA(YEAR(INDEX($G$5:$K$5,,MATCH(1,G374:K374,-1))),"")</f>
        <v>2031</v>
      </c>
      <c r="R374" s="8">
        <f t="shared" si="42"/>
        <v>0</v>
      </c>
      <c r="S374" s="8">
        <f t="shared" si="42"/>
        <v>0</v>
      </c>
      <c r="T374" s="8">
        <f t="shared" si="42"/>
        <v>0</v>
      </c>
      <c r="U374" s="8">
        <f t="shared" si="42"/>
        <v>0</v>
      </c>
      <c r="V374" s="8">
        <f t="shared" si="42"/>
        <v>75000</v>
      </c>
    </row>
    <row r="375" spans="1:22" x14ac:dyDescent="0.35">
      <c r="A375" s="25" t="s">
        <v>217</v>
      </c>
      <c r="B375" s="26">
        <v>2014</v>
      </c>
      <c r="C375" s="25" t="s">
        <v>218</v>
      </c>
      <c r="D375" s="27" t="s">
        <v>99</v>
      </c>
      <c r="E375" s="4" t="s">
        <v>95</v>
      </c>
      <c r="F375" s="4" t="s">
        <v>219</v>
      </c>
      <c r="G375" s="8"/>
      <c r="H375" s="8"/>
      <c r="I375" s="8"/>
      <c r="J375" s="8"/>
      <c r="K375" s="8">
        <v>55000</v>
      </c>
      <c r="M375" s="4">
        <v>6</v>
      </c>
      <c r="N375" s="8">
        <f t="shared" si="37"/>
        <v>55000</v>
      </c>
      <c r="O375" s="47" cm="1">
        <f t="array" ref="O375">_xlfn.IFNA(YEAR(INDEX($G$5:$K$5,,MATCH(1,G375:K375,-1))),"")</f>
        <v>2031</v>
      </c>
      <c r="R375" s="8">
        <f t="shared" si="42"/>
        <v>0</v>
      </c>
      <c r="S375" s="8">
        <f t="shared" si="42"/>
        <v>0</v>
      </c>
      <c r="T375" s="8">
        <f t="shared" si="42"/>
        <v>0</v>
      </c>
      <c r="U375" s="8">
        <f t="shared" si="42"/>
        <v>0</v>
      </c>
      <c r="V375" s="8">
        <f t="shared" si="42"/>
        <v>55000</v>
      </c>
    </row>
    <row r="376" spans="1:22" x14ac:dyDescent="0.35">
      <c r="A376" s="25" t="s">
        <v>230</v>
      </c>
      <c r="B376" s="26">
        <v>2015</v>
      </c>
      <c r="C376" s="25" t="s">
        <v>232</v>
      </c>
      <c r="D376" s="27" t="s">
        <v>99</v>
      </c>
      <c r="E376" s="4" t="s">
        <v>95</v>
      </c>
      <c r="F376" s="4" t="s">
        <v>219</v>
      </c>
      <c r="G376" s="8"/>
      <c r="H376" s="8"/>
      <c r="I376" s="8"/>
      <c r="J376" s="8"/>
      <c r="K376" s="8">
        <v>92000</v>
      </c>
      <c r="M376" s="4">
        <v>6</v>
      </c>
      <c r="N376" s="8">
        <f t="shared" si="37"/>
        <v>92000</v>
      </c>
      <c r="O376" s="47" cm="1">
        <f t="array" ref="O376">_xlfn.IFNA(YEAR(INDEX($G$5:$K$5,,MATCH(1,G376:K376,-1))),"")</f>
        <v>2031</v>
      </c>
      <c r="R376" s="8">
        <f t="shared" ref="R376:V385" si="43">IF($O376="",0,IF(MOD(YEAR(R$5)-$O376,$M376)=0,$N376,0))</f>
        <v>0</v>
      </c>
      <c r="S376" s="8">
        <f t="shared" si="43"/>
        <v>0</v>
      </c>
      <c r="T376" s="8">
        <f t="shared" si="43"/>
        <v>0</v>
      </c>
      <c r="U376" s="8">
        <f t="shared" si="43"/>
        <v>0</v>
      </c>
      <c r="V376" s="8">
        <f t="shared" si="43"/>
        <v>92000</v>
      </c>
    </row>
    <row r="377" spans="1:22" x14ac:dyDescent="0.35">
      <c r="A377" s="25" t="s">
        <v>230</v>
      </c>
      <c r="B377" s="26">
        <v>2015</v>
      </c>
      <c r="C377" s="25" t="s">
        <v>232</v>
      </c>
      <c r="D377" s="27" t="s">
        <v>99</v>
      </c>
      <c r="E377" s="4" t="s">
        <v>95</v>
      </c>
      <c r="F377" s="4" t="s">
        <v>219</v>
      </c>
      <c r="G377" s="8"/>
      <c r="H377" s="8"/>
      <c r="I377" s="8"/>
      <c r="J377" s="8"/>
      <c r="K377" s="8">
        <v>92000</v>
      </c>
      <c r="M377" s="4">
        <v>6</v>
      </c>
      <c r="N377" s="8">
        <f t="shared" si="37"/>
        <v>92000</v>
      </c>
      <c r="O377" s="47" cm="1">
        <f t="array" ref="O377">_xlfn.IFNA(YEAR(INDEX($G$5:$K$5,,MATCH(1,G377:K377,-1))),"")</f>
        <v>2031</v>
      </c>
      <c r="R377" s="8">
        <f t="shared" si="43"/>
        <v>0</v>
      </c>
      <c r="S377" s="8">
        <f t="shared" si="43"/>
        <v>0</v>
      </c>
      <c r="T377" s="8">
        <f t="shared" si="43"/>
        <v>0</v>
      </c>
      <c r="U377" s="8">
        <f t="shared" si="43"/>
        <v>0</v>
      </c>
      <c r="V377" s="8">
        <f t="shared" si="43"/>
        <v>92000</v>
      </c>
    </row>
    <row r="378" spans="1:22" x14ac:dyDescent="0.35">
      <c r="A378" s="25" t="s">
        <v>93</v>
      </c>
      <c r="B378" s="26">
        <v>2015</v>
      </c>
      <c r="C378" s="25" t="s">
        <v>303</v>
      </c>
      <c r="D378" s="27" t="s">
        <v>72</v>
      </c>
      <c r="E378" s="4" t="s">
        <v>95</v>
      </c>
      <c r="F378" s="4" t="s">
        <v>219</v>
      </c>
      <c r="G378" s="8"/>
      <c r="H378" s="8"/>
      <c r="I378" s="8"/>
      <c r="J378" s="8"/>
      <c r="K378" s="8">
        <v>200000</v>
      </c>
      <c r="M378" s="4">
        <v>10</v>
      </c>
      <c r="N378" s="8">
        <f t="shared" si="37"/>
        <v>200000</v>
      </c>
      <c r="O378" s="47" cm="1">
        <f t="array" ref="O378">_xlfn.IFNA(YEAR(INDEX($G$5:$K$5,,MATCH(1,G378:K378,-1))),"")</f>
        <v>2031</v>
      </c>
      <c r="R378" s="8">
        <f t="shared" si="43"/>
        <v>0</v>
      </c>
      <c r="S378" s="8">
        <f t="shared" si="43"/>
        <v>0</v>
      </c>
      <c r="T378" s="8">
        <f t="shared" si="43"/>
        <v>0</v>
      </c>
      <c r="U378" s="8">
        <f t="shared" si="43"/>
        <v>0</v>
      </c>
      <c r="V378" s="8">
        <f t="shared" si="43"/>
        <v>200000</v>
      </c>
    </row>
    <row r="379" spans="1:22" x14ac:dyDescent="0.35">
      <c r="A379" s="25" t="s">
        <v>93</v>
      </c>
      <c r="B379" s="26">
        <v>2015</v>
      </c>
      <c r="C379" s="25" t="s">
        <v>304</v>
      </c>
      <c r="D379" s="27" t="s">
        <v>72</v>
      </c>
      <c r="E379" s="4" t="s">
        <v>95</v>
      </c>
      <c r="F379" s="4" t="s">
        <v>219</v>
      </c>
      <c r="G379" s="8"/>
      <c r="H379" s="8"/>
      <c r="I379" s="8"/>
      <c r="J379" s="8"/>
      <c r="K379" s="8">
        <v>200000</v>
      </c>
      <c r="M379" s="4">
        <v>10</v>
      </c>
      <c r="N379" s="8">
        <f t="shared" si="37"/>
        <v>200000</v>
      </c>
      <c r="O379" s="47" cm="1">
        <f t="array" ref="O379">_xlfn.IFNA(YEAR(INDEX($G$5:$K$5,,MATCH(1,G379:K379,-1))),"")</f>
        <v>2031</v>
      </c>
      <c r="R379" s="8">
        <f t="shared" si="43"/>
        <v>0</v>
      </c>
      <c r="S379" s="8">
        <f t="shared" si="43"/>
        <v>0</v>
      </c>
      <c r="T379" s="8">
        <f t="shared" si="43"/>
        <v>0</v>
      </c>
      <c r="U379" s="8">
        <f t="shared" si="43"/>
        <v>0</v>
      </c>
      <c r="V379" s="8">
        <f t="shared" si="43"/>
        <v>200000</v>
      </c>
    </row>
    <row r="380" spans="1:22" x14ac:dyDescent="0.35">
      <c r="A380" s="25" t="s">
        <v>117</v>
      </c>
      <c r="B380" s="26">
        <v>2013</v>
      </c>
      <c r="C380" s="25" t="s">
        <v>225</v>
      </c>
      <c r="D380" s="27" t="s">
        <v>99</v>
      </c>
      <c r="E380" s="4" t="s">
        <v>95</v>
      </c>
      <c r="F380" s="4" t="s">
        <v>219</v>
      </c>
      <c r="G380" s="8"/>
      <c r="H380" s="8"/>
      <c r="I380" s="8"/>
      <c r="J380" s="8"/>
      <c r="K380" s="8">
        <v>55000</v>
      </c>
      <c r="M380" s="4">
        <v>6</v>
      </c>
      <c r="N380" s="8">
        <f t="shared" si="37"/>
        <v>55000</v>
      </c>
      <c r="O380" s="47" cm="1">
        <f t="array" ref="O380">_xlfn.IFNA(YEAR(INDEX($G$5:$K$5,,MATCH(1,G380:K380,-1))),"")</f>
        <v>2031</v>
      </c>
      <c r="R380" s="8">
        <f t="shared" si="43"/>
        <v>0</v>
      </c>
      <c r="S380" s="8">
        <f t="shared" si="43"/>
        <v>0</v>
      </c>
      <c r="T380" s="8">
        <f t="shared" si="43"/>
        <v>0</v>
      </c>
      <c r="U380" s="8">
        <f t="shared" si="43"/>
        <v>0</v>
      </c>
      <c r="V380" s="8">
        <f t="shared" si="43"/>
        <v>55000</v>
      </c>
    </row>
    <row r="381" spans="1:22" x14ac:dyDescent="0.35">
      <c r="A381" s="25" t="s">
        <v>93</v>
      </c>
      <c r="B381" s="26">
        <v>2013</v>
      </c>
      <c r="C381" s="25" t="s">
        <v>305</v>
      </c>
      <c r="D381" s="27" t="s">
        <v>72</v>
      </c>
      <c r="E381" s="4" t="s">
        <v>95</v>
      </c>
      <c r="F381" s="4" t="s">
        <v>219</v>
      </c>
      <c r="G381" s="8"/>
      <c r="H381" s="8"/>
      <c r="I381" s="8">
        <v>200000</v>
      </c>
      <c r="J381" s="8"/>
      <c r="K381" s="8"/>
      <c r="M381" s="4">
        <v>10</v>
      </c>
      <c r="N381" s="8">
        <f t="shared" si="37"/>
        <v>200000</v>
      </c>
      <c r="O381" s="47" cm="1">
        <f t="array" ref="O381">_xlfn.IFNA(YEAR(INDEX($G$5:$K$5,,MATCH(1,G381:K381,-1))),"")</f>
        <v>2029</v>
      </c>
      <c r="R381" s="8">
        <f t="shared" si="43"/>
        <v>0</v>
      </c>
      <c r="S381" s="8">
        <f t="shared" si="43"/>
        <v>0</v>
      </c>
      <c r="T381" s="8">
        <f t="shared" si="43"/>
        <v>200000</v>
      </c>
      <c r="U381" s="8">
        <f t="shared" si="43"/>
        <v>0</v>
      </c>
      <c r="V381" s="8">
        <f t="shared" si="43"/>
        <v>0</v>
      </c>
    </row>
    <row r="382" spans="1:22" x14ac:dyDescent="0.35">
      <c r="A382" s="25" t="s">
        <v>271</v>
      </c>
      <c r="B382" s="26">
        <v>1991</v>
      </c>
      <c r="C382" s="25" t="s">
        <v>297</v>
      </c>
      <c r="D382" s="27" t="s">
        <v>99</v>
      </c>
      <c r="E382" s="4" t="s">
        <v>100</v>
      </c>
      <c r="F382" s="4" t="s">
        <v>219</v>
      </c>
      <c r="G382" s="8"/>
      <c r="H382" s="8"/>
      <c r="I382" s="8"/>
      <c r="J382" s="8"/>
      <c r="K382" s="28">
        <v>27000</v>
      </c>
      <c r="M382" s="4">
        <v>15</v>
      </c>
      <c r="N382" s="8">
        <f t="shared" si="37"/>
        <v>27000</v>
      </c>
      <c r="O382" s="47" cm="1">
        <f t="array" ref="O382">_xlfn.IFNA(YEAR(INDEX($G$5:$K$5,,MATCH(1,G382:K382,-1))),"")</f>
        <v>2031</v>
      </c>
      <c r="R382" s="8">
        <f t="shared" si="43"/>
        <v>0</v>
      </c>
      <c r="S382" s="8">
        <f t="shared" si="43"/>
        <v>0</v>
      </c>
      <c r="T382" s="8">
        <f t="shared" si="43"/>
        <v>0</v>
      </c>
      <c r="U382" s="8">
        <f t="shared" si="43"/>
        <v>0</v>
      </c>
      <c r="V382" s="8">
        <f t="shared" si="43"/>
        <v>27000</v>
      </c>
    </row>
    <row r="383" spans="1:22" x14ac:dyDescent="0.35">
      <c r="A383" s="25" t="s">
        <v>223</v>
      </c>
      <c r="B383" s="26">
        <v>2011</v>
      </c>
      <c r="C383" s="25" t="s">
        <v>306</v>
      </c>
      <c r="D383" s="27" t="s">
        <v>99</v>
      </c>
      <c r="E383" s="4" t="s">
        <v>95</v>
      </c>
      <c r="F383" s="4" t="s">
        <v>219</v>
      </c>
      <c r="G383" s="8"/>
      <c r="H383" s="8"/>
      <c r="I383" s="8"/>
      <c r="J383" s="8"/>
      <c r="K383" s="8">
        <v>55000</v>
      </c>
      <c r="M383" s="4">
        <v>6</v>
      </c>
      <c r="N383" s="8">
        <f t="shared" si="37"/>
        <v>55000</v>
      </c>
      <c r="O383" s="47" cm="1">
        <f t="array" ref="O383">_xlfn.IFNA(YEAR(INDEX($G$5:$K$5,,MATCH(1,G383:K383,-1))),"")</f>
        <v>2031</v>
      </c>
      <c r="R383" s="8">
        <f t="shared" si="43"/>
        <v>0</v>
      </c>
      <c r="S383" s="8">
        <f t="shared" si="43"/>
        <v>0</v>
      </c>
      <c r="T383" s="8">
        <f t="shared" si="43"/>
        <v>0</v>
      </c>
      <c r="U383" s="8">
        <f t="shared" si="43"/>
        <v>0</v>
      </c>
      <c r="V383" s="8">
        <f t="shared" si="43"/>
        <v>55000</v>
      </c>
    </row>
    <row r="384" spans="1:22" x14ac:dyDescent="0.35">
      <c r="A384" s="25" t="s">
        <v>111</v>
      </c>
      <c r="B384" s="26">
        <v>2010</v>
      </c>
      <c r="C384" s="25" t="s">
        <v>307</v>
      </c>
      <c r="D384" s="27" t="s">
        <v>99</v>
      </c>
      <c r="E384" s="4" t="s">
        <v>100</v>
      </c>
      <c r="F384" s="4" t="s">
        <v>219</v>
      </c>
      <c r="G384" s="8"/>
      <c r="H384" s="8"/>
      <c r="I384" s="8"/>
      <c r="J384" s="8"/>
      <c r="K384" s="28">
        <v>30000</v>
      </c>
      <c r="M384" s="4">
        <v>15</v>
      </c>
      <c r="N384" s="8">
        <f t="shared" si="37"/>
        <v>30000</v>
      </c>
      <c r="O384" s="47" cm="1">
        <f t="array" ref="O384">_xlfn.IFNA(YEAR(INDEX($G$5:$K$5,,MATCH(1,G384:K384,-1))),"")</f>
        <v>2031</v>
      </c>
      <c r="R384" s="8">
        <f t="shared" si="43"/>
        <v>0</v>
      </c>
      <c r="S384" s="8">
        <f t="shared" si="43"/>
        <v>0</v>
      </c>
      <c r="T384" s="8">
        <f t="shared" si="43"/>
        <v>0</v>
      </c>
      <c r="U384" s="8">
        <f t="shared" si="43"/>
        <v>0</v>
      </c>
      <c r="V384" s="8">
        <f t="shared" si="43"/>
        <v>30000</v>
      </c>
    </row>
    <row r="385" spans="1:22" x14ac:dyDescent="0.35">
      <c r="A385" s="25" t="s">
        <v>113</v>
      </c>
      <c r="B385" s="26">
        <v>2015</v>
      </c>
      <c r="C385" s="25" t="s">
        <v>308</v>
      </c>
      <c r="D385" s="27" t="s">
        <v>22</v>
      </c>
      <c r="E385" s="4" t="s">
        <v>95</v>
      </c>
      <c r="F385" s="4" t="s">
        <v>219</v>
      </c>
      <c r="G385" s="8"/>
      <c r="H385" s="8"/>
      <c r="I385" s="8"/>
      <c r="J385" s="8"/>
      <c r="K385" s="28">
        <v>750000</v>
      </c>
      <c r="M385" s="4">
        <v>15</v>
      </c>
      <c r="N385" s="8">
        <f t="shared" si="37"/>
        <v>750000</v>
      </c>
      <c r="O385" s="47" cm="1">
        <f t="array" ref="O385">_xlfn.IFNA(YEAR(INDEX($G$5:$K$5,,MATCH(1,G385:K385,-1))),"")</f>
        <v>2031</v>
      </c>
      <c r="R385" s="8">
        <f t="shared" si="43"/>
        <v>0</v>
      </c>
      <c r="S385" s="8">
        <f t="shared" si="43"/>
        <v>0</v>
      </c>
      <c r="T385" s="8">
        <f t="shared" si="43"/>
        <v>0</v>
      </c>
      <c r="U385" s="8">
        <f t="shared" si="43"/>
        <v>0</v>
      </c>
      <c r="V385" s="8">
        <f t="shared" si="43"/>
        <v>750000</v>
      </c>
    </row>
    <row r="386" spans="1:22" x14ac:dyDescent="0.35">
      <c r="A386" s="25" t="s">
        <v>93</v>
      </c>
      <c r="B386" s="26">
        <v>2007</v>
      </c>
      <c r="C386" s="25" t="s">
        <v>309</v>
      </c>
      <c r="D386" s="27" t="s">
        <v>22</v>
      </c>
      <c r="E386" s="4" t="s">
        <v>95</v>
      </c>
      <c r="F386" s="4" t="s">
        <v>219</v>
      </c>
      <c r="G386" s="8"/>
      <c r="H386" s="8">
        <v>680000</v>
      </c>
      <c r="I386" s="8"/>
      <c r="J386" s="8"/>
      <c r="K386" s="8"/>
      <c r="M386" s="4">
        <v>15</v>
      </c>
      <c r="N386" s="8">
        <f t="shared" si="37"/>
        <v>680000</v>
      </c>
      <c r="O386" s="47" cm="1">
        <f t="array" ref="O386">_xlfn.IFNA(YEAR(INDEX($G$5:$K$5,,MATCH(1,G386:K386,-1))),"")</f>
        <v>2028</v>
      </c>
      <c r="R386" s="8">
        <f t="shared" ref="R386:V395" si="44">IF($O386="",0,IF(MOD(YEAR(R$5)-$O386,$M386)=0,$N386,0))</f>
        <v>0</v>
      </c>
      <c r="S386" s="8">
        <f t="shared" si="44"/>
        <v>680000</v>
      </c>
      <c r="T386" s="8">
        <f t="shared" si="44"/>
        <v>0</v>
      </c>
      <c r="U386" s="8">
        <f t="shared" si="44"/>
        <v>0</v>
      </c>
      <c r="V386" s="8">
        <f t="shared" si="44"/>
        <v>0</v>
      </c>
    </row>
    <row r="387" spans="1:22" x14ac:dyDescent="0.35">
      <c r="A387" s="25" t="s">
        <v>93</v>
      </c>
      <c r="B387" s="26">
        <v>2012</v>
      </c>
      <c r="C387" s="25" t="s">
        <v>268</v>
      </c>
      <c r="D387" s="27" t="s">
        <v>22</v>
      </c>
      <c r="E387" s="4" t="s">
        <v>95</v>
      </c>
      <c r="F387" s="4" t="s">
        <v>219</v>
      </c>
      <c r="G387" s="8"/>
      <c r="H387" s="8"/>
      <c r="I387" s="8"/>
      <c r="J387" s="8"/>
      <c r="K387" s="28">
        <v>800000</v>
      </c>
      <c r="M387" s="4">
        <v>15</v>
      </c>
      <c r="N387" s="8">
        <f t="shared" si="37"/>
        <v>800000</v>
      </c>
      <c r="O387" s="47" cm="1">
        <f t="array" ref="O387">_xlfn.IFNA(YEAR(INDEX($G$5:$K$5,,MATCH(1,G387:K387,-1))),"")</f>
        <v>2031</v>
      </c>
      <c r="R387" s="8">
        <f t="shared" si="44"/>
        <v>0</v>
      </c>
      <c r="S387" s="8">
        <f t="shared" si="44"/>
        <v>0</v>
      </c>
      <c r="T387" s="8">
        <f t="shared" si="44"/>
        <v>0</v>
      </c>
      <c r="U387" s="8">
        <f t="shared" si="44"/>
        <v>0</v>
      </c>
      <c r="V387" s="8">
        <f t="shared" si="44"/>
        <v>800000</v>
      </c>
    </row>
    <row r="388" spans="1:22" x14ac:dyDescent="0.35">
      <c r="A388" s="25" t="s">
        <v>117</v>
      </c>
      <c r="B388" s="26">
        <v>2012</v>
      </c>
      <c r="C388" s="25" t="s">
        <v>310</v>
      </c>
      <c r="D388" s="27" t="s">
        <v>99</v>
      </c>
      <c r="E388" s="4" t="s">
        <v>95</v>
      </c>
      <c r="F388" s="4" t="s">
        <v>219</v>
      </c>
      <c r="G388" s="8"/>
      <c r="H388" s="8"/>
      <c r="I388" s="8"/>
      <c r="J388" s="8"/>
      <c r="K388" s="8">
        <v>45000</v>
      </c>
      <c r="M388" s="4">
        <v>4</v>
      </c>
      <c r="N388" s="8">
        <f t="shared" si="37"/>
        <v>45000</v>
      </c>
      <c r="O388" s="47" cm="1">
        <f t="array" ref="O388">_xlfn.IFNA(YEAR(INDEX($G$5:$K$5,,MATCH(1,G388:K388,-1))),"")</f>
        <v>2031</v>
      </c>
      <c r="R388" s="8">
        <f t="shared" si="44"/>
        <v>45000</v>
      </c>
      <c r="S388" s="8">
        <f t="shared" si="44"/>
        <v>0</v>
      </c>
      <c r="T388" s="8">
        <f t="shared" si="44"/>
        <v>0</v>
      </c>
      <c r="U388" s="8">
        <f t="shared" si="44"/>
        <v>0</v>
      </c>
      <c r="V388" s="8">
        <f t="shared" si="44"/>
        <v>45000</v>
      </c>
    </row>
    <row r="389" spans="1:22" x14ac:dyDescent="0.35">
      <c r="A389" s="25" t="s">
        <v>254</v>
      </c>
      <c r="B389" s="26">
        <v>2009</v>
      </c>
      <c r="C389" s="25" t="s">
        <v>311</v>
      </c>
      <c r="D389" s="27" t="s">
        <v>99</v>
      </c>
      <c r="E389" s="4" t="s">
        <v>100</v>
      </c>
      <c r="F389" s="4" t="s">
        <v>219</v>
      </c>
      <c r="G389" s="8"/>
      <c r="H389" s="8"/>
      <c r="I389" s="8"/>
      <c r="J389" s="8"/>
      <c r="K389" s="28">
        <v>27000</v>
      </c>
      <c r="M389" s="4">
        <v>15</v>
      </c>
      <c r="N389" s="8">
        <f t="shared" si="37"/>
        <v>27000</v>
      </c>
      <c r="O389" s="47" cm="1">
        <f t="array" ref="O389">_xlfn.IFNA(YEAR(INDEX($G$5:$K$5,,MATCH(1,G389:K389,-1))),"")</f>
        <v>2031</v>
      </c>
      <c r="R389" s="8">
        <f t="shared" si="44"/>
        <v>0</v>
      </c>
      <c r="S389" s="8">
        <f t="shared" si="44"/>
        <v>0</v>
      </c>
      <c r="T389" s="8">
        <f t="shared" si="44"/>
        <v>0</v>
      </c>
      <c r="U389" s="8">
        <f t="shared" si="44"/>
        <v>0</v>
      </c>
      <c r="V389" s="8">
        <f t="shared" si="44"/>
        <v>27000</v>
      </c>
    </row>
    <row r="390" spans="1:22" x14ac:dyDescent="0.35">
      <c r="A390" s="25" t="s">
        <v>117</v>
      </c>
      <c r="B390" s="26">
        <v>2014</v>
      </c>
      <c r="C390" s="25" t="s">
        <v>312</v>
      </c>
      <c r="D390" s="27" t="s">
        <v>99</v>
      </c>
      <c r="E390" s="4" t="s">
        <v>95</v>
      </c>
      <c r="F390" s="4" t="s">
        <v>219</v>
      </c>
      <c r="G390" s="8"/>
      <c r="H390" s="8"/>
      <c r="I390" s="8"/>
      <c r="J390" s="8">
        <v>55000</v>
      </c>
      <c r="K390" s="8"/>
      <c r="M390" s="4">
        <v>4</v>
      </c>
      <c r="N390" s="8">
        <f t="shared" ref="N390:N453" si="45">MAX(G390:K390)</f>
        <v>55000</v>
      </c>
      <c r="O390" s="47" cm="1">
        <f t="array" ref="O390">_xlfn.IFNA(YEAR(INDEX($G$5:$K$5,,MATCH(1,G390:K390,-1))),"")</f>
        <v>2030</v>
      </c>
      <c r="R390" s="8">
        <f t="shared" si="44"/>
        <v>0</v>
      </c>
      <c r="S390" s="8">
        <f t="shared" si="44"/>
        <v>0</v>
      </c>
      <c r="T390" s="8">
        <f t="shared" si="44"/>
        <v>0</v>
      </c>
      <c r="U390" s="8">
        <f t="shared" si="44"/>
        <v>55000</v>
      </c>
      <c r="V390" s="8">
        <f t="shared" si="44"/>
        <v>0</v>
      </c>
    </row>
    <row r="391" spans="1:22" x14ac:dyDescent="0.35">
      <c r="A391" s="25" t="s">
        <v>230</v>
      </c>
      <c r="B391" s="26">
        <v>2014</v>
      </c>
      <c r="C391" s="25" t="s">
        <v>313</v>
      </c>
      <c r="D391" s="27" t="s">
        <v>99</v>
      </c>
      <c r="E391" s="4" t="s">
        <v>95</v>
      </c>
      <c r="F391" s="4" t="s">
        <v>219</v>
      </c>
      <c r="G391" s="8"/>
      <c r="H391" s="8"/>
      <c r="I391" s="8"/>
      <c r="J391" s="8">
        <v>92000</v>
      </c>
      <c r="K391" s="8"/>
      <c r="M391" s="4">
        <v>6</v>
      </c>
      <c r="N391" s="8">
        <f t="shared" si="45"/>
        <v>92000</v>
      </c>
      <c r="O391" s="47" cm="1">
        <f t="array" ref="O391">_xlfn.IFNA(YEAR(INDEX($G$5:$K$5,,MATCH(1,G391:K391,-1))),"")</f>
        <v>2030</v>
      </c>
      <c r="R391" s="8">
        <f t="shared" si="44"/>
        <v>0</v>
      </c>
      <c r="S391" s="8">
        <f t="shared" si="44"/>
        <v>0</v>
      </c>
      <c r="T391" s="8">
        <f t="shared" si="44"/>
        <v>0</v>
      </c>
      <c r="U391" s="8">
        <f t="shared" si="44"/>
        <v>92000</v>
      </c>
      <c r="V391" s="8">
        <f t="shared" si="44"/>
        <v>0</v>
      </c>
    </row>
    <row r="392" spans="1:22" x14ac:dyDescent="0.35">
      <c r="A392" s="25" t="s">
        <v>230</v>
      </c>
      <c r="B392" s="26">
        <v>2015</v>
      </c>
      <c r="C392" s="25" t="s">
        <v>232</v>
      </c>
      <c r="D392" s="27" t="s">
        <v>99</v>
      </c>
      <c r="E392" s="4" t="s">
        <v>95</v>
      </c>
      <c r="F392" s="4" t="s">
        <v>219</v>
      </c>
      <c r="G392" s="8"/>
      <c r="H392" s="8"/>
      <c r="I392" s="8"/>
      <c r="J392" s="8"/>
      <c r="K392" s="8">
        <v>92000</v>
      </c>
      <c r="M392" s="4">
        <v>6</v>
      </c>
      <c r="N392" s="8">
        <f t="shared" si="45"/>
        <v>92000</v>
      </c>
      <c r="O392" s="47" cm="1">
        <f t="array" ref="O392">_xlfn.IFNA(YEAR(INDEX($G$5:$K$5,,MATCH(1,G392:K392,-1))),"")</f>
        <v>2031</v>
      </c>
      <c r="R392" s="8">
        <f t="shared" si="44"/>
        <v>0</v>
      </c>
      <c r="S392" s="8">
        <f t="shared" si="44"/>
        <v>0</v>
      </c>
      <c r="T392" s="8">
        <f t="shared" si="44"/>
        <v>0</v>
      </c>
      <c r="U392" s="8">
        <f t="shared" si="44"/>
        <v>0</v>
      </c>
      <c r="V392" s="8">
        <f t="shared" si="44"/>
        <v>92000</v>
      </c>
    </row>
    <row r="393" spans="1:22" x14ac:dyDescent="0.35">
      <c r="A393" s="25" t="s">
        <v>230</v>
      </c>
      <c r="B393" s="26">
        <v>2014</v>
      </c>
      <c r="C393" s="25" t="s">
        <v>232</v>
      </c>
      <c r="D393" s="27" t="s">
        <v>99</v>
      </c>
      <c r="E393" s="4" t="s">
        <v>95</v>
      </c>
      <c r="F393" s="4" t="s">
        <v>219</v>
      </c>
      <c r="G393" s="8"/>
      <c r="H393" s="8"/>
      <c r="I393" s="8"/>
      <c r="J393" s="8">
        <v>92000</v>
      </c>
      <c r="K393" s="8"/>
      <c r="M393" s="4">
        <v>6</v>
      </c>
      <c r="N393" s="8">
        <f t="shared" si="45"/>
        <v>92000</v>
      </c>
      <c r="O393" s="47" cm="1">
        <f t="array" ref="O393">_xlfn.IFNA(YEAR(INDEX($G$5:$K$5,,MATCH(1,G393:K393,-1))),"")</f>
        <v>2030</v>
      </c>
      <c r="R393" s="8">
        <f t="shared" si="44"/>
        <v>0</v>
      </c>
      <c r="S393" s="8">
        <f t="shared" si="44"/>
        <v>0</v>
      </c>
      <c r="T393" s="8">
        <f t="shared" si="44"/>
        <v>0</v>
      </c>
      <c r="U393" s="8">
        <f t="shared" si="44"/>
        <v>92000</v>
      </c>
      <c r="V393" s="8">
        <f t="shared" si="44"/>
        <v>0</v>
      </c>
    </row>
    <row r="394" spans="1:22" x14ac:dyDescent="0.35">
      <c r="A394" s="25" t="s">
        <v>230</v>
      </c>
      <c r="B394" s="26">
        <v>2014</v>
      </c>
      <c r="C394" s="25" t="s">
        <v>232</v>
      </c>
      <c r="D394" s="27" t="s">
        <v>99</v>
      </c>
      <c r="E394" s="4" t="s">
        <v>95</v>
      </c>
      <c r="F394" s="4" t="s">
        <v>219</v>
      </c>
      <c r="G394" s="8"/>
      <c r="H394" s="8"/>
      <c r="I394" s="8"/>
      <c r="J394" s="8">
        <v>92000</v>
      </c>
      <c r="K394" s="8"/>
      <c r="M394" s="4">
        <v>6</v>
      </c>
      <c r="N394" s="8">
        <f t="shared" si="45"/>
        <v>92000</v>
      </c>
      <c r="O394" s="47" cm="1">
        <f t="array" ref="O394">_xlfn.IFNA(YEAR(INDEX($G$5:$K$5,,MATCH(1,G394:K394,-1))),"")</f>
        <v>2030</v>
      </c>
      <c r="R394" s="8">
        <f t="shared" si="44"/>
        <v>0</v>
      </c>
      <c r="S394" s="8">
        <f t="shared" si="44"/>
        <v>0</v>
      </c>
      <c r="T394" s="8">
        <f t="shared" si="44"/>
        <v>0</v>
      </c>
      <c r="U394" s="8">
        <f t="shared" si="44"/>
        <v>92000</v>
      </c>
      <c r="V394" s="8">
        <f t="shared" si="44"/>
        <v>0</v>
      </c>
    </row>
    <row r="395" spans="1:22" x14ac:dyDescent="0.35">
      <c r="A395" s="25" t="s">
        <v>285</v>
      </c>
      <c r="B395" s="26">
        <v>2015</v>
      </c>
      <c r="C395" s="25" t="s">
        <v>314</v>
      </c>
      <c r="D395" s="27" t="s">
        <v>99</v>
      </c>
      <c r="E395" s="4" t="s">
        <v>95</v>
      </c>
      <c r="F395" s="4" t="s">
        <v>219</v>
      </c>
      <c r="G395" s="8"/>
      <c r="H395" s="8"/>
      <c r="I395" s="8"/>
      <c r="J395" s="8"/>
      <c r="K395" s="28">
        <v>55000</v>
      </c>
      <c r="M395" s="4">
        <v>10</v>
      </c>
      <c r="N395" s="8">
        <f t="shared" si="45"/>
        <v>55000</v>
      </c>
      <c r="O395" s="47" cm="1">
        <f t="array" ref="O395">_xlfn.IFNA(YEAR(INDEX($G$5:$K$5,,MATCH(1,G395:K395,-1))),"")</f>
        <v>2031</v>
      </c>
      <c r="R395" s="8">
        <f t="shared" si="44"/>
        <v>0</v>
      </c>
      <c r="S395" s="8">
        <f t="shared" si="44"/>
        <v>0</v>
      </c>
      <c r="T395" s="8">
        <f t="shared" si="44"/>
        <v>0</v>
      </c>
      <c r="U395" s="8">
        <f t="shared" si="44"/>
        <v>0</v>
      </c>
      <c r="V395" s="8">
        <f t="shared" si="44"/>
        <v>55000</v>
      </c>
    </row>
    <row r="396" spans="1:22" x14ac:dyDescent="0.35">
      <c r="A396" s="25" t="s">
        <v>285</v>
      </c>
      <c r="B396" s="26">
        <v>2015</v>
      </c>
      <c r="C396" s="25" t="s">
        <v>315</v>
      </c>
      <c r="D396" s="27" t="s">
        <v>99</v>
      </c>
      <c r="E396" s="4" t="s">
        <v>95</v>
      </c>
      <c r="F396" s="4" t="s">
        <v>219</v>
      </c>
      <c r="G396" s="8"/>
      <c r="H396" s="8"/>
      <c r="I396" s="8"/>
      <c r="J396" s="8"/>
      <c r="K396" s="28">
        <v>55000</v>
      </c>
      <c r="M396" s="4">
        <v>10</v>
      </c>
      <c r="N396" s="8">
        <f t="shared" si="45"/>
        <v>55000</v>
      </c>
      <c r="O396" s="47" cm="1">
        <f t="array" ref="O396">_xlfn.IFNA(YEAR(INDEX($G$5:$K$5,,MATCH(1,G396:K396,-1))),"")</f>
        <v>2031</v>
      </c>
      <c r="R396" s="8">
        <f t="shared" ref="R396:V405" si="46">IF($O396="",0,IF(MOD(YEAR(R$5)-$O396,$M396)=0,$N396,0))</f>
        <v>0</v>
      </c>
      <c r="S396" s="8">
        <f t="shared" si="46"/>
        <v>0</v>
      </c>
      <c r="T396" s="8">
        <f t="shared" si="46"/>
        <v>0</v>
      </c>
      <c r="U396" s="8">
        <f t="shared" si="46"/>
        <v>0</v>
      </c>
      <c r="V396" s="8">
        <f t="shared" si="46"/>
        <v>55000</v>
      </c>
    </row>
    <row r="397" spans="1:22" x14ac:dyDescent="0.35">
      <c r="A397" s="25" t="s">
        <v>93</v>
      </c>
      <c r="B397" s="26">
        <v>2014</v>
      </c>
      <c r="C397" s="25" t="s">
        <v>267</v>
      </c>
      <c r="D397" s="27" t="s">
        <v>72</v>
      </c>
      <c r="E397" s="4" t="s">
        <v>95</v>
      </c>
      <c r="F397" s="4" t="s">
        <v>219</v>
      </c>
      <c r="G397" s="8"/>
      <c r="H397" s="8"/>
      <c r="I397" s="8"/>
      <c r="J397" s="8"/>
      <c r="K397" s="28">
        <v>625000</v>
      </c>
      <c r="M397" s="4">
        <v>15</v>
      </c>
      <c r="N397" s="8">
        <f t="shared" si="45"/>
        <v>625000</v>
      </c>
      <c r="O397" s="47" cm="1">
        <f t="array" ref="O397">_xlfn.IFNA(YEAR(INDEX($G$5:$K$5,,MATCH(1,G397:K397,-1))),"")</f>
        <v>2031</v>
      </c>
      <c r="R397" s="8">
        <f t="shared" si="46"/>
        <v>0</v>
      </c>
      <c r="S397" s="8">
        <f t="shared" si="46"/>
        <v>0</v>
      </c>
      <c r="T397" s="8">
        <f t="shared" si="46"/>
        <v>0</v>
      </c>
      <c r="U397" s="8">
        <f t="shared" si="46"/>
        <v>0</v>
      </c>
      <c r="V397" s="8">
        <f t="shared" si="46"/>
        <v>625000</v>
      </c>
    </row>
    <row r="398" spans="1:22" x14ac:dyDescent="0.35">
      <c r="A398" s="25" t="s">
        <v>217</v>
      </c>
      <c r="B398" s="26">
        <v>2014</v>
      </c>
      <c r="C398" s="25" t="s">
        <v>218</v>
      </c>
      <c r="D398" s="27" t="s">
        <v>99</v>
      </c>
      <c r="E398" s="4" t="s">
        <v>95</v>
      </c>
      <c r="F398" s="4" t="s">
        <v>219</v>
      </c>
      <c r="G398" s="8"/>
      <c r="H398" s="8"/>
      <c r="I398" s="8"/>
      <c r="J398" s="8">
        <v>55000</v>
      </c>
      <c r="K398" s="8"/>
      <c r="M398" s="4">
        <v>6</v>
      </c>
      <c r="N398" s="8">
        <f t="shared" si="45"/>
        <v>55000</v>
      </c>
      <c r="O398" s="47" cm="1">
        <f t="array" ref="O398">_xlfn.IFNA(YEAR(INDEX($G$5:$K$5,,MATCH(1,G398:K398,-1))),"")</f>
        <v>2030</v>
      </c>
      <c r="R398" s="8">
        <f t="shared" si="46"/>
        <v>0</v>
      </c>
      <c r="S398" s="8">
        <f t="shared" si="46"/>
        <v>0</v>
      </c>
      <c r="T398" s="8">
        <f t="shared" si="46"/>
        <v>0</v>
      </c>
      <c r="U398" s="8">
        <f t="shared" si="46"/>
        <v>55000</v>
      </c>
      <c r="V398" s="8">
        <f t="shared" si="46"/>
        <v>0</v>
      </c>
    </row>
    <row r="399" spans="1:22" x14ac:dyDescent="0.35">
      <c r="A399" s="25" t="s">
        <v>93</v>
      </c>
      <c r="B399" s="26">
        <v>2014</v>
      </c>
      <c r="C399" s="25" t="s">
        <v>316</v>
      </c>
      <c r="D399" s="27" t="s">
        <v>72</v>
      </c>
      <c r="E399" s="4" t="s">
        <v>95</v>
      </c>
      <c r="F399" s="4" t="s">
        <v>219</v>
      </c>
      <c r="G399" s="8"/>
      <c r="H399" s="8"/>
      <c r="I399" s="8"/>
      <c r="J399" s="8"/>
      <c r="K399" s="28">
        <v>200000</v>
      </c>
      <c r="M399" s="4">
        <v>10</v>
      </c>
      <c r="N399" s="8">
        <f t="shared" si="45"/>
        <v>200000</v>
      </c>
      <c r="O399" s="47" cm="1">
        <f t="array" ref="O399">_xlfn.IFNA(YEAR(INDEX($G$5:$K$5,,MATCH(1,G399:K399,-1))),"")</f>
        <v>2031</v>
      </c>
      <c r="R399" s="8">
        <f t="shared" si="46"/>
        <v>0</v>
      </c>
      <c r="S399" s="8">
        <f t="shared" si="46"/>
        <v>0</v>
      </c>
      <c r="T399" s="8">
        <f t="shared" si="46"/>
        <v>0</v>
      </c>
      <c r="U399" s="8">
        <f t="shared" si="46"/>
        <v>0</v>
      </c>
      <c r="V399" s="8">
        <f t="shared" si="46"/>
        <v>200000</v>
      </c>
    </row>
    <row r="400" spans="1:22" x14ac:dyDescent="0.35">
      <c r="A400" s="25" t="s">
        <v>217</v>
      </c>
      <c r="B400" s="26">
        <v>2014</v>
      </c>
      <c r="C400" s="25" t="s">
        <v>218</v>
      </c>
      <c r="D400" s="27" t="s">
        <v>99</v>
      </c>
      <c r="E400" s="4" t="s">
        <v>95</v>
      </c>
      <c r="F400" s="4" t="s">
        <v>219</v>
      </c>
      <c r="G400" s="8"/>
      <c r="H400" s="8"/>
      <c r="I400" s="8"/>
      <c r="J400" s="8">
        <v>55000</v>
      </c>
      <c r="K400" s="8"/>
      <c r="M400" s="4">
        <v>6</v>
      </c>
      <c r="N400" s="8">
        <f t="shared" si="45"/>
        <v>55000</v>
      </c>
      <c r="O400" s="47" cm="1">
        <f t="array" ref="O400">_xlfn.IFNA(YEAR(INDEX($G$5:$K$5,,MATCH(1,G400:K400,-1))),"")</f>
        <v>2030</v>
      </c>
      <c r="R400" s="8">
        <f t="shared" si="46"/>
        <v>0</v>
      </c>
      <c r="S400" s="8">
        <f t="shared" si="46"/>
        <v>0</v>
      </c>
      <c r="T400" s="8">
        <f t="shared" si="46"/>
        <v>0</v>
      </c>
      <c r="U400" s="8">
        <f t="shared" si="46"/>
        <v>55000</v>
      </c>
      <c r="V400" s="8">
        <f t="shared" si="46"/>
        <v>0</v>
      </c>
    </row>
    <row r="401" spans="1:22" x14ac:dyDescent="0.35">
      <c r="A401" s="25" t="s">
        <v>217</v>
      </c>
      <c r="B401" s="26">
        <v>2014</v>
      </c>
      <c r="C401" s="25" t="s">
        <v>218</v>
      </c>
      <c r="D401" s="27" t="s">
        <v>99</v>
      </c>
      <c r="E401" s="4" t="s">
        <v>95</v>
      </c>
      <c r="F401" s="4" t="s">
        <v>219</v>
      </c>
      <c r="G401" s="8"/>
      <c r="H401" s="8"/>
      <c r="I401" s="8"/>
      <c r="J401" s="8">
        <v>55000</v>
      </c>
      <c r="K401" s="8"/>
      <c r="M401" s="4">
        <v>6</v>
      </c>
      <c r="N401" s="8">
        <f t="shared" si="45"/>
        <v>55000</v>
      </c>
      <c r="O401" s="47" cm="1">
        <f t="array" ref="O401">_xlfn.IFNA(YEAR(INDEX($G$5:$K$5,,MATCH(1,G401:K401,-1))),"")</f>
        <v>2030</v>
      </c>
      <c r="R401" s="8">
        <f t="shared" si="46"/>
        <v>0</v>
      </c>
      <c r="S401" s="8">
        <f t="shared" si="46"/>
        <v>0</v>
      </c>
      <c r="T401" s="8">
        <f t="shared" si="46"/>
        <v>0</v>
      </c>
      <c r="U401" s="8">
        <f t="shared" si="46"/>
        <v>55000</v>
      </c>
      <c r="V401" s="8">
        <f t="shared" si="46"/>
        <v>0</v>
      </c>
    </row>
    <row r="402" spans="1:22" x14ac:dyDescent="0.35">
      <c r="A402" s="25" t="s">
        <v>217</v>
      </c>
      <c r="B402" s="26">
        <v>2014</v>
      </c>
      <c r="C402" s="25" t="s">
        <v>317</v>
      </c>
      <c r="D402" s="27" t="s">
        <v>99</v>
      </c>
      <c r="E402" s="4" t="s">
        <v>95</v>
      </c>
      <c r="F402" s="4" t="s">
        <v>219</v>
      </c>
      <c r="G402" s="8"/>
      <c r="H402" s="8"/>
      <c r="I402" s="8"/>
      <c r="J402" s="8">
        <v>55000</v>
      </c>
      <c r="K402" s="8"/>
      <c r="M402" s="4">
        <v>6</v>
      </c>
      <c r="N402" s="8">
        <f t="shared" si="45"/>
        <v>55000</v>
      </c>
      <c r="O402" s="47" cm="1">
        <f t="array" ref="O402">_xlfn.IFNA(YEAR(INDEX($G$5:$K$5,,MATCH(1,G402:K402,-1))),"")</f>
        <v>2030</v>
      </c>
      <c r="R402" s="8">
        <f t="shared" si="46"/>
        <v>0</v>
      </c>
      <c r="S402" s="8">
        <f t="shared" si="46"/>
        <v>0</v>
      </c>
      <c r="T402" s="8">
        <f t="shared" si="46"/>
        <v>0</v>
      </c>
      <c r="U402" s="8">
        <f t="shared" si="46"/>
        <v>55000</v>
      </c>
      <c r="V402" s="8">
        <f t="shared" si="46"/>
        <v>0</v>
      </c>
    </row>
    <row r="403" spans="1:22" x14ac:dyDescent="0.35">
      <c r="A403" s="25" t="s">
        <v>217</v>
      </c>
      <c r="B403" s="26">
        <v>2014</v>
      </c>
      <c r="C403" s="25" t="s">
        <v>218</v>
      </c>
      <c r="D403" s="27" t="s">
        <v>99</v>
      </c>
      <c r="E403" s="4" t="s">
        <v>95</v>
      </c>
      <c r="F403" s="4" t="s">
        <v>219</v>
      </c>
      <c r="G403" s="8"/>
      <c r="H403" s="8"/>
      <c r="I403" s="8"/>
      <c r="J403" s="8">
        <v>55000</v>
      </c>
      <c r="K403" s="8"/>
      <c r="M403" s="4">
        <v>6</v>
      </c>
      <c r="N403" s="8">
        <f t="shared" si="45"/>
        <v>55000</v>
      </c>
      <c r="O403" s="47" cm="1">
        <f t="array" ref="O403">_xlfn.IFNA(YEAR(INDEX($G$5:$K$5,,MATCH(1,G403:K403,-1))),"")</f>
        <v>2030</v>
      </c>
      <c r="R403" s="8">
        <f t="shared" si="46"/>
        <v>0</v>
      </c>
      <c r="S403" s="8">
        <f t="shared" si="46"/>
        <v>0</v>
      </c>
      <c r="T403" s="8">
        <f t="shared" si="46"/>
        <v>0</v>
      </c>
      <c r="U403" s="8">
        <f t="shared" si="46"/>
        <v>55000</v>
      </c>
      <c r="V403" s="8">
        <f t="shared" si="46"/>
        <v>0</v>
      </c>
    </row>
    <row r="404" spans="1:22" x14ac:dyDescent="0.35">
      <c r="A404" s="25" t="s">
        <v>217</v>
      </c>
      <c r="B404" s="26">
        <v>2014</v>
      </c>
      <c r="C404" s="25" t="s">
        <v>218</v>
      </c>
      <c r="D404" s="27" t="s">
        <v>99</v>
      </c>
      <c r="E404" s="4" t="s">
        <v>95</v>
      </c>
      <c r="F404" s="4" t="s">
        <v>219</v>
      </c>
      <c r="G404" s="8"/>
      <c r="H404" s="8"/>
      <c r="I404" s="8"/>
      <c r="J404" s="8">
        <v>55000</v>
      </c>
      <c r="K404" s="8"/>
      <c r="M404" s="4">
        <v>6</v>
      </c>
      <c r="N404" s="8">
        <f t="shared" si="45"/>
        <v>55000</v>
      </c>
      <c r="O404" s="47" cm="1">
        <f t="array" ref="O404">_xlfn.IFNA(YEAR(INDEX($G$5:$K$5,,MATCH(1,G404:K404,-1))),"")</f>
        <v>2030</v>
      </c>
      <c r="R404" s="8">
        <f t="shared" si="46"/>
        <v>0</v>
      </c>
      <c r="S404" s="8">
        <f t="shared" si="46"/>
        <v>0</v>
      </c>
      <c r="T404" s="8">
        <f t="shared" si="46"/>
        <v>0</v>
      </c>
      <c r="U404" s="8">
        <f t="shared" si="46"/>
        <v>55000</v>
      </c>
      <c r="V404" s="8">
        <f t="shared" si="46"/>
        <v>0</v>
      </c>
    </row>
    <row r="405" spans="1:22" x14ac:dyDescent="0.35">
      <c r="A405" s="25" t="s">
        <v>217</v>
      </c>
      <c r="B405" s="26">
        <v>2014</v>
      </c>
      <c r="C405" s="25" t="s">
        <v>218</v>
      </c>
      <c r="D405" s="27" t="s">
        <v>99</v>
      </c>
      <c r="E405" s="4" t="s">
        <v>95</v>
      </c>
      <c r="F405" s="4" t="s">
        <v>219</v>
      </c>
      <c r="G405" s="8"/>
      <c r="H405" s="8"/>
      <c r="I405" s="8"/>
      <c r="J405" s="8">
        <v>55000</v>
      </c>
      <c r="K405" s="8"/>
      <c r="M405" s="4">
        <v>6</v>
      </c>
      <c r="N405" s="8">
        <f t="shared" si="45"/>
        <v>55000</v>
      </c>
      <c r="O405" s="47" cm="1">
        <f t="array" ref="O405">_xlfn.IFNA(YEAR(INDEX($G$5:$K$5,,MATCH(1,G405:K405,-1))),"")</f>
        <v>2030</v>
      </c>
      <c r="R405" s="8">
        <f t="shared" si="46"/>
        <v>0</v>
      </c>
      <c r="S405" s="8">
        <f t="shared" si="46"/>
        <v>0</v>
      </c>
      <c r="T405" s="8">
        <f t="shared" si="46"/>
        <v>0</v>
      </c>
      <c r="U405" s="8">
        <f t="shared" si="46"/>
        <v>55000</v>
      </c>
      <c r="V405" s="8">
        <f t="shared" si="46"/>
        <v>0</v>
      </c>
    </row>
    <row r="406" spans="1:22" x14ac:dyDescent="0.35">
      <c r="A406" s="25" t="s">
        <v>217</v>
      </c>
      <c r="B406" s="26">
        <v>2014</v>
      </c>
      <c r="C406" s="25" t="s">
        <v>218</v>
      </c>
      <c r="D406" s="27" t="s">
        <v>99</v>
      </c>
      <c r="E406" s="4" t="s">
        <v>95</v>
      </c>
      <c r="F406" s="4" t="s">
        <v>219</v>
      </c>
      <c r="G406" s="8"/>
      <c r="H406" s="8"/>
      <c r="I406" s="8"/>
      <c r="J406" s="8">
        <v>55000</v>
      </c>
      <c r="K406" s="8"/>
      <c r="M406" s="4">
        <v>6</v>
      </c>
      <c r="N406" s="8">
        <f t="shared" si="45"/>
        <v>55000</v>
      </c>
      <c r="O406" s="47" cm="1">
        <f t="array" ref="O406">_xlfn.IFNA(YEAR(INDEX($G$5:$K$5,,MATCH(1,G406:K406,-1))),"")</f>
        <v>2030</v>
      </c>
      <c r="R406" s="8">
        <f t="shared" ref="R406:V415" si="47">IF($O406="",0,IF(MOD(YEAR(R$5)-$O406,$M406)=0,$N406,0))</f>
        <v>0</v>
      </c>
      <c r="S406" s="8">
        <f t="shared" si="47"/>
        <v>0</v>
      </c>
      <c r="T406" s="8">
        <f t="shared" si="47"/>
        <v>0</v>
      </c>
      <c r="U406" s="8">
        <f t="shared" si="47"/>
        <v>55000</v>
      </c>
      <c r="V406" s="8">
        <f t="shared" si="47"/>
        <v>0</v>
      </c>
    </row>
    <row r="407" spans="1:22" x14ac:dyDescent="0.35">
      <c r="A407" s="25" t="s">
        <v>93</v>
      </c>
      <c r="B407" s="26">
        <v>2015</v>
      </c>
      <c r="C407" s="25" t="s">
        <v>318</v>
      </c>
      <c r="D407" s="27" t="s">
        <v>72</v>
      </c>
      <c r="E407" s="4" t="s">
        <v>95</v>
      </c>
      <c r="F407" s="4" t="s">
        <v>219</v>
      </c>
      <c r="G407" s="8"/>
      <c r="H407" s="8"/>
      <c r="I407" s="8"/>
      <c r="J407" s="8"/>
      <c r="K407" s="8">
        <v>160000</v>
      </c>
      <c r="M407" s="4">
        <v>10</v>
      </c>
      <c r="N407" s="8">
        <f t="shared" si="45"/>
        <v>160000</v>
      </c>
      <c r="O407" s="47" cm="1">
        <f t="array" ref="O407">_xlfn.IFNA(YEAR(INDEX($G$5:$K$5,,MATCH(1,G407:K407,-1))),"")</f>
        <v>2031</v>
      </c>
      <c r="R407" s="8">
        <f t="shared" si="47"/>
        <v>0</v>
      </c>
      <c r="S407" s="8">
        <f t="shared" si="47"/>
        <v>0</v>
      </c>
      <c r="T407" s="8">
        <f t="shared" si="47"/>
        <v>0</v>
      </c>
      <c r="U407" s="8">
        <f t="shared" si="47"/>
        <v>0</v>
      </c>
      <c r="V407" s="8">
        <f t="shared" si="47"/>
        <v>160000</v>
      </c>
    </row>
    <row r="408" spans="1:22" x14ac:dyDescent="0.35">
      <c r="A408" s="25" t="s">
        <v>283</v>
      </c>
      <c r="B408" s="26">
        <v>2015</v>
      </c>
      <c r="C408" s="25" t="s">
        <v>319</v>
      </c>
      <c r="D408" s="27" t="s">
        <v>99</v>
      </c>
      <c r="E408" s="4" t="s">
        <v>95</v>
      </c>
      <c r="F408" s="4" t="s">
        <v>219</v>
      </c>
      <c r="G408" s="8">
        <v>65000</v>
      </c>
      <c r="H408" s="8"/>
      <c r="I408" s="8"/>
      <c r="J408" s="8"/>
      <c r="K408" s="8"/>
      <c r="M408" s="4">
        <v>10</v>
      </c>
      <c r="N408" s="8">
        <f t="shared" si="45"/>
        <v>65000</v>
      </c>
      <c r="O408" s="47" cm="1">
        <f t="array" ref="O408">_xlfn.IFNA(YEAR(INDEX($G$5:$K$5,,MATCH(1,G408:K408,-1))),"")</f>
        <v>2027</v>
      </c>
      <c r="R408" s="8">
        <f t="shared" si="47"/>
        <v>65000</v>
      </c>
      <c r="S408" s="8">
        <f t="shared" si="47"/>
        <v>0</v>
      </c>
      <c r="T408" s="8">
        <f t="shared" si="47"/>
        <v>0</v>
      </c>
      <c r="U408" s="8">
        <f t="shared" si="47"/>
        <v>0</v>
      </c>
      <c r="V408" s="8">
        <f t="shared" si="47"/>
        <v>0</v>
      </c>
    </row>
    <row r="409" spans="1:22" x14ac:dyDescent="0.35">
      <c r="A409" s="25" t="s">
        <v>283</v>
      </c>
      <c r="B409" s="26">
        <v>2015</v>
      </c>
      <c r="C409" s="25" t="s">
        <v>319</v>
      </c>
      <c r="D409" s="27" t="s">
        <v>99</v>
      </c>
      <c r="E409" s="4" t="s">
        <v>95</v>
      </c>
      <c r="F409" s="4" t="s">
        <v>219</v>
      </c>
      <c r="G409" s="8">
        <v>65000</v>
      </c>
      <c r="H409" s="8"/>
      <c r="I409" s="8"/>
      <c r="J409" s="8"/>
      <c r="K409" s="8"/>
      <c r="M409" s="4">
        <v>10</v>
      </c>
      <c r="N409" s="8">
        <f t="shared" si="45"/>
        <v>65000</v>
      </c>
      <c r="O409" s="47" cm="1">
        <f t="array" ref="O409">_xlfn.IFNA(YEAR(INDEX($G$5:$K$5,,MATCH(1,G409:K409,-1))),"")</f>
        <v>2027</v>
      </c>
      <c r="R409" s="8">
        <f t="shared" si="47"/>
        <v>65000</v>
      </c>
      <c r="S409" s="8">
        <f t="shared" si="47"/>
        <v>0</v>
      </c>
      <c r="T409" s="8">
        <f t="shared" si="47"/>
        <v>0</v>
      </c>
      <c r="U409" s="8">
        <f t="shared" si="47"/>
        <v>0</v>
      </c>
      <c r="V409" s="8">
        <f t="shared" si="47"/>
        <v>0</v>
      </c>
    </row>
    <row r="410" spans="1:22" x14ac:dyDescent="0.35">
      <c r="A410" s="25" t="s">
        <v>217</v>
      </c>
      <c r="B410" s="26">
        <v>2015</v>
      </c>
      <c r="C410" s="25" t="s">
        <v>218</v>
      </c>
      <c r="D410" s="27" t="s">
        <v>99</v>
      </c>
      <c r="E410" s="4" t="s">
        <v>95</v>
      </c>
      <c r="F410" s="4" t="s">
        <v>219</v>
      </c>
      <c r="G410" s="8"/>
      <c r="H410" s="8"/>
      <c r="I410" s="8"/>
      <c r="J410" s="8"/>
      <c r="K410" s="8">
        <v>55000</v>
      </c>
      <c r="M410" s="4">
        <v>6</v>
      </c>
      <c r="N410" s="8">
        <f t="shared" si="45"/>
        <v>55000</v>
      </c>
      <c r="O410" s="47" cm="1">
        <f t="array" ref="O410">_xlfn.IFNA(YEAR(INDEX($G$5:$K$5,,MATCH(1,G410:K410,-1))),"")</f>
        <v>2031</v>
      </c>
      <c r="R410" s="8">
        <f t="shared" si="47"/>
        <v>0</v>
      </c>
      <c r="S410" s="8">
        <f t="shared" si="47"/>
        <v>0</v>
      </c>
      <c r="T410" s="8">
        <f t="shared" si="47"/>
        <v>0</v>
      </c>
      <c r="U410" s="8">
        <f t="shared" si="47"/>
        <v>0</v>
      </c>
      <c r="V410" s="8">
        <f t="shared" si="47"/>
        <v>55000</v>
      </c>
    </row>
    <row r="411" spans="1:22" x14ac:dyDescent="0.35">
      <c r="A411" s="25" t="s">
        <v>117</v>
      </c>
      <c r="B411" s="26">
        <v>2015</v>
      </c>
      <c r="C411" s="25" t="s">
        <v>320</v>
      </c>
      <c r="D411" s="27" t="s">
        <v>99</v>
      </c>
      <c r="E411" s="4" t="s">
        <v>95</v>
      </c>
      <c r="F411" s="4" t="s">
        <v>219</v>
      </c>
      <c r="G411" s="8"/>
      <c r="H411" s="8"/>
      <c r="I411" s="8"/>
      <c r="J411" s="8"/>
      <c r="K411" s="8">
        <v>55000</v>
      </c>
      <c r="M411" s="4">
        <v>6</v>
      </c>
      <c r="N411" s="8">
        <f t="shared" si="45"/>
        <v>55000</v>
      </c>
      <c r="O411" s="47" cm="1">
        <f t="array" ref="O411">_xlfn.IFNA(YEAR(INDEX($G$5:$K$5,,MATCH(1,G411:K411,-1))),"")</f>
        <v>2031</v>
      </c>
      <c r="R411" s="8">
        <f t="shared" si="47"/>
        <v>0</v>
      </c>
      <c r="S411" s="8">
        <f t="shared" si="47"/>
        <v>0</v>
      </c>
      <c r="T411" s="8">
        <f t="shared" si="47"/>
        <v>0</v>
      </c>
      <c r="U411" s="8">
        <f t="shared" si="47"/>
        <v>0</v>
      </c>
      <c r="V411" s="8">
        <f t="shared" si="47"/>
        <v>55000</v>
      </c>
    </row>
    <row r="412" spans="1:22" x14ac:dyDescent="0.35">
      <c r="A412" s="25" t="s">
        <v>223</v>
      </c>
      <c r="B412" s="26">
        <v>2016</v>
      </c>
      <c r="C412" s="25" t="s">
        <v>321</v>
      </c>
      <c r="D412" s="27" t="s">
        <v>74</v>
      </c>
      <c r="E412" s="4" t="s">
        <v>95</v>
      </c>
      <c r="F412" s="4" t="s">
        <v>219</v>
      </c>
      <c r="G412" s="8">
        <v>66000</v>
      </c>
      <c r="H412" s="8"/>
      <c r="I412" s="8"/>
      <c r="J412" s="8"/>
      <c r="K412" s="8"/>
      <c r="M412" s="4">
        <v>4</v>
      </c>
      <c r="N412" s="8">
        <f t="shared" si="45"/>
        <v>66000</v>
      </c>
      <c r="O412" s="47" cm="1">
        <f t="array" ref="O412">_xlfn.IFNA(YEAR(INDEX($G$5:$K$5,,MATCH(1,G412:K412,-1))),"")</f>
        <v>2027</v>
      </c>
      <c r="R412" s="8">
        <f t="shared" si="47"/>
        <v>66000</v>
      </c>
      <c r="S412" s="8">
        <f t="shared" si="47"/>
        <v>0</v>
      </c>
      <c r="T412" s="8">
        <f t="shared" si="47"/>
        <v>0</v>
      </c>
      <c r="U412" s="8">
        <f t="shared" si="47"/>
        <v>0</v>
      </c>
      <c r="V412" s="8">
        <f t="shared" si="47"/>
        <v>66000</v>
      </c>
    </row>
    <row r="413" spans="1:22" x14ac:dyDescent="0.35">
      <c r="A413" s="25" t="s">
        <v>93</v>
      </c>
      <c r="B413" s="26">
        <v>2017</v>
      </c>
      <c r="C413" s="25" t="s">
        <v>278</v>
      </c>
      <c r="D413" s="27" t="s">
        <v>72</v>
      </c>
      <c r="E413" s="4" t="s">
        <v>95</v>
      </c>
      <c r="F413" s="4" t="s">
        <v>219</v>
      </c>
      <c r="G413" s="8"/>
      <c r="H413" s="8">
        <v>200000</v>
      </c>
      <c r="I413" s="8"/>
      <c r="J413" s="8"/>
      <c r="K413" s="8"/>
      <c r="M413" s="4">
        <v>10</v>
      </c>
      <c r="N413" s="8">
        <f t="shared" si="45"/>
        <v>200000</v>
      </c>
      <c r="O413" s="47" cm="1">
        <f t="array" ref="O413">_xlfn.IFNA(YEAR(INDEX($G$5:$K$5,,MATCH(1,G413:K413,-1))),"")</f>
        <v>2028</v>
      </c>
      <c r="R413" s="8">
        <f t="shared" si="47"/>
        <v>0</v>
      </c>
      <c r="S413" s="8">
        <f t="shared" si="47"/>
        <v>200000</v>
      </c>
      <c r="T413" s="8">
        <f t="shared" si="47"/>
        <v>0</v>
      </c>
      <c r="U413" s="8">
        <f t="shared" si="47"/>
        <v>0</v>
      </c>
      <c r="V413" s="8">
        <f t="shared" si="47"/>
        <v>0</v>
      </c>
    </row>
    <row r="414" spans="1:22" x14ac:dyDescent="0.35">
      <c r="A414" s="25" t="s">
        <v>111</v>
      </c>
      <c r="B414" s="26">
        <v>2010</v>
      </c>
      <c r="C414" s="25" t="s">
        <v>322</v>
      </c>
      <c r="D414" s="27" t="s">
        <v>99</v>
      </c>
      <c r="E414" s="4" t="s">
        <v>100</v>
      </c>
      <c r="F414" s="4" t="s">
        <v>219</v>
      </c>
      <c r="G414" s="8">
        <v>45000</v>
      </c>
      <c r="H414" s="8"/>
      <c r="I414" s="8"/>
      <c r="J414" s="8"/>
      <c r="K414" s="8"/>
      <c r="M414" s="4">
        <v>15</v>
      </c>
      <c r="N414" s="8">
        <f t="shared" si="45"/>
        <v>45000</v>
      </c>
      <c r="O414" s="47" cm="1">
        <f t="array" ref="O414">_xlfn.IFNA(YEAR(INDEX($G$5:$K$5,,MATCH(1,G414:K414,-1))),"")</f>
        <v>2027</v>
      </c>
      <c r="R414" s="8">
        <f t="shared" si="47"/>
        <v>45000</v>
      </c>
      <c r="S414" s="8">
        <f t="shared" si="47"/>
        <v>0</v>
      </c>
      <c r="T414" s="8">
        <f t="shared" si="47"/>
        <v>0</v>
      </c>
      <c r="U414" s="8">
        <f t="shared" si="47"/>
        <v>0</v>
      </c>
      <c r="V414" s="8">
        <f t="shared" si="47"/>
        <v>0</v>
      </c>
    </row>
    <row r="415" spans="1:22" x14ac:dyDescent="0.35">
      <c r="A415" s="25" t="s">
        <v>111</v>
      </c>
      <c r="B415" s="26">
        <v>2010</v>
      </c>
      <c r="C415" s="25" t="s">
        <v>322</v>
      </c>
      <c r="D415" s="27" t="s">
        <v>99</v>
      </c>
      <c r="E415" s="4" t="s">
        <v>100</v>
      </c>
      <c r="F415" s="4" t="s">
        <v>219</v>
      </c>
      <c r="G415" s="8">
        <v>45000</v>
      </c>
      <c r="H415" s="8"/>
      <c r="I415" s="8"/>
      <c r="J415" s="8"/>
      <c r="K415" s="8"/>
      <c r="M415" s="4">
        <v>15</v>
      </c>
      <c r="N415" s="8">
        <f t="shared" si="45"/>
        <v>45000</v>
      </c>
      <c r="O415" s="47" cm="1">
        <f t="array" ref="O415">_xlfn.IFNA(YEAR(INDEX($G$5:$K$5,,MATCH(1,G415:K415,-1))),"")</f>
        <v>2027</v>
      </c>
      <c r="R415" s="8">
        <f t="shared" si="47"/>
        <v>45000</v>
      </c>
      <c r="S415" s="8">
        <f t="shared" si="47"/>
        <v>0</v>
      </c>
      <c r="T415" s="8">
        <f t="shared" si="47"/>
        <v>0</v>
      </c>
      <c r="U415" s="8">
        <f t="shared" si="47"/>
        <v>0</v>
      </c>
      <c r="V415" s="8">
        <f t="shared" si="47"/>
        <v>0</v>
      </c>
    </row>
    <row r="416" spans="1:22" x14ac:dyDescent="0.35">
      <c r="A416" s="25" t="s">
        <v>323</v>
      </c>
      <c r="B416" s="26">
        <v>2016</v>
      </c>
      <c r="C416" s="25" t="s">
        <v>324</v>
      </c>
      <c r="D416" s="27" t="s">
        <v>99</v>
      </c>
      <c r="E416" s="4" t="s">
        <v>100</v>
      </c>
      <c r="F416" s="4" t="s">
        <v>219</v>
      </c>
      <c r="G416" s="8"/>
      <c r="H416" s="8">
        <v>85000</v>
      </c>
      <c r="I416" s="8"/>
      <c r="J416" s="8"/>
      <c r="K416" s="8"/>
      <c r="M416" s="4">
        <v>15</v>
      </c>
      <c r="N416" s="8">
        <f t="shared" si="45"/>
        <v>85000</v>
      </c>
      <c r="O416" s="47" cm="1">
        <f t="array" ref="O416">_xlfn.IFNA(YEAR(INDEX($G$5:$K$5,,MATCH(1,G416:K416,-1))),"")</f>
        <v>2028</v>
      </c>
      <c r="R416" s="8">
        <f t="shared" ref="R416:V425" si="48">IF($O416="",0,IF(MOD(YEAR(R$5)-$O416,$M416)=0,$N416,0))</f>
        <v>0</v>
      </c>
      <c r="S416" s="8">
        <f t="shared" si="48"/>
        <v>85000</v>
      </c>
      <c r="T416" s="8">
        <f t="shared" si="48"/>
        <v>0</v>
      </c>
      <c r="U416" s="8">
        <f t="shared" si="48"/>
        <v>0</v>
      </c>
      <c r="V416" s="8">
        <f t="shared" si="48"/>
        <v>0</v>
      </c>
    </row>
    <row r="417" spans="1:22" x14ac:dyDescent="0.35">
      <c r="A417" s="25" t="s">
        <v>227</v>
      </c>
      <c r="B417" s="26">
        <v>2007</v>
      </c>
      <c r="C417" s="25" t="s">
        <v>228</v>
      </c>
      <c r="D417" s="27" t="s">
        <v>99</v>
      </c>
      <c r="E417" s="4" t="s">
        <v>193</v>
      </c>
      <c r="F417" s="4" t="s">
        <v>219</v>
      </c>
      <c r="G417" s="8"/>
      <c r="H417" s="8">
        <v>30000</v>
      </c>
      <c r="I417" s="8"/>
      <c r="J417" s="8"/>
      <c r="K417" s="8"/>
      <c r="M417" s="4">
        <v>10</v>
      </c>
      <c r="N417" s="8">
        <f t="shared" si="45"/>
        <v>30000</v>
      </c>
      <c r="O417" s="47" cm="1">
        <f t="array" ref="O417">_xlfn.IFNA(YEAR(INDEX($G$5:$K$5,,MATCH(1,G417:K417,-1))),"")</f>
        <v>2028</v>
      </c>
      <c r="R417" s="8">
        <f t="shared" si="48"/>
        <v>0</v>
      </c>
      <c r="S417" s="8">
        <f t="shared" si="48"/>
        <v>30000</v>
      </c>
      <c r="T417" s="8">
        <f t="shared" si="48"/>
        <v>0</v>
      </c>
      <c r="U417" s="8">
        <f t="shared" si="48"/>
        <v>0</v>
      </c>
      <c r="V417" s="8">
        <f t="shared" si="48"/>
        <v>0</v>
      </c>
    </row>
    <row r="418" spans="1:22" x14ac:dyDescent="0.35">
      <c r="A418" s="25" t="s">
        <v>271</v>
      </c>
      <c r="B418" s="26">
        <v>2010</v>
      </c>
      <c r="C418" s="25" t="s">
        <v>297</v>
      </c>
      <c r="D418" s="27" t="s">
        <v>99</v>
      </c>
      <c r="E418" s="4" t="s">
        <v>100</v>
      </c>
      <c r="F418" s="4" t="s">
        <v>219</v>
      </c>
      <c r="G418" s="8"/>
      <c r="H418" s="8"/>
      <c r="I418" s="8"/>
      <c r="J418" s="8"/>
      <c r="K418" s="28">
        <v>27000</v>
      </c>
      <c r="M418" s="4">
        <v>10</v>
      </c>
      <c r="N418" s="8">
        <f t="shared" si="45"/>
        <v>27000</v>
      </c>
      <c r="O418" s="47" cm="1">
        <f t="array" ref="O418">_xlfn.IFNA(YEAR(INDEX($G$5:$K$5,,MATCH(1,G418:K418,-1))),"")</f>
        <v>2031</v>
      </c>
      <c r="R418" s="8">
        <f t="shared" si="48"/>
        <v>0</v>
      </c>
      <c r="S418" s="8">
        <f t="shared" si="48"/>
        <v>0</v>
      </c>
      <c r="T418" s="8">
        <f t="shared" si="48"/>
        <v>0</v>
      </c>
      <c r="U418" s="8">
        <f t="shared" si="48"/>
        <v>0</v>
      </c>
      <c r="V418" s="8">
        <f t="shared" si="48"/>
        <v>27000</v>
      </c>
    </row>
    <row r="419" spans="1:22" x14ac:dyDescent="0.35">
      <c r="A419" s="25" t="s">
        <v>254</v>
      </c>
      <c r="B419" s="26">
        <v>2010</v>
      </c>
      <c r="C419" s="25" t="s">
        <v>311</v>
      </c>
      <c r="D419" s="27" t="s">
        <v>99</v>
      </c>
      <c r="E419" s="4" t="s">
        <v>100</v>
      </c>
      <c r="F419" s="4" t="s">
        <v>219</v>
      </c>
      <c r="G419" s="8"/>
      <c r="H419" s="8"/>
      <c r="I419" s="8"/>
      <c r="J419" s="8"/>
      <c r="K419" s="28">
        <v>27000</v>
      </c>
      <c r="M419" s="4">
        <v>15</v>
      </c>
      <c r="N419" s="8">
        <f t="shared" si="45"/>
        <v>27000</v>
      </c>
      <c r="O419" s="47" cm="1">
        <f t="array" ref="O419">_xlfn.IFNA(YEAR(INDEX($G$5:$K$5,,MATCH(1,G419:K419,-1))),"")</f>
        <v>2031</v>
      </c>
      <c r="R419" s="8">
        <f t="shared" si="48"/>
        <v>0</v>
      </c>
      <c r="S419" s="8">
        <f t="shared" si="48"/>
        <v>0</v>
      </c>
      <c r="T419" s="8">
        <f t="shared" si="48"/>
        <v>0</v>
      </c>
      <c r="U419" s="8">
        <f t="shared" si="48"/>
        <v>0</v>
      </c>
      <c r="V419" s="8">
        <f t="shared" si="48"/>
        <v>27000</v>
      </c>
    </row>
    <row r="420" spans="1:22" x14ac:dyDescent="0.35">
      <c r="A420" s="25" t="s">
        <v>109</v>
      </c>
      <c r="B420" s="26">
        <v>2010</v>
      </c>
      <c r="C420" s="25" t="s">
        <v>325</v>
      </c>
      <c r="D420" s="27" t="s">
        <v>99</v>
      </c>
      <c r="E420" s="4" t="s">
        <v>100</v>
      </c>
      <c r="F420" s="4" t="s">
        <v>219</v>
      </c>
      <c r="G420" s="8"/>
      <c r="H420" s="8"/>
      <c r="I420" s="8"/>
      <c r="J420" s="8"/>
      <c r="K420" s="28">
        <v>27000</v>
      </c>
      <c r="M420" s="4">
        <v>15</v>
      </c>
      <c r="N420" s="8">
        <f t="shared" si="45"/>
        <v>27000</v>
      </c>
      <c r="O420" s="47" cm="1">
        <f t="array" ref="O420">_xlfn.IFNA(YEAR(INDEX($G$5:$K$5,,MATCH(1,G420:K420,-1))),"")</f>
        <v>2031</v>
      </c>
      <c r="R420" s="8">
        <f t="shared" si="48"/>
        <v>0</v>
      </c>
      <c r="S420" s="8">
        <f t="shared" si="48"/>
        <v>0</v>
      </c>
      <c r="T420" s="8">
        <f t="shared" si="48"/>
        <v>0</v>
      </c>
      <c r="U420" s="8">
        <f t="shared" si="48"/>
        <v>0</v>
      </c>
      <c r="V420" s="8">
        <f t="shared" si="48"/>
        <v>27000</v>
      </c>
    </row>
    <row r="421" spans="1:22" x14ac:dyDescent="0.35">
      <c r="A421" s="25" t="s">
        <v>111</v>
      </c>
      <c r="B421" s="26">
        <v>2012</v>
      </c>
      <c r="C421" s="25" t="s">
        <v>326</v>
      </c>
      <c r="D421" s="27" t="s">
        <v>99</v>
      </c>
      <c r="E421" s="4" t="s">
        <v>100</v>
      </c>
      <c r="F421" s="4" t="s">
        <v>219</v>
      </c>
      <c r="G421" s="8"/>
      <c r="H421" s="8">
        <v>45000</v>
      </c>
      <c r="I421" s="8"/>
      <c r="J421" s="8"/>
      <c r="K421" s="8"/>
      <c r="M421" s="4">
        <v>15</v>
      </c>
      <c r="N421" s="8">
        <f t="shared" si="45"/>
        <v>45000</v>
      </c>
      <c r="O421" s="47" cm="1">
        <f t="array" ref="O421">_xlfn.IFNA(YEAR(INDEX($G$5:$K$5,,MATCH(1,G421:K421,-1))),"")</f>
        <v>2028</v>
      </c>
      <c r="R421" s="8">
        <f t="shared" si="48"/>
        <v>0</v>
      </c>
      <c r="S421" s="8">
        <f t="shared" si="48"/>
        <v>45000</v>
      </c>
      <c r="T421" s="8">
        <f t="shared" si="48"/>
        <v>0</v>
      </c>
      <c r="U421" s="8">
        <f t="shared" si="48"/>
        <v>0</v>
      </c>
      <c r="V421" s="8">
        <f t="shared" si="48"/>
        <v>0</v>
      </c>
    </row>
    <row r="422" spans="1:22" x14ac:dyDescent="0.35">
      <c r="A422" s="25" t="s">
        <v>109</v>
      </c>
      <c r="B422" s="26">
        <v>2015</v>
      </c>
      <c r="C422" s="25" t="s">
        <v>327</v>
      </c>
      <c r="D422" s="27" t="s">
        <v>99</v>
      </c>
      <c r="E422" s="4" t="s">
        <v>100</v>
      </c>
      <c r="F422" s="4" t="s">
        <v>219</v>
      </c>
      <c r="G422" s="8"/>
      <c r="H422" s="8"/>
      <c r="I422" s="8"/>
      <c r="J422" s="8"/>
      <c r="K422" s="8">
        <v>45000</v>
      </c>
      <c r="M422" s="4">
        <v>15</v>
      </c>
      <c r="N422" s="8">
        <f t="shared" si="45"/>
        <v>45000</v>
      </c>
      <c r="O422" s="47" cm="1">
        <f t="array" ref="O422">_xlfn.IFNA(YEAR(INDEX($G$5:$K$5,,MATCH(1,G422:K422,-1))),"")</f>
        <v>2031</v>
      </c>
      <c r="R422" s="8">
        <f t="shared" si="48"/>
        <v>0</v>
      </c>
      <c r="S422" s="8">
        <f t="shared" si="48"/>
        <v>0</v>
      </c>
      <c r="T422" s="8">
        <f t="shared" si="48"/>
        <v>0</v>
      </c>
      <c r="U422" s="8">
        <f t="shared" si="48"/>
        <v>0</v>
      </c>
      <c r="V422" s="8">
        <f t="shared" si="48"/>
        <v>45000</v>
      </c>
    </row>
    <row r="423" spans="1:22" x14ac:dyDescent="0.35">
      <c r="A423" s="25" t="s">
        <v>109</v>
      </c>
      <c r="B423" s="26">
        <v>2015</v>
      </c>
      <c r="C423" s="25" t="s">
        <v>327</v>
      </c>
      <c r="D423" s="27" t="s">
        <v>99</v>
      </c>
      <c r="E423" s="4" t="s">
        <v>100</v>
      </c>
      <c r="F423" s="4" t="s">
        <v>219</v>
      </c>
      <c r="G423" s="8"/>
      <c r="H423" s="8"/>
      <c r="I423" s="8"/>
      <c r="J423" s="8"/>
      <c r="K423" s="8">
        <v>45000</v>
      </c>
      <c r="M423" s="4">
        <v>15</v>
      </c>
      <c r="N423" s="8">
        <f t="shared" si="45"/>
        <v>45000</v>
      </c>
      <c r="O423" s="47" cm="1">
        <f t="array" ref="O423">_xlfn.IFNA(YEAR(INDEX($G$5:$K$5,,MATCH(1,G423:K423,-1))),"")</f>
        <v>2031</v>
      </c>
      <c r="R423" s="8">
        <f t="shared" si="48"/>
        <v>0</v>
      </c>
      <c r="S423" s="8">
        <f t="shared" si="48"/>
        <v>0</v>
      </c>
      <c r="T423" s="8">
        <f t="shared" si="48"/>
        <v>0</v>
      </c>
      <c r="U423" s="8">
        <f t="shared" si="48"/>
        <v>0</v>
      </c>
      <c r="V423" s="8">
        <f t="shared" si="48"/>
        <v>45000</v>
      </c>
    </row>
    <row r="424" spans="1:22" x14ac:dyDescent="0.35">
      <c r="A424" s="25" t="s">
        <v>254</v>
      </c>
      <c r="B424" s="26">
        <v>2016</v>
      </c>
      <c r="C424" s="25" t="s">
        <v>328</v>
      </c>
      <c r="D424" s="27" t="s">
        <v>99</v>
      </c>
      <c r="E424" s="4" t="s">
        <v>100</v>
      </c>
      <c r="F424" s="4" t="s">
        <v>219</v>
      </c>
      <c r="G424" s="8"/>
      <c r="H424" s="8"/>
      <c r="I424" s="8"/>
      <c r="J424" s="8"/>
      <c r="K424" s="28">
        <v>27000</v>
      </c>
      <c r="M424" s="4">
        <v>15</v>
      </c>
      <c r="N424" s="8">
        <f t="shared" si="45"/>
        <v>27000</v>
      </c>
      <c r="O424" s="47" cm="1">
        <f t="array" ref="O424">_xlfn.IFNA(YEAR(INDEX($G$5:$K$5,,MATCH(1,G424:K424,-1))),"")</f>
        <v>2031</v>
      </c>
      <c r="R424" s="8">
        <f t="shared" si="48"/>
        <v>0</v>
      </c>
      <c r="S424" s="8">
        <f t="shared" si="48"/>
        <v>0</v>
      </c>
      <c r="T424" s="8">
        <f t="shared" si="48"/>
        <v>0</v>
      </c>
      <c r="U424" s="8">
        <f t="shared" si="48"/>
        <v>0</v>
      </c>
      <c r="V424" s="8">
        <f t="shared" si="48"/>
        <v>27000</v>
      </c>
    </row>
    <row r="425" spans="1:22" x14ac:dyDescent="0.35">
      <c r="A425" s="25" t="s">
        <v>109</v>
      </c>
      <c r="B425" s="26">
        <v>2016</v>
      </c>
      <c r="C425" s="25" t="s">
        <v>329</v>
      </c>
      <c r="D425" s="27" t="s">
        <v>99</v>
      </c>
      <c r="E425" s="4" t="s">
        <v>100</v>
      </c>
      <c r="F425" s="4" t="s">
        <v>219</v>
      </c>
      <c r="G425" s="8"/>
      <c r="H425" s="8"/>
      <c r="I425" s="8"/>
      <c r="J425" s="8"/>
      <c r="K425" s="28">
        <v>27000</v>
      </c>
      <c r="M425" s="4">
        <v>15</v>
      </c>
      <c r="N425" s="8">
        <f t="shared" si="45"/>
        <v>27000</v>
      </c>
      <c r="O425" s="47" cm="1">
        <f t="array" ref="O425">_xlfn.IFNA(YEAR(INDEX($G$5:$K$5,,MATCH(1,G425:K425,-1))),"")</f>
        <v>2031</v>
      </c>
      <c r="R425" s="8">
        <f t="shared" si="48"/>
        <v>0</v>
      </c>
      <c r="S425" s="8">
        <f t="shared" si="48"/>
        <v>0</v>
      </c>
      <c r="T425" s="8">
        <f t="shared" si="48"/>
        <v>0</v>
      </c>
      <c r="U425" s="8">
        <f t="shared" si="48"/>
        <v>0</v>
      </c>
      <c r="V425" s="8">
        <f t="shared" si="48"/>
        <v>27000</v>
      </c>
    </row>
    <row r="426" spans="1:22" x14ac:dyDescent="0.35">
      <c r="A426" s="25" t="s">
        <v>109</v>
      </c>
      <c r="B426" s="26">
        <v>2017</v>
      </c>
      <c r="C426" s="25" t="s">
        <v>330</v>
      </c>
      <c r="D426" s="27" t="s">
        <v>99</v>
      </c>
      <c r="E426" s="4" t="s">
        <v>100</v>
      </c>
      <c r="F426" s="4" t="s">
        <v>219</v>
      </c>
      <c r="G426" s="8"/>
      <c r="H426" s="8"/>
      <c r="I426" s="8"/>
      <c r="J426" s="8"/>
      <c r="K426" s="28">
        <v>32000</v>
      </c>
      <c r="M426" s="4">
        <v>15</v>
      </c>
      <c r="N426" s="8">
        <f t="shared" si="45"/>
        <v>32000</v>
      </c>
      <c r="O426" s="47" cm="1">
        <f t="array" ref="O426">_xlfn.IFNA(YEAR(INDEX($G$5:$K$5,,MATCH(1,G426:K426,-1))),"")</f>
        <v>2031</v>
      </c>
      <c r="R426" s="8">
        <f t="shared" ref="R426:V435" si="49">IF($O426="",0,IF(MOD(YEAR(R$5)-$O426,$M426)=0,$N426,0))</f>
        <v>0</v>
      </c>
      <c r="S426" s="8">
        <f t="shared" si="49"/>
        <v>0</v>
      </c>
      <c r="T426" s="8">
        <f t="shared" si="49"/>
        <v>0</v>
      </c>
      <c r="U426" s="8">
        <f t="shared" si="49"/>
        <v>0</v>
      </c>
      <c r="V426" s="8">
        <f t="shared" si="49"/>
        <v>32000</v>
      </c>
    </row>
    <row r="427" spans="1:22" x14ac:dyDescent="0.35">
      <c r="A427" s="25" t="s">
        <v>254</v>
      </c>
      <c r="B427" s="26">
        <v>2017</v>
      </c>
      <c r="C427" s="25" t="s">
        <v>274</v>
      </c>
      <c r="D427" s="27" t="s">
        <v>99</v>
      </c>
      <c r="E427" s="4" t="s">
        <v>100</v>
      </c>
      <c r="F427" s="4" t="s">
        <v>219</v>
      </c>
      <c r="G427" s="8"/>
      <c r="H427" s="8"/>
      <c r="I427" s="8"/>
      <c r="J427" s="8"/>
      <c r="K427" s="28">
        <v>27000</v>
      </c>
      <c r="M427" s="4">
        <v>15</v>
      </c>
      <c r="N427" s="8">
        <f t="shared" si="45"/>
        <v>27000</v>
      </c>
      <c r="O427" s="47" cm="1">
        <f t="array" ref="O427">_xlfn.IFNA(YEAR(INDEX($G$5:$K$5,,MATCH(1,G427:K427,-1))),"")</f>
        <v>2031</v>
      </c>
      <c r="R427" s="8">
        <f t="shared" si="49"/>
        <v>0</v>
      </c>
      <c r="S427" s="8">
        <f t="shared" si="49"/>
        <v>0</v>
      </c>
      <c r="T427" s="8">
        <f t="shared" si="49"/>
        <v>0</v>
      </c>
      <c r="U427" s="8">
        <f t="shared" si="49"/>
        <v>0</v>
      </c>
      <c r="V427" s="8">
        <f t="shared" si="49"/>
        <v>27000</v>
      </c>
    </row>
    <row r="428" spans="1:22" x14ac:dyDescent="0.35">
      <c r="A428" s="25" t="s">
        <v>254</v>
      </c>
      <c r="B428" s="26">
        <v>2017</v>
      </c>
      <c r="C428" s="25" t="s">
        <v>274</v>
      </c>
      <c r="D428" s="27" t="s">
        <v>99</v>
      </c>
      <c r="E428" s="4" t="s">
        <v>100</v>
      </c>
      <c r="F428" s="4" t="s">
        <v>219</v>
      </c>
      <c r="G428" s="8"/>
      <c r="H428" s="8"/>
      <c r="I428" s="8"/>
      <c r="J428" s="8"/>
      <c r="K428" s="28">
        <v>27000</v>
      </c>
      <c r="M428" s="4">
        <v>15</v>
      </c>
      <c r="N428" s="8">
        <f t="shared" si="45"/>
        <v>27000</v>
      </c>
      <c r="O428" s="47" cm="1">
        <f t="array" ref="O428">_xlfn.IFNA(YEAR(INDEX($G$5:$K$5,,MATCH(1,G428:K428,-1))),"")</f>
        <v>2031</v>
      </c>
      <c r="R428" s="8">
        <f t="shared" si="49"/>
        <v>0</v>
      </c>
      <c r="S428" s="8">
        <f t="shared" si="49"/>
        <v>0</v>
      </c>
      <c r="T428" s="8">
        <f t="shared" si="49"/>
        <v>0</v>
      </c>
      <c r="U428" s="8">
        <f t="shared" si="49"/>
        <v>0</v>
      </c>
      <c r="V428" s="8">
        <f t="shared" si="49"/>
        <v>27000</v>
      </c>
    </row>
    <row r="429" spans="1:22" x14ac:dyDescent="0.35">
      <c r="A429" s="25" t="s">
        <v>254</v>
      </c>
      <c r="B429" s="26">
        <v>2017</v>
      </c>
      <c r="C429" s="25" t="s">
        <v>274</v>
      </c>
      <c r="D429" s="27" t="s">
        <v>99</v>
      </c>
      <c r="E429" s="4" t="s">
        <v>100</v>
      </c>
      <c r="F429" s="4" t="s">
        <v>219</v>
      </c>
      <c r="G429" s="8"/>
      <c r="H429" s="8"/>
      <c r="I429" s="8"/>
      <c r="J429" s="8"/>
      <c r="K429" s="28">
        <v>27000</v>
      </c>
      <c r="M429" s="4">
        <v>15</v>
      </c>
      <c r="N429" s="8">
        <f t="shared" si="45"/>
        <v>27000</v>
      </c>
      <c r="O429" s="47" cm="1">
        <f t="array" ref="O429">_xlfn.IFNA(YEAR(INDEX($G$5:$K$5,,MATCH(1,G429:K429,-1))),"")</f>
        <v>2031</v>
      </c>
      <c r="R429" s="8">
        <f t="shared" si="49"/>
        <v>0</v>
      </c>
      <c r="S429" s="8">
        <f t="shared" si="49"/>
        <v>0</v>
      </c>
      <c r="T429" s="8">
        <f t="shared" si="49"/>
        <v>0</v>
      </c>
      <c r="U429" s="8">
        <f t="shared" si="49"/>
        <v>0</v>
      </c>
      <c r="V429" s="8">
        <f t="shared" si="49"/>
        <v>27000</v>
      </c>
    </row>
    <row r="430" spans="1:22" x14ac:dyDescent="0.35">
      <c r="A430" s="25" t="s">
        <v>331</v>
      </c>
      <c r="B430" s="26">
        <v>2013</v>
      </c>
      <c r="C430" s="25" t="s">
        <v>332</v>
      </c>
      <c r="D430" s="27" t="s">
        <v>99</v>
      </c>
      <c r="E430" s="4" t="s">
        <v>100</v>
      </c>
      <c r="F430" s="4" t="s">
        <v>219</v>
      </c>
      <c r="G430" s="8"/>
      <c r="H430" s="8"/>
      <c r="I430" s="8"/>
      <c r="J430" s="8">
        <v>45000</v>
      </c>
      <c r="K430" s="8"/>
      <c r="M430" s="4">
        <v>15</v>
      </c>
      <c r="N430" s="8">
        <f t="shared" si="45"/>
        <v>45000</v>
      </c>
      <c r="O430" s="47" cm="1">
        <f t="array" ref="O430">_xlfn.IFNA(YEAR(INDEX($G$5:$K$5,,MATCH(1,G430:K430,-1))),"")</f>
        <v>2030</v>
      </c>
      <c r="R430" s="8">
        <f t="shared" si="49"/>
        <v>0</v>
      </c>
      <c r="S430" s="8">
        <f t="shared" si="49"/>
        <v>0</v>
      </c>
      <c r="T430" s="8">
        <f t="shared" si="49"/>
        <v>0</v>
      </c>
      <c r="U430" s="8">
        <f t="shared" si="49"/>
        <v>45000</v>
      </c>
      <c r="V430" s="8">
        <f t="shared" si="49"/>
        <v>0</v>
      </c>
    </row>
    <row r="431" spans="1:22" x14ac:dyDescent="0.35">
      <c r="A431" s="25" t="s">
        <v>93</v>
      </c>
      <c r="B431" s="26">
        <v>2009</v>
      </c>
      <c r="C431" s="25" t="s">
        <v>234</v>
      </c>
      <c r="D431" s="27" t="s">
        <v>72</v>
      </c>
      <c r="E431" s="4" t="s">
        <v>95</v>
      </c>
      <c r="F431" s="4" t="s">
        <v>219</v>
      </c>
      <c r="G431" s="8"/>
      <c r="H431" s="8"/>
      <c r="I431" s="8"/>
      <c r="J431" s="8"/>
      <c r="K431" s="28">
        <v>200000</v>
      </c>
      <c r="M431" s="4">
        <v>20</v>
      </c>
      <c r="N431" s="8">
        <f t="shared" si="45"/>
        <v>200000</v>
      </c>
      <c r="O431" s="47" cm="1">
        <f t="array" ref="O431">_xlfn.IFNA(YEAR(INDEX($G$5:$K$5,,MATCH(1,G431:K431,-1))),"")</f>
        <v>2031</v>
      </c>
      <c r="R431" s="8">
        <f t="shared" si="49"/>
        <v>0</v>
      </c>
      <c r="S431" s="8">
        <f t="shared" si="49"/>
        <v>0</v>
      </c>
      <c r="T431" s="8">
        <f t="shared" si="49"/>
        <v>0</v>
      </c>
      <c r="U431" s="8">
        <f t="shared" si="49"/>
        <v>0</v>
      </c>
      <c r="V431" s="8">
        <f t="shared" si="49"/>
        <v>200000</v>
      </c>
    </row>
    <row r="432" spans="1:22" x14ac:dyDescent="0.35">
      <c r="A432" s="25" t="s">
        <v>333</v>
      </c>
      <c r="B432" s="26">
        <v>2001</v>
      </c>
      <c r="C432" s="25" t="s">
        <v>334</v>
      </c>
      <c r="D432" s="27" t="s">
        <v>99</v>
      </c>
      <c r="E432" s="4" t="s">
        <v>95</v>
      </c>
      <c r="F432" s="4" t="s">
        <v>219</v>
      </c>
      <c r="G432" s="8"/>
      <c r="H432" s="8"/>
      <c r="I432" s="8"/>
      <c r="J432" s="8"/>
      <c r="K432" s="28">
        <v>85000</v>
      </c>
      <c r="M432" s="4">
        <v>10</v>
      </c>
      <c r="N432" s="8">
        <f t="shared" si="45"/>
        <v>85000</v>
      </c>
      <c r="O432" s="47" cm="1">
        <f t="array" ref="O432">_xlfn.IFNA(YEAR(INDEX($G$5:$K$5,,MATCH(1,G432:K432,-1))),"")</f>
        <v>2031</v>
      </c>
      <c r="R432" s="8">
        <f t="shared" si="49"/>
        <v>0</v>
      </c>
      <c r="S432" s="8">
        <f t="shared" si="49"/>
        <v>0</v>
      </c>
      <c r="T432" s="8">
        <f t="shared" si="49"/>
        <v>0</v>
      </c>
      <c r="U432" s="8">
        <f t="shared" si="49"/>
        <v>0</v>
      </c>
      <c r="V432" s="8">
        <f t="shared" si="49"/>
        <v>85000</v>
      </c>
    </row>
    <row r="433" spans="1:22" x14ac:dyDescent="0.35">
      <c r="A433" s="25" t="s">
        <v>223</v>
      </c>
      <c r="B433" s="26">
        <v>2011</v>
      </c>
      <c r="C433" s="25" t="s">
        <v>224</v>
      </c>
      <c r="D433" s="27" t="s">
        <v>74</v>
      </c>
      <c r="E433" s="4" t="s">
        <v>95</v>
      </c>
      <c r="F433" s="4" t="s">
        <v>219</v>
      </c>
      <c r="G433" s="8"/>
      <c r="H433" s="8"/>
      <c r="I433" s="8"/>
      <c r="J433" s="8"/>
      <c r="K433" s="28">
        <v>45000</v>
      </c>
      <c r="M433" s="4">
        <v>4</v>
      </c>
      <c r="N433" s="8">
        <f t="shared" si="45"/>
        <v>45000</v>
      </c>
      <c r="O433" s="47" cm="1">
        <f t="array" ref="O433">_xlfn.IFNA(YEAR(INDEX($G$5:$K$5,,MATCH(1,G433:K433,-1))),"")</f>
        <v>2031</v>
      </c>
      <c r="R433" s="8">
        <f t="shared" si="49"/>
        <v>45000</v>
      </c>
      <c r="S433" s="8">
        <f t="shared" si="49"/>
        <v>0</v>
      </c>
      <c r="T433" s="8">
        <f t="shared" si="49"/>
        <v>0</v>
      </c>
      <c r="U433" s="8">
        <f t="shared" si="49"/>
        <v>0</v>
      </c>
      <c r="V433" s="8">
        <f t="shared" si="49"/>
        <v>45000</v>
      </c>
    </row>
    <row r="434" spans="1:22" x14ac:dyDescent="0.35">
      <c r="A434" s="25" t="s">
        <v>93</v>
      </c>
      <c r="B434" s="26">
        <v>2011</v>
      </c>
      <c r="C434" s="25" t="s">
        <v>267</v>
      </c>
      <c r="D434" s="27" t="s">
        <v>22</v>
      </c>
      <c r="E434" s="4" t="s">
        <v>95</v>
      </c>
      <c r="F434" s="4" t="s">
        <v>219</v>
      </c>
      <c r="G434" s="8"/>
      <c r="H434" s="8"/>
      <c r="I434" s="8"/>
      <c r="J434" s="8"/>
      <c r="K434" s="28">
        <v>625000</v>
      </c>
      <c r="M434" s="4">
        <v>15</v>
      </c>
      <c r="N434" s="8">
        <f t="shared" si="45"/>
        <v>625000</v>
      </c>
      <c r="O434" s="47" cm="1">
        <f t="array" ref="O434">_xlfn.IFNA(YEAR(INDEX($G$5:$K$5,,MATCH(1,G434:K434,-1))),"")</f>
        <v>2031</v>
      </c>
      <c r="R434" s="8">
        <f t="shared" si="49"/>
        <v>0</v>
      </c>
      <c r="S434" s="8">
        <f t="shared" si="49"/>
        <v>0</v>
      </c>
      <c r="T434" s="8">
        <f t="shared" si="49"/>
        <v>0</v>
      </c>
      <c r="U434" s="8">
        <f t="shared" si="49"/>
        <v>0</v>
      </c>
      <c r="V434" s="8">
        <f t="shared" si="49"/>
        <v>625000</v>
      </c>
    </row>
    <row r="435" spans="1:22" x14ac:dyDescent="0.35">
      <c r="A435" s="25" t="s">
        <v>223</v>
      </c>
      <c r="B435" s="26">
        <v>2012</v>
      </c>
      <c r="C435" s="25" t="s">
        <v>224</v>
      </c>
      <c r="D435" s="27" t="s">
        <v>74</v>
      </c>
      <c r="E435" s="4" t="s">
        <v>95</v>
      </c>
      <c r="F435" s="4" t="s">
        <v>219</v>
      </c>
      <c r="G435" s="8"/>
      <c r="H435" s="8"/>
      <c r="I435" s="8"/>
      <c r="J435" s="8"/>
      <c r="K435" s="28">
        <v>45000</v>
      </c>
      <c r="M435" s="4">
        <v>4</v>
      </c>
      <c r="N435" s="8">
        <f t="shared" si="45"/>
        <v>45000</v>
      </c>
      <c r="O435" s="47" cm="1">
        <f t="array" ref="O435">_xlfn.IFNA(YEAR(INDEX($G$5:$K$5,,MATCH(1,G435:K435,-1))),"")</f>
        <v>2031</v>
      </c>
      <c r="R435" s="8">
        <f t="shared" si="49"/>
        <v>45000</v>
      </c>
      <c r="S435" s="8">
        <f t="shared" si="49"/>
        <v>0</v>
      </c>
      <c r="T435" s="8">
        <f t="shared" si="49"/>
        <v>0</v>
      </c>
      <c r="U435" s="8">
        <f t="shared" si="49"/>
        <v>0</v>
      </c>
      <c r="V435" s="8">
        <f t="shared" si="49"/>
        <v>45000</v>
      </c>
    </row>
    <row r="436" spans="1:22" x14ac:dyDescent="0.35">
      <c r="A436" s="25" t="s">
        <v>93</v>
      </c>
      <c r="B436" s="26">
        <v>2016</v>
      </c>
      <c r="C436" s="25" t="s">
        <v>335</v>
      </c>
      <c r="D436" s="27" t="s">
        <v>72</v>
      </c>
      <c r="E436" s="4" t="s">
        <v>95</v>
      </c>
      <c r="F436" s="4" t="s">
        <v>219</v>
      </c>
      <c r="G436" s="8">
        <v>240000</v>
      </c>
      <c r="H436" s="8"/>
      <c r="I436" s="8"/>
      <c r="J436" s="8"/>
      <c r="K436" s="8"/>
      <c r="M436" s="4">
        <v>10</v>
      </c>
      <c r="N436" s="8">
        <f t="shared" si="45"/>
        <v>240000</v>
      </c>
      <c r="O436" s="47" cm="1">
        <f t="array" ref="O436">_xlfn.IFNA(YEAR(INDEX($G$5:$K$5,,MATCH(1,G436:K436,-1))),"")</f>
        <v>2027</v>
      </c>
      <c r="R436" s="8">
        <f t="shared" ref="R436:V445" si="50">IF($O436="",0,IF(MOD(YEAR(R$5)-$O436,$M436)=0,$N436,0))</f>
        <v>240000</v>
      </c>
      <c r="S436" s="8">
        <f t="shared" si="50"/>
        <v>0</v>
      </c>
      <c r="T436" s="8">
        <f t="shared" si="50"/>
        <v>0</v>
      </c>
      <c r="U436" s="8">
        <f t="shared" si="50"/>
        <v>0</v>
      </c>
      <c r="V436" s="8">
        <f t="shared" si="50"/>
        <v>0</v>
      </c>
    </row>
    <row r="437" spans="1:22" x14ac:dyDescent="0.35">
      <c r="A437" s="25" t="s">
        <v>254</v>
      </c>
      <c r="B437" s="26">
        <v>2017</v>
      </c>
      <c r="C437" s="25" t="s">
        <v>336</v>
      </c>
      <c r="D437" s="27" t="s">
        <v>99</v>
      </c>
      <c r="E437" s="4" t="s">
        <v>100</v>
      </c>
      <c r="F437" s="4" t="s">
        <v>219</v>
      </c>
      <c r="G437" s="8"/>
      <c r="H437" s="8"/>
      <c r="I437" s="8"/>
      <c r="J437" s="8"/>
      <c r="K437" s="28">
        <v>27000</v>
      </c>
      <c r="M437" s="4">
        <v>15</v>
      </c>
      <c r="N437" s="8">
        <f t="shared" si="45"/>
        <v>27000</v>
      </c>
      <c r="O437" s="47" cm="1">
        <f t="array" ref="O437">_xlfn.IFNA(YEAR(INDEX($G$5:$K$5,,MATCH(1,G437:K437,-1))),"")</f>
        <v>2031</v>
      </c>
      <c r="R437" s="8">
        <f t="shared" si="50"/>
        <v>0</v>
      </c>
      <c r="S437" s="8">
        <f t="shared" si="50"/>
        <v>0</v>
      </c>
      <c r="T437" s="8">
        <f t="shared" si="50"/>
        <v>0</v>
      </c>
      <c r="U437" s="8">
        <f t="shared" si="50"/>
        <v>0</v>
      </c>
      <c r="V437" s="8">
        <f t="shared" si="50"/>
        <v>27000</v>
      </c>
    </row>
    <row r="438" spans="1:22" x14ac:dyDescent="0.35">
      <c r="A438" s="25" t="s">
        <v>223</v>
      </c>
      <c r="B438" s="26">
        <v>2015</v>
      </c>
      <c r="C438" s="25" t="s">
        <v>337</v>
      </c>
      <c r="D438" s="27" t="s">
        <v>99</v>
      </c>
      <c r="E438" s="4" t="s">
        <v>95</v>
      </c>
      <c r="F438" s="4" t="s">
        <v>219</v>
      </c>
      <c r="G438" s="8"/>
      <c r="H438" s="8"/>
      <c r="I438" s="8"/>
      <c r="J438" s="8"/>
      <c r="K438" s="8">
        <v>65000</v>
      </c>
      <c r="M438" s="4">
        <v>6</v>
      </c>
      <c r="N438" s="8">
        <f t="shared" si="45"/>
        <v>65000</v>
      </c>
      <c r="O438" s="47" cm="1">
        <f t="array" ref="O438">_xlfn.IFNA(YEAR(INDEX($G$5:$K$5,,MATCH(1,G438:K438,-1))),"")</f>
        <v>2031</v>
      </c>
      <c r="R438" s="8">
        <f t="shared" si="50"/>
        <v>0</v>
      </c>
      <c r="S438" s="8">
        <f t="shared" si="50"/>
        <v>0</v>
      </c>
      <c r="T438" s="8">
        <f t="shared" si="50"/>
        <v>0</v>
      </c>
      <c r="U438" s="8">
        <f t="shared" si="50"/>
        <v>0</v>
      </c>
      <c r="V438" s="8">
        <f t="shared" si="50"/>
        <v>65000</v>
      </c>
    </row>
    <row r="439" spans="1:22" x14ac:dyDescent="0.35">
      <c r="A439" s="25" t="s">
        <v>93</v>
      </c>
      <c r="B439" s="26">
        <v>2015</v>
      </c>
      <c r="C439" s="25" t="s">
        <v>338</v>
      </c>
      <c r="D439" s="27" t="s">
        <v>99</v>
      </c>
      <c r="E439" s="4" t="s">
        <v>95</v>
      </c>
      <c r="F439" s="4" t="s">
        <v>219</v>
      </c>
      <c r="G439" s="8"/>
      <c r="H439" s="8"/>
      <c r="I439" s="8"/>
      <c r="J439" s="8"/>
      <c r="K439" s="8">
        <v>65000</v>
      </c>
      <c r="M439" s="4">
        <v>6</v>
      </c>
      <c r="N439" s="8">
        <f t="shared" si="45"/>
        <v>65000</v>
      </c>
      <c r="O439" s="47" cm="1">
        <f t="array" ref="O439">_xlfn.IFNA(YEAR(INDEX($G$5:$K$5,,MATCH(1,G439:K439,-1))),"")</f>
        <v>2031</v>
      </c>
      <c r="R439" s="8">
        <f t="shared" si="50"/>
        <v>0</v>
      </c>
      <c r="S439" s="8">
        <f t="shared" si="50"/>
        <v>0</v>
      </c>
      <c r="T439" s="8">
        <f t="shared" si="50"/>
        <v>0</v>
      </c>
      <c r="U439" s="8">
        <f t="shared" si="50"/>
        <v>0</v>
      </c>
      <c r="V439" s="8">
        <f t="shared" si="50"/>
        <v>65000</v>
      </c>
    </row>
    <row r="440" spans="1:22" x14ac:dyDescent="0.35">
      <c r="A440" s="25" t="s">
        <v>93</v>
      </c>
      <c r="B440" s="26">
        <v>2015</v>
      </c>
      <c r="C440" s="25" t="s">
        <v>338</v>
      </c>
      <c r="D440" s="27" t="s">
        <v>99</v>
      </c>
      <c r="E440" s="4" t="s">
        <v>95</v>
      </c>
      <c r="F440" s="4" t="s">
        <v>219</v>
      </c>
      <c r="G440" s="8"/>
      <c r="H440" s="8"/>
      <c r="I440" s="8"/>
      <c r="J440" s="8"/>
      <c r="K440" s="8">
        <v>65000</v>
      </c>
      <c r="M440" s="4">
        <v>6</v>
      </c>
      <c r="N440" s="8">
        <f t="shared" si="45"/>
        <v>65000</v>
      </c>
      <c r="O440" s="47" cm="1">
        <f t="array" ref="O440">_xlfn.IFNA(YEAR(INDEX($G$5:$K$5,,MATCH(1,G440:K440,-1))),"")</f>
        <v>2031</v>
      </c>
      <c r="R440" s="8">
        <f t="shared" si="50"/>
        <v>0</v>
      </c>
      <c r="S440" s="8">
        <f t="shared" si="50"/>
        <v>0</v>
      </c>
      <c r="T440" s="8">
        <f t="shared" si="50"/>
        <v>0</v>
      </c>
      <c r="U440" s="8">
        <f t="shared" si="50"/>
        <v>0</v>
      </c>
      <c r="V440" s="8">
        <f t="shared" si="50"/>
        <v>65000</v>
      </c>
    </row>
    <row r="441" spans="1:22" x14ac:dyDescent="0.35">
      <c r="A441" s="25" t="s">
        <v>93</v>
      </c>
      <c r="B441" s="26">
        <v>2015</v>
      </c>
      <c r="C441" s="25" t="s">
        <v>338</v>
      </c>
      <c r="D441" s="27" t="s">
        <v>99</v>
      </c>
      <c r="E441" s="4" t="s">
        <v>95</v>
      </c>
      <c r="F441" s="4" t="s">
        <v>219</v>
      </c>
      <c r="G441" s="8"/>
      <c r="H441" s="8"/>
      <c r="I441" s="8"/>
      <c r="J441" s="8"/>
      <c r="K441" s="8">
        <v>65000</v>
      </c>
      <c r="M441" s="4">
        <v>6</v>
      </c>
      <c r="N441" s="8">
        <f t="shared" si="45"/>
        <v>65000</v>
      </c>
      <c r="O441" s="47" cm="1">
        <f t="array" ref="O441">_xlfn.IFNA(YEAR(INDEX($G$5:$K$5,,MATCH(1,G441:K441,-1))),"")</f>
        <v>2031</v>
      </c>
      <c r="R441" s="8">
        <f t="shared" si="50"/>
        <v>0</v>
      </c>
      <c r="S441" s="8">
        <f t="shared" si="50"/>
        <v>0</v>
      </c>
      <c r="T441" s="8">
        <f t="shared" si="50"/>
        <v>0</v>
      </c>
      <c r="U441" s="8">
        <f t="shared" si="50"/>
        <v>0</v>
      </c>
      <c r="V441" s="8">
        <f t="shared" si="50"/>
        <v>65000</v>
      </c>
    </row>
    <row r="442" spans="1:22" x14ac:dyDescent="0.35">
      <c r="A442" s="25" t="s">
        <v>93</v>
      </c>
      <c r="B442" s="26">
        <v>2015</v>
      </c>
      <c r="C442" s="25" t="s">
        <v>338</v>
      </c>
      <c r="D442" s="27" t="s">
        <v>99</v>
      </c>
      <c r="E442" s="4" t="s">
        <v>95</v>
      </c>
      <c r="F442" s="4" t="s">
        <v>219</v>
      </c>
      <c r="G442" s="8"/>
      <c r="H442" s="8"/>
      <c r="I442" s="8"/>
      <c r="J442" s="8"/>
      <c r="K442" s="8">
        <v>65000</v>
      </c>
      <c r="M442" s="4">
        <v>6</v>
      </c>
      <c r="N442" s="8">
        <f t="shared" si="45"/>
        <v>65000</v>
      </c>
      <c r="O442" s="47" cm="1">
        <f t="array" ref="O442">_xlfn.IFNA(YEAR(INDEX($G$5:$K$5,,MATCH(1,G442:K442,-1))),"")</f>
        <v>2031</v>
      </c>
      <c r="R442" s="8">
        <f t="shared" si="50"/>
        <v>0</v>
      </c>
      <c r="S442" s="8">
        <f t="shared" si="50"/>
        <v>0</v>
      </c>
      <c r="T442" s="8">
        <f t="shared" si="50"/>
        <v>0</v>
      </c>
      <c r="U442" s="8">
        <f t="shared" si="50"/>
        <v>0</v>
      </c>
      <c r="V442" s="8">
        <f t="shared" si="50"/>
        <v>65000</v>
      </c>
    </row>
    <row r="443" spans="1:22" x14ac:dyDescent="0.35">
      <c r="A443" s="25" t="s">
        <v>93</v>
      </c>
      <c r="B443" s="26">
        <v>2016</v>
      </c>
      <c r="C443" s="25" t="s">
        <v>338</v>
      </c>
      <c r="D443" s="27" t="s">
        <v>99</v>
      </c>
      <c r="E443" s="4" t="s">
        <v>95</v>
      </c>
      <c r="F443" s="4" t="s">
        <v>219</v>
      </c>
      <c r="G443" s="8">
        <v>65000</v>
      </c>
      <c r="H443" s="8"/>
      <c r="I443" s="8"/>
      <c r="J443" s="8"/>
      <c r="K443" s="8"/>
      <c r="M443" s="4">
        <v>6</v>
      </c>
      <c r="N443" s="8">
        <f t="shared" si="45"/>
        <v>65000</v>
      </c>
      <c r="O443" s="47" cm="1">
        <f t="array" ref="O443">_xlfn.IFNA(YEAR(INDEX($G$5:$K$5,,MATCH(1,G443:K443,-1))),"")</f>
        <v>2027</v>
      </c>
      <c r="R443" s="8">
        <f t="shared" si="50"/>
        <v>65000</v>
      </c>
      <c r="S443" s="8">
        <f t="shared" si="50"/>
        <v>0</v>
      </c>
      <c r="T443" s="8">
        <f t="shared" si="50"/>
        <v>0</v>
      </c>
      <c r="U443" s="8">
        <f t="shared" si="50"/>
        <v>0</v>
      </c>
      <c r="V443" s="8">
        <f t="shared" si="50"/>
        <v>0</v>
      </c>
    </row>
    <row r="444" spans="1:22" x14ac:dyDescent="0.35">
      <c r="A444" s="25" t="s">
        <v>93</v>
      </c>
      <c r="B444" s="26">
        <v>2016</v>
      </c>
      <c r="C444" s="25" t="s">
        <v>338</v>
      </c>
      <c r="D444" s="27" t="s">
        <v>99</v>
      </c>
      <c r="E444" s="4" t="s">
        <v>95</v>
      </c>
      <c r="F444" s="4" t="s">
        <v>219</v>
      </c>
      <c r="G444" s="8">
        <v>65000</v>
      </c>
      <c r="H444" s="8"/>
      <c r="I444" s="8"/>
      <c r="J444" s="8"/>
      <c r="K444" s="8"/>
      <c r="M444" s="4">
        <v>6</v>
      </c>
      <c r="N444" s="8">
        <f t="shared" si="45"/>
        <v>65000</v>
      </c>
      <c r="O444" s="47" cm="1">
        <f t="array" ref="O444">_xlfn.IFNA(YEAR(INDEX($G$5:$K$5,,MATCH(1,G444:K444,-1))),"")</f>
        <v>2027</v>
      </c>
      <c r="R444" s="8">
        <f t="shared" si="50"/>
        <v>65000</v>
      </c>
      <c r="S444" s="8">
        <f t="shared" si="50"/>
        <v>0</v>
      </c>
      <c r="T444" s="8">
        <f t="shared" si="50"/>
        <v>0</v>
      </c>
      <c r="U444" s="8">
        <f t="shared" si="50"/>
        <v>0</v>
      </c>
      <c r="V444" s="8">
        <f t="shared" si="50"/>
        <v>0</v>
      </c>
    </row>
    <row r="445" spans="1:22" x14ac:dyDescent="0.35">
      <c r="A445" s="25" t="s">
        <v>93</v>
      </c>
      <c r="B445" s="26">
        <v>2016</v>
      </c>
      <c r="C445" s="25" t="s">
        <v>338</v>
      </c>
      <c r="D445" s="27" t="s">
        <v>99</v>
      </c>
      <c r="E445" s="4" t="s">
        <v>95</v>
      </c>
      <c r="F445" s="4" t="s">
        <v>219</v>
      </c>
      <c r="G445" s="8">
        <v>65000</v>
      </c>
      <c r="H445" s="8"/>
      <c r="I445" s="8"/>
      <c r="J445" s="8"/>
      <c r="K445" s="8"/>
      <c r="M445" s="4">
        <v>6</v>
      </c>
      <c r="N445" s="8">
        <f t="shared" si="45"/>
        <v>65000</v>
      </c>
      <c r="O445" s="47" cm="1">
        <f t="array" ref="O445">_xlfn.IFNA(YEAR(INDEX($G$5:$K$5,,MATCH(1,G445:K445,-1))),"")</f>
        <v>2027</v>
      </c>
      <c r="R445" s="8">
        <f t="shared" si="50"/>
        <v>65000</v>
      </c>
      <c r="S445" s="8">
        <f t="shared" si="50"/>
        <v>0</v>
      </c>
      <c r="T445" s="8">
        <f t="shared" si="50"/>
        <v>0</v>
      </c>
      <c r="U445" s="8">
        <f t="shared" si="50"/>
        <v>0</v>
      </c>
      <c r="V445" s="8">
        <f t="shared" si="50"/>
        <v>0</v>
      </c>
    </row>
    <row r="446" spans="1:22" x14ac:dyDescent="0.35">
      <c r="A446" s="25" t="s">
        <v>93</v>
      </c>
      <c r="B446" s="26">
        <v>2016</v>
      </c>
      <c r="C446" s="25" t="s">
        <v>338</v>
      </c>
      <c r="D446" s="27" t="s">
        <v>99</v>
      </c>
      <c r="E446" s="4" t="s">
        <v>95</v>
      </c>
      <c r="F446" s="4" t="s">
        <v>219</v>
      </c>
      <c r="G446" s="8">
        <v>65000</v>
      </c>
      <c r="H446" s="8"/>
      <c r="I446" s="8"/>
      <c r="J446" s="8"/>
      <c r="K446" s="8"/>
      <c r="M446" s="4">
        <v>6</v>
      </c>
      <c r="N446" s="8">
        <f t="shared" si="45"/>
        <v>65000</v>
      </c>
      <c r="O446" s="47" cm="1">
        <f t="array" ref="O446">_xlfn.IFNA(YEAR(INDEX($G$5:$K$5,,MATCH(1,G446:K446,-1))),"")</f>
        <v>2027</v>
      </c>
      <c r="R446" s="8">
        <f t="shared" ref="R446:V460" si="51">IF($O446="",0,IF(MOD(YEAR(R$5)-$O446,$M446)=0,$N446,0))</f>
        <v>65000</v>
      </c>
      <c r="S446" s="8">
        <f t="shared" si="51"/>
        <v>0</v>
      </c>
      <c r="T446" s="8">
        <f t="shared" si="51"/>
        <v>0</v>
      </c>
      <c r="U446" s="8">
        <f t="shared" si="51"/>
        <v>0</v>
      </c>
      <c r="V446" s="8">
        <f t="shared" si="51"/>
        <v>0</v>
      </c>
    </row>
    <row r="447" spans="1:22" x14ac:dyDescent="0.35">
      <c r="A447" s="25" t="s">
        <v>93</v>
      </c>
      <c r="B447" s="26">
        <v>2016</v>
      </c>
      <c r="C447" s="25" t="s">
        <v>338</v>
      </c>
      <c r="D447" s="27" t="s">
        <v>99</v>
      </c>
      <c r="E447" s="4" t="s">
        <v>95</v>
      </c>
      <c r="F447" s="4" t="s">
        <v>219</v>
      </c>
      <c r="G447" s="8">
        <v>65000</v>
      </c>
      <c r="H447" s="8"/>
      <c r="I447" s="8"/>
      <c r="J447" s="8"/>
      <c r="K447" s="8"/>
      <c r="M447" s="4">
        <v>6</v>
      </c>
      <c r="N447" s="8">
        <f t="shared" si="45"/>
        <v>65000</v>
      </c>
      <c r="O447" s="47" cm="1">
        <f t="array" ref="O447">_xlfn.IFNA(YEAR(INDEX($G$5:$K$5,,MATCH(1,G447:K447,-1))),"")</f>
        <v>2027</v>
      </c>
      <c r="R447" s="8">
        <f t="shared" si="51"/>
        <v>65000</v>
      </c>
      <c r="S447" s="8">
        <f t="shared" si="51"/>
        <v>0</v>
      </c>
      <c r="T447" s="8">
        <f t="shared" si="51"/>
        <v>0</v>
      </c>
      <c r="U447" s="8">
        <f t="shared" si="51"/>
        <v>0</v>
      </c>
      <c r="V447" s="8">
        <f t="shared" si="51"/>
        <v>0</v>
      </c>
    </row>
    <row r="448" spans="1:22" x14ac:dyDescent="0.35">
      <c r="A448" s="25" t="s">
        <v>93</v>
      </c>
      <c r="B448" s="26">
        <v>2016</v>
      </c>
      <c r="C448" s="25" t="s">
        <v>338</v>
      </c>
      <c r="D448" s="27" t="s">
        <v>99</v>
      </c>
      <c r="E448" s="4" t="s">
        <v>95</v>
      </c>
      <c r="F448" s="4" t="s">
        <v>219</v>
      </c>
      <c r="G448" s="8">
        <v>65000</v>
      </c>
      <c r="H448" s="8"/>
      <c r="I448" s="8"/>
      <c r="J448" s="8"/>
      <c r="K448" s="8"/>
      <c r="M448" s="4">
        <v>6</v>
      </c>
      <c r="N448" s="8">
        <f t="shared" si="45"/>
        <v>65000</v>
      </c>
      <c r="O448" s="47" cm="1">
        <f t="array" ref="O448">_xlfn.IFNA(YEAR(INDEX($G$5:$K$5,,MATCH(1,G448:K448,-1))),"")</f>
        <v>2027</v>
      </c>
      <c r="R448" s="8">
        <f t="shared" si="51"/>
        <v>65000</v>
      </c>
      <c r="S448" s="8">
        <f t="shared" si="51"/>
        <v>0</v>
      </c>
      <c r="T448" s="8">
        <f t="shared" si="51"/>
        <v>0</v>
      </c>
      <c r="U448" s="8">
        <f t="shared" si="51"/>
        <v>0</v>
      </c>
      <c r="V448" s="8">
        <f t="shared" si="51"/>
        <v>0</v>
      </c>
    </row>
    <row r="449" spans="1:22" x14ac:dyDescent="0.35">
      <c r="A449" s="25" t="s">
        <v>93</v>
      </c>
      <c r="B449" s="26">
        <v>2012</v>
      </c>
      <c r="C449" s="25" t="s">
        <v>339</v>
      </c>
      <c r="D449" s="27" t="s">
        <v>72</v>
      </c>
      <c r="E449" s="4" t="s">
        <v>95</v>
      </c>
      <c r="F449" s="4" t="s">
        <v>219</v>
      </c>
      <c r="G449" s="8"/>
      <c r="H449" s="8"/>
      <c r="I449" s="8"/>
      <c r="J449" s="8"/>
      <c r="K449" s="28">
        <v>200000</v>
      </c>
      <c r="M449" s="4">
        <v>6</v>
      </c>
      <c r="N449" s="8">
        <f t="shared" si="45"/>
        <v>200000</v>
      </c>
      <c r="O449" s="47" cm="1">
        <f t="array" ref="O449">_xlfn.IFNA(YEAR(INDEX($G$5:$K$5,,MATCH(1,G449:K449,-1))),"")</f>
        <v>2031</v>
      </c>
      <c r="R449" s="8">
        <f t="shared" si="51"/>
        <v>0</v>
      </c>
      <c r="S449" s="8">
        <f t="shared" si="51"/>
        <v>0</v>
      </c>
      <c r="T449" s="8">
        <f t="shared" si="51"/>
        <v>0</v>
      </c>
      <c r="U449" s="8">
        <f t="shared" si="51"/>
        <v>0</v>
      </c>
      <c r="V449" s="8">
        <f t="shared" si="51"/>
        <v>200000</v>
      </c>
    </row>
    <row r="450" spans="1:22" x14ac:dyDescent="0.35">
      <c r="A450" s="25" t="s">
        <v>117</v>
      </c>
      <c r="B450" s="26">
        <v>2014</v>
      </c>
      <c r="C450" s="25" t="s">
        <v>340</v>
      </c>
      <c r="D450" s="27" t="s">
        <v>99</v>
      </c>
      <c r="E450" s="4" t="s">
        <v>95</v>
      </c>
      <c r="F450" s="4" t="s">
        <v>219</v>
      </c>
      <c r="G450" s="8"/>
      <c r="H450" s="8"/>
      <c r="I450" s="8"/>
      <c r="J450" s="8">
        <v>45000</v>
      </c>
      <c r="K450" s="8"/>
      <c r="M450" s="4">
        <v>4</v>
      </c>
      <c r="N450" s="8">
        <f t="shared" si="45"/>
        <v>45000</v>
      </c>
      <c r="O450" s="47" cm="1">
        <f t="array" ref="O450">_xlfn.IFNA(YEAR(INDEX($G$5:$K$5,,MATCH(1,G450:K450,-1))),"")</f>
        <v>2030</v>
      </c>
      <c r="R450" s="8">
        <f t="shared" si="51"/>
        <v>0</v>
      </c>
      <c r="S450" s="8">
        <f t="shared" si="51"/>
        <v>0</v>
      </c>
      <c r="T450" s="8">
        <f t="shared" si="51"/>
        <v>0</v>
      </c>
      <c r="U450" s="8">
        <f t="shared" si="51"/>
        <v>45000</v>
      </c>
      <c r="V450" s="8">
        <f t="shared" si="51"/>
        <v>0</v>
      </c>
    </row>
    <row r="451" spans="1:22" x14ac:dyDescent="0.35">
      <c r="A451" s="25" t="s">
        <v>341</v>
      </c>
      <c r="B451" s="26">
        <v>2018</v>
      </c>
      <c r="C451" s="25" t="s">
        <v>342</v>
      </c>
      <c r="D451" s="27" t="s">
        <v>99</v>
      </c>
      <c r="E451" s="4" t="s">
        <v>95</v>
      </c>
      <c r="F451" s="4" t="s">
        <v>219</v>
      </c>
      <c r="G451" s="8"/>
      <c r="H451" s="8"/>
      <c r="I451" s="8">
        <v>65000</v>
      </c>
      <c r="J451" s="8"/>
      <c r="K451" s="8"/>
      <c r="M451" s="4">
        <v>6</v>
      </c>
      <c r="N451" s="8">
        <f t="shared" si="45"/>
        <v>65000</v>
      </c>
      <c r="O451" s="47" cm="1">
        <f t="array" ref="O451">_xlfn.IFNA(YEAR(INDEX($G$5:$K$5,,MATCH(1,G451:K451,-1))),"")</f>
        <v>2029</v>
      </c>
      <c r="R451" s="8">
        <f t="shared" si="51"/>
        <v>0</v>
      </c>
      <c r="S451" s="8">
        <f t="shared" si="51"/>
        <v>0</v>
      </c>
      <c r="T451" s="8">
        <f t="shared" si="51"/>
        <v>65000</v>
      </c>
      <c r="U451" s="8">
        <f t="shared" si="51"/>
        <v>0</v>
      </c>
      <c r="V451" s="8">
        <f t="shared" si="51"/>
        <v>0</v>
      </c>
    </row>
    <row r="452" spans="1:22" x14ac:dyDescent="0.35">
      <c r="A452" s="25" t="s">
        <v>198</v>
      </c>
      <c r="B452" s="26">
        <v>2018</v>
      </c>
      <c r="C452" s="25" t="s">
        <v>342</v>
      </c>
      <c r="D452" s="27" t="s">
        <v>99</v>
      </c>
      <c r="E452" s="4" t="s">
        <v>95</v>
      </c>
      <c r="F452" s="4" t="s">
        <v>219</v>
      </c>
      <c r="G452" s="8"/>
      <c r="H452" s="8"/>
      <c r="I452" s="8">
        <v>65000</v>
      </c>
      <c r="J452" s="8"/>
      <c r="K452" s="8"/>
      <c r="M452" s="4">
        <v>6</v>
      </c>
      <c r="N452" s="8">
        <f t="shared" si="45"/>
        <v>65000</v>
      </c>
      <c r="O452" s="47" cm="1">
        <f t="array" ref="O452">_xlfn.IFNA(YEAR(INDEX($G$5:$K$5,,MATCH(1,G452:K452,-1))),"")</f>
        <v>2029</v>
      </c>
      <c r="R452" s="8">
        <f t="shared" si="51"/>
        <v>0</v>
      </c>
      <c r="S452" s="8">
        <f t="shared" si="51"/>
        <v>0</v>
      </c>
      <c r="T452" s="8">
        <f t="shared" si="51"/>
        <v>65000</v>
      </c>
      <c r="U452" s="8">
        <f t="shared" si="51"/>
        <v>0</v>
      </c>
      <c r="V452" s="8">
        <f t="shared" si="51"/>
        <v>0</v>
      </c>
    </row>
    <row r="453" spans="1:22" x14ac:dyDescent="0.35">
      <c r="A453" s="25" t="s">
        <v>198</v>
      </c>
      <c r="B453" s="26">
        <v>2018</v>
      </c>
      <c r="C453" s="25" t="s">
        <v>342</v>
      </c>
      <c r="D453" s="27" t="s">
        <v>99</v>
      </c>
      <c r="E453" s="4" t="s">
        <v>95</v>
      </c>
      <c r="F453" s="4" t="s">
        <v>219</v>
      </c>
      <c r="G453" s="8"/>
      <c r="H453" s="8"/>
      <c r="I453" s="8">
        <v>65000</v>
      </c>
      <c r="J453" s="8"/>
      <c r="K453" s="8"/>
      <c r="M453" s="4">
        <v>6</v>
      </c>
      <c r="N453" s="8">
        <f t="shared" si="45"/>
        <v>65000</v>
      </c>
      <c r="O453" s="47" cm="1">
        <f t="array" ref="O453">_xlfn.IFNA(YEAR(INDEX($G$5:$K$5,,MATCH(1,G453:K453,-1))),"")</f>
        <v>2029</v>
      </c>
      <c r="R453" s="8">
        <f t="shared" si="51"/>
        <v>0</v>
      </c>
      <c r="S453" s="8">
        <f t="shared" si="51"/>
        <v>0</v>
      </c>
      <c r="T453" s="8">
        <f t="shared" si="51"/>
        <v>65000</v>
      </c>
      <c r="U453" s="8">
        <f t="shared" si="51"/>
        <v>0</v>
      </c>
      <c r="V453" s="8">
        <f t="shared" si="51"/>
        <v>0</v>
      </c>
    </row>
    <row r="454" spans="1:22" x14ac:dyDescent="0.35">
      <c r="A454" s="25" t="s">
        <v>257</v>
      </c>
      <c r="B454" s="26">
        <v>2018</v>
      </c>
      <c r="C454" s="25" t="s">
        <v>343</v>
      </c>
      <c r="D454" s="27" t="s">
        <v>22</v>
      </c>
      <c r="E454" s="4" t="s">
        <v>95</v>
      </c>
      <c r="F454" s="4" t="s">
        <v>219</v>
      </c>
      <c r="G454" s="8"/>
      <c r="H454" s="8"/>
      <c r="I454" s="8">
        <v>450000</v>
      </c>
      <c r="J454" s="8"/>
      <c r="K454" s="8"/>
      <c r="M454" s="4">
        <v>10</v>
      </c>
      <c r="N454" s="8">
        <f t="shared" ref="N454:N460" si="52">MAX(G454:K454)</f>
        <v>450000</v>
      </c>
      <c r="O454" s="47" cm="1">
        <f t="array" ref="O454">_xlfn.IFNA(YEAR(INDEX($G$5:$K$5,,MATCH(1,G454:K454,-1))),"")</f>
        <v>2029</v>
      </c>
      <c r="R454" s="8">
        <f t="shared" si="51"/>
        <v>0</v>
      </c>
      <c r="S454" s="8">
        <f t="shared" si="51"/>
        <v>0</v>
      </c>
      <c r="T454" s="8">
        <f t="shared" si="51"/>
        <v>450000</v>
      </c>
      <c r="U454" s="8">
        <f t="shared" si="51"/>
        <v>0</v>
      </c>
      <c r="V454" s="8">
        <f t="shared" si="51"/>
        <v>0</v>
      </c>
    </row>
    <row r="455" spans="1:22" x14ac:dyDescent="0.35">
      <c r="A455" s="25" t="s">
        <v>223</v>
      </c>
      <c r="B455" s="26">
        <v>2015</v>
      </c>
      <c r="C455" s="25" t="s">
        <v>344</v>
      </c>
      <c r="D455" s="27" t="s">
        <v>99</v>
      </c>
      <c r="E455" s="4" t="s">
        <v>95</v>
      </c>
      <c r="F455" s="4" t="s">
        <v>219</v>
      </c>
      <c r="G455" s="8"/>
      <c r="H455" s="8"/>
      <c r="I455" s="8"/>
      <c r="J455" s="8">
        <v>65000</v>
      </c>
      <c r="K455" s="8"/>
      <c r="M455" s="4">
        <v>6</v>
      </c>
      <c r="N455" s="8">
        <f t="shared" si="52"/>
        <v>65000</v>
      </c>
      <c r="O455" s="47" cm="1">
        <f t="array" ref="O455">_xlfn.IFNA(YEAR(INDEX($G$5:$K$5,,MATCH(1,G455:K455,-1))),"")</f>
        <v>2030</v>
      </c>
      <c r="R455" s="8">
        <f t="shared" si="51"/>
        <v>0</v>
      </c>
      <c r="S455" s="8">
        <f t="shared" si="51"/>
        <v>0</v>
      </c>
      <c r="T455" s="8">
        <f t="shared" si="51"/>
        <v>0</v>
      </c>
      <c r="U455" s="8">
        <f t="shared" si="51"/>
        <v>65000</v>
      </c>
      <c r="V455" s="8">
        <f t="shared" si="51"/>
        <v>0</v>
      </c>
    </row>
    <row r="456" spans="1:22" x14ac:dyDescent="0.35">
      <c r="A456" s="25" t="s">
        <v>345</v>
      </c>
      <c r="B456" s="26">
        <v>2014</v>
      </c>
      <c r="C456" s="25" t="s">
        <v>346</v>
      </c>
      <c r="D456" s="27" t="s">
        <v>22</v>
      </c>
      <c r="E456" s="4" t="s">
        <v>95</v>
      </c>
      <c r="F456" s="4" t="s">
        <v>219</v>
      </c>
      <c r="G456" s="8"/>
      <c r="H456" s="8"/>
      <c r="I456" s="8"/>
      <c r="J456" s="8"/>
      <c r="K456" s="28">
        <v>625000</v>
      </c>
      <c r="M456" s="4">
        <v>15</v>
      </c>
      <c r="N456" s="8">
        <f t="shared" si="52"/>
        <v>625000</v>
      </c>
      <c r="O456" s="47" cm="1">
        <f t="array" ref="O456">_xlfn.IFNA(YEAR(INDEX($G$5:$K$5,,MATCH(1,G456:K456,-1))),"")</f>
        <v>2031</v>
      </c>
      <c r="R456" s="8">
        <f t="shared" si="51"/>
        <v>0</v>
      </c>
      <c r="S456" s="8">
        <f t="shared" si="51"/>
        <v>0</v>
      </c>
      <c r="T456" s="8">
        <f t="shared" si="51"/>
        <v>0</v>
      </c>
      <c r="U456" s="8">
        <f t="shared" si="51"/>
        <v>0</v>
      </c>
      <c r="V456" s="8">
        <f t="shared" si="51"/>
        <v>625000</v>
      </c>
    </row>
    <row r="457" spans="1:22" x14ac:dyDescent="0.35">
      <c r="A457" s="25" t="s">
        <v>109</v>
      </c>
      <c r="B457" s="26">
        <v>2015</v>
      </c>
      <c r="C457" s="25" t="s">
        <v>327</v>
      </c>
      <c r="D457" s="27" t="s">
        <v>99</v>
      </c>
      <c r="E457" s="4" t="s">
        <v>100</v>
      </c>
      <c r="F457" s="4" t="s">
        <v>219</v>
      </c>
      <c r="G457" s="8"/>
      <c r="H457" s="8"/>
      <c r="I457" s="8"/>
      <c r="J457" s="8"/>
      <c r="K457" s="8">
        <v>27000</v>
      </c>
      <c r="M457" s="4">
        <v>15</v>
      </c>
      <c r="N457" s="8">
        <f t="shared" si="52"/>
        <v>27000</v>
      </c>
      <c r="O457" s="47" cm="1">
        <f t="array" ref="O457">_xlfn.IFNA(YEAR(INDEX($G$5:$K$5,,MATCH(1,G457:K457,-1))),"")</f>
        <v>2031</v>
      </c>
      <c r="R457" s="8">
        <f t="shared" si="51"/>
        <v>0</v>
      </c>
      <c r="S457" s="8">
        <f t="shared" si="51"/>
        <v>0</v>
      </c>
      <c r="T457" s="8">
        <f t="shared" si="51"/>
        <v>0</v>
      </c>
      <c r="U457" s="8">
        <f t="shared" si="51"/>
        <v>0</v>
      </c>
      <c r="V457" s="8">
        <f t="shared" si="51"/>
        <v>27000</v>
      </c>
    </row>
    <row r="458" spans="1:22" x14ac:dyDescent="0.35">
      <c r="A458" s="25" t="s">
        <v>109</v>
      </c>
      <c r="B458" s="26">
        <v>2015</v>
      </c>
      <c r="C458" s="25" t="s">
        <v>327</v>
      </c>
      <c r="D458" s="27" t="s">
        <v>99</v>
      </c>
      <c r="E458" s="4" t="s">
        <v>100</v>
      </c>
      <c r="F458" s="4" t="s">
        <v>219</v>
      </c>
      <c r="G458" s="8"/>
      <c r="H458" s="8"/>
      <c r="I458" s="8"/>
      <c r="J458" s="8"/>
      <c r="K458" s="8">
        <v>27000</v>
      </c>
      <c r="M458" s="4">
        <v>15</v>
      </c>
      <c r="N458" s="8">
        <f t="shared" si="52"/>
        <v>27000</v>
      </c>
      <c r="O458" s="47" cm="1">
        <f t="array" ref="O458">_xlfn.IFNA(YEAR(INDEX($G$5:$K$5,,MATCH(1,G458:K458,-1))),"")</f>
        <v>2031</v>
      </c>
      <c r="R458" s="8">
        <f t="shared" si="51"/>
        <v>0</v>
      </c>
      <c r="S458" s="8">
        <f t="shared" si="51"/>
        <v>0</v>
      </c>
      <c r="T458" s="8">
        <f t="shared" si="51"/>
        <v>0</v>
      </c>
      <c r="U458" s="8">
        <f t="shared" si="51"/>
        <v>0</v>
      </c>
      <c r="V458" s="8">
        <f t="shared" si="51"/>
        <v>27000</v>
      </c>
    </row>
    <row r="459" spans="1:22" x14ac:dyDescent="0.35">
      <c r="A459" s="25" t="s">
        <v>109</v>
      </c>
      <c r="B459" s="26">
        <v>2015</v>
      </c>
      <c r="C459" s="25" t="s">
        <v>327</v>
      </c>
      <c r="D459" s="27" t="s">
        <v>99</v>
      </c>
      <c r="E459" s="4" t="s">
        <v>100</v>
      </c>
      <c r="F459" s="4" t="s">
        <v>219</v>
      </c>
      <c r="G459" s="8"/>
      <c r="H459" s="8"/>
      <c r="I459" s="8"/>
      <c r="J459" s="8"/>
      <c r="K459" s="8">
        <v>27000</v>
      </c>
      <c r="M459" s="4">
        <v>15</v>
      </c>
      <c r="N459" s="8">
        <f t="shared" si="52"/>
        <v>27000</v>
      </c>
      <c r="O459" s="47" cm="1">
        <f t="array" ref="O459">_xlfn.IFNA(YEAR(INDEX($G$5:$K$5,,MATCH(1,G459:K459,-1))),"")</f>
        <v>2031</v>
      </c>
      <c r="R459" s="8">
        <f t="shared" si="51"/>
        <v>0</v>
      </c>
      <c r="S459" s="8">
        <f t="shared" si="51"/>
        <v>0</v>
      </c>
      <c r="T459" s="8">
        <f t="shared" si="51"/>
        <v>0</v>
      </c>
      <c r="U459" s="8">
        <f t="shared" si="51"/>
        <v>0</v>
      </c>
      <c r="V459" s="8">
        <f t="shared" si="51"/>
        <v>27000</v>
      </c>
    </row>
    <row r="460" spans="1:22" x14ac:dyDescent="0.35">
      <c r="A460" s="25" t="s">
        <v>109</v>
      </c>
      <c r="B460" s="26">
        <v>2015</v>
      </c>
      <c r="C460" s="25" t="s">
        <v>327</v>
      </c>
      <c r="D460" s="27" t="s">
        <v>99</v>
      </c>
      <c r="E460" s="4" t="s">
        <v>100</v>
      </c>
      <c r="F460" s="4" t="s">
        <v>219</v>
      </c>
      <c r="G460" s="8"/>
      <c r="H460" s="8"/>
      <c r="I460" s="8"/>
      <c r="J460" s="8"/>
      <c r="K460" s="8">
        <v>27000</v>
      </c>
      <c r="M460" s="4">
        <v>15</v>
      </c>
      <c r="N460" s="8">
        <f t="shared" si="52"/>
        <v>27000</v>
      </c>
      <c r="O460" s="47" cm="1">
        <f t="array" ref="O460">_xlfn.IFNA(YEAR(INDEX($G$5:$K$5,,MATCH(1,G460:K460,-1))),"")</f>
        <v>2031</v>
      </c>
      <c r="R460" s="8">
        <f t="shared" si="51"/>
        <v>0</v>
      </c>
      <c r="S460" s="8">
        <f t="shared" si="51"/>
        <v>0</v>
      </c>
      <c r="T460" s="8">
        <f t="shared" si="51"/>
        <v>0</v>
      </c>
      <c r="U460" s="8">
        <f t="shared" si="51"/>
        <v>0</v>
      </c>
      <c r="V460" s="8">
        <f t="shared" si="51"/>
        <v>27000</v>
      </c>
    </row>
    <row r="462" spans="1:22" x14ac:dyDescent="0.35">
      <c r="F462" s="90" t="s">
        <v>347</v>
      </c>
      <c r="G462" s="30">
        <f>SUM(G6:G460)</f>
        <v>7347000</v>
      </c>
      <c r="H462" s="30">
        <f t="shared" ref="H462:K462" si="53">SUM(H6:H460)</f>
        <v>9930000</v>
      </c>
      <c r="I462" s="30">
        <f t="shared" si="53"/>
        <v>5623000</v>
      </c>
      <c r="J462" s="30">
        <f t="shared" si="53"/>
        <v>7669000</v>
      </c>
      <c r="K462" s="30">
        <f t="shared" si="53"/>
        <v>24097000</v>
      </c>
    </row>
    <row r="463" spans="1:22" x14ac:dyDescent="0.35">
      <c r="G463" s="67"/>
      <c r="H463" s="67"/>
      <c r="I463" s="67"/>
      <c r="J463" s="67"/>
      <c r="K463" s="67"/>
      <c r="L463" s="100"/>
    </row>
  </sheetData>
  <autoFilter ref="A5:O462" xr:uid="{0B0F4894-97D5-4B23-B134-60895F00086F}"/>
  <dataValidations count="1">
    <dataValidation type="list" allowBlank="1" showInputMessage="1" showErrorMessage="1" sqref="E5:E460" xr:uid="{95F6CD3B-4F97-4C7D-A0DE-7D86505DBF88}">
      <formula1>"Combustion, Hybrid, Electric, Other"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22A7D-7068-4130-A58E-5DFABB8EC293}">
  <sheetPr codeName="Sheet4"/>
  <dimension ref="A1:AA94"/>
  <sheetViews>
    <sheetView showGridLines="0" zoomScale="80" zoomScaleNormal="80" workbookViewId="0">
      <selection activeCell="A3" sqref="A3"/>
    </sheetView>
  </sheetViews>
  <sheetFormatPr defaultRowHeight="14.5" x14ac:dyDescent="0.35"/>
  <cols>
    <col min="2" max="2" width="28.81640625" customWidth="1"/>
    <col min="3" max="3" width="15.453125" customWidth="1"/>
    <col min="4" max="4" width="18.6328125" bestFit="1" customWidth="1"/>
    <col min="5" max="5" width="9.1796875" bestFit="1" customWidth="1"/>
    <col min="6" max="6" width="12.453125" bestFit="1" customWidth="1"/>
    <col min="7" max="7" width="13.453125" bestFit="1" customWidth="1"/>
    <col min="8" max="8" width="14.81640625" customWidth="1"/>
    <col min="9" max="9" width="13.7265625" customWidth="1"/>
    <col min="10" max="16" width="13.453125" bestFit="1" customWidth="1"/>
    <col min="17" max="19" width="13.54296875" bestFit="1" customWidth="1"/>
    <col min="20" max="22" width="9.453125" bestFit="1" customWidth="1"/>
  </cols>
  <sheetData>
    <row r="1" spans="1:27" ht="23.5" x14ac:dyDescent="0.55000000000000004">
      <c r="A1" s="145" t="s">
        <v>403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</row>
    <row r="2" spans="1:27" ht="21" x14ac:dyDescent="0.5">
      <c r="A2" s="144" t="s">
        <v>413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</row>
    <row r="3" spans="1:27" x14ac:dyDescent="0.35">
      <c r="A3" s="81" t="s">
        <v>406</v>
      </c>
    </row>
    <row r="5" spans="1:27" x14ac:dyDescent="0.35">
      <c r="C5" s="81"/>
      <c r="D5" s="81" t="s">
        <v>351</v>
      </c>
      <c r="F5" s="82">
        <v>7</v>
      </c>
      <c r="G5" s="81"/>
      <c r="H5" s="81"/>
      <c r="I5" s="81"/>
      <c r="J5" s="81"/>
      <c r="K5" s="81"/>
      <c r="L5" s="81"/>
    </row>
    <row r="6" spans="1:27" x14ac:dyDescent="0.35">
      <c r="C6" s="81"/>
      <c r="D6" s="81" t="s">
        <v>352</v>
      </c>
      <c r="F6" s="83">
        <f>200000/F5</f>
        <v>28571.428571428572</v>
      </c>
      <c r="G6" s="81"/>
      <c r="H6" s="81"/>
      <c r="I6" s="81"/>
      <c r="J6" s="81"/>
      <c r="K6" s="81"/>
      <c r="L6" s="81"/>
    </row>
    <row r="7" spans="1:27" x14ac:dyDescent="0.35"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27" s="32" customFormat="1" x14ac:dyDescent="0.35">
      <c r="A8" s="33" t="s">
        <v>394</v>
      </c>
    </row>
    <row r="9" spans="1:27" x14ac:dyDescent="0.35">
      <c r="B9" s="81"/>
      <c r="C9" s="81"/>
      <c r="D9" s="49"/>
      <c r="E9" s="118"/>
      <c r="F9" s="119" t="s">
        <v>0</v>
      </c>
      <c r="G9" s="85" t="s">
        <v>1</v>
      </c>
      <c r="H9" s="85" t="s">
        <v>2</v>
      </c>
      <c r="I9" s="85" t="s">
        <v>3</v>
      </c>
      <c r="J9" s="85" t="s">
        <v>4</v>
      </c>
      <c r="K9" s="85" t="s">
        <v>5</v>
      </c>
      <c r="L9" s="85" t="s">
        <v>6</v>
      </c>
      <c r="M9" s="85" t="s">
        <v>7</v>
      </c>
      <c r="N9" s="85" t="s">
        <v>8</v>
      </c>
      <c r="O9" s="85" t="s">
        <v>9</v>
      </c>
      <c r="P9" s="85" t="s">
        <v>10</v>
      </c>
      <c r="Q9" s="85" t="s">
        <v>11</v>
      </c>
      <c r="R9" s="85" t="s">
        <v>12</v>
      </c>
      <c r="S9" s="85" t="s">
        <v>13</v>
      </c>
      <c r="T9" s="85" t="s">
        <v>14</v>
      </c>
      <c r="U9" s="85" t="s">
        <v>15</v>
      </c>
      <c r="V9" s="85" t="s">
        <v>16</v>
      </c>
      <c r="W9" s="85" t="s">
        <v>17</v>
      </c>
      <c r="X9" s="85" t="s">
        <v>18</v>
      </c>
      <c r="Y9" s="85" t="s">
        <v>19</v>
      </c>
      <c r="Z9" s="85" t="s">
        <v>353</v>
      </c>
      <c r="AA9" s="85" t="s">
        <v>354</v>
      </c>
    </row>
    <row r="10" spans="1:27" x14ac:dyDescent="0.35">
      <c r="B10" s="81"/>
      <c r="C10" s="81"/>
      <c r="D10" s="116" t="s">
        <v>355</v>
      </c>
      <c r="F10" s="117">
        <v>84</v>
      </c>
      <c r="G10" s="111">
        <v>89</v>
      </c>
      <c r="H10" s="111">
        <v>95</v>
      </c>
      <c r="I10" s="111">
        <v>105</v>
      </c>
      <c r="J10" s="111">
        <v>114</v>
      </c>
      <c r="K10" s="111">
        <v>124</v>
      </c>
      <c r="L10" s="111">
        <v>135</v>
      </c>
      <c r="M10" s="111">
        <v>146</v>
      </c>
      <c r="N10" s="111">
        <v>157</v>
      </c>
      <c r="O10" s="111">
        <v>169</v>
      </c>
      <c r="P10" s="111">
        <v>181</v>
      </c>
      <c r="Q10" s="111">
        <v>194</v>
      </c>
      <c r="R10" s="111">
        <v>207</v>
      </c>
      <c r="S10" s="111">
        <v>221</v>
      </c>
      <c r="T10" s="111">
        <v>236</v>
      </c>
      <c r="U10" s="111">
        <v>252</v>
      </c>
      <c r="V10" s="111">
        <v>268</v>
      </c>
      <c r="W10" s="111">
        <v>286</v>
      </c>
      <c r="X10" s="111">
        <v>305</v>
      </c>
      <c r="Y10" s="111">
        <v>325</v>
      </c>
      <c r="Z10" s="111">
        <v>346</v>
      </c>
      <c r="AA10" s="111">
        <v>369</v>
      </c>
    </row>
    <row r="11" spans="1:27" x14ac:dyDescent="0.35">
      <c r="B11" s="81"/>
      <c r="C11" s="81"/>
      <c r="D11" s="110" t="s">
        <v>356</v>
      </c>
      <c r="F11" s="112">
        <f>F10*Assumptions!$S$31</f>
        <v>98.75985183234387</v>
      </c>
      <c r="G11" s="112">
        <f>G10*Assumptions!$S$31</f>
        <v>104.63841444141195</v>
      </c>
      <c r="H11" s="112">
        <f>H10*Assumptions!$S$31</f>
        <v>111.69268957229366</v>
      </c>
      <c r="I11" s="112">
        <f>I10*Assumptions!$S$31</f>
        <v>123.44981479042984</v>
      </c>
      <c r="J11" s="112">
        <f>J10*Assumptions!$S$31</f>
        <v>134.03122748675239</v>
      </c>
      <c r="K11" s="112">
        <f>K10*Assumptions!$S$31</f>
        <v>145.78835270488858</v>
      </c>
      <c r="L11" s="112">
        <f>L10*Assumptions!$S$31</f>
        <v>158.72119044483836</v>
      </c>
      <c r="M11" s="112">
        <f>M10*Assumptions!$S$31</f>
        <v>171.65402818478816</v>
      </c>
      <c r="N11" s="112">
        <f>N10*Assumptions!$S$31</f>
        <v>184.58686592473796</v>
      </c>
      <c r="O11" s="112">
        <f>O10*Assumptions!$S$31</f>
        <v>198.69541618650135</v>
      </c>
      <c r="P11" s="112">
        <f>P10*Assumptions!$S$31</f>
        <v>212.80396644826476</v>
      </c>
      <c r="Q11" s="112">
        <f>Q10*Assumptions!$S$31</f>
        <v>228.08822923184181</v>
      </c>
      <c r="R11" s="112">
        <f>R10*Assumptions!$S$31</f>
        <v>243.37249201541883</v>
      </c>
      <c r="S11" s="112">
        <f>S10*Assumptions!$S$31</f>
        <v>259.83246732080949</v>
      </c>
      <c r="T11" s="112">
        <f>T10*Assumptions!$S$31</f>
        <v>277.46815514801375</v>
      </c>
      <c r="U11" s="112">
        <f>U10*Assumptions!$S$31</f>
        <v>296.27955549703159</v>
      </c>
      <c r="V11" s="112">
        <f>V10*Assumptions!$S$31</f>
        <v>315.0909558460495</v>
      </c>
      <c r="W11" s="112">
        <f>W10*Assumptions!$S$31</f>
        <v>336.25378123869461</v>
      </c>
      <c r="X11" s="112">
        <f>X10*Assumptions!$S$31</f>
        <v>358.59231915315337</v>
      </c>
      <c r="Y11" s="112">
        <f>Y10*Assumptions!$S$31</f>
        <v>382.1065695894257</v>
      </c>
      <c r="Z11" s="112">
        <f>Z10*Assumptions!$S$31</f>
        <v>406.79653254751167</v>
      </c>
      <c r="AA11" s="112">
        <f>AA10*Assumptions!$S$31</f>
        <v>433.83792054922486</v>
      </c>
    </row>
    <row r="14" spans="1:27" x14ac:dyDescent="0.35">
      <c r="A14" s="84" t="s">
        <v>357</v>
      </c>
      <c r="B14" s="101"/>
      <c r="C14" s="115"/>
      <c r="D14" s="109"/>
      <c r="E14" s="101"/>
      <c r="F14" s="109"/>
      <c r="G14" s="81"/>
      <c r="H14" s="81"/>
      <c r="I14" s="81"/>
      <c r="J14" s="81"/>
    </row>
    <row r="15" spans="1:27" x14ac:dyDescent="0.35">
      <c r="B15" s="48" t="s">
        <v>358</v>
      </c>
      <c r="C15" s="85" t="s">
        <v>359</v>
      </c>
      <c r="D15" s="85" t="s">
        <v>360</v>
      </c>
      <c r="E15" s="32"/>
      <c r="F15" s="85" t="s">
        <v>361</v>
      </c>
      <c r="G15" s="86"/>
    </row>
    <row r="16" spans="1:27" x14ac:dyDescent="0.35">
      <c r="B16" s="113" t="s">
        <v>74</v>
      </c>
      <c r="C16" s="113" t="s">
        <v>362</v>
      </c>
      <c r="D16" s="113" t="s">
        <v>193</v>
      </c>
      <c r="F16" s="114">
        <v>8.73</v>
      </c>
      <c r="G16" s="81"/>
    </row>
    <row r="17" spans="1:12" x14ac:dyDescent="0.35">
      <c r="B17" s="12" t="s">
        <v>74</v>
      </c>
      <c r="C17" s="12" t="s">
        <v>362</v>
      </c>
      <c r="D17" s="12" t="s">
        <v>20</v>
      </c>
      <c r="F17" s="82">
        <v>7.3</v>
      </c>
      <c r="G17" s="81"/>
    </row>
    <row r="18" spans="1:12" x14ac:dyDescent="0.35">
      <c r="B18" s="12" t="s">
        <v>99</v>
      </c>
      <c r="C18" s="12" t="s">
        <v>362</v>
      </c>
      <c r="D18" s="12" t="s">
        <v>20</v>
      </c>
      <c r="F18" s="93">
        <f>0.0466973*F6/1000</f>
        <v>1.3342085714285714</v>
      </c>
      <c r="G18" s="81"/>
    </row>
    <row r="20" spans="1:12" x14ac:dyDescent="0.35">
      <c r="A20" s="67" t="s">
        <v>363</v>
      </c>
    </row>
    <row r="21" spans="1:12" x14ac:dyDescent="0.35">
      <c r="B21" s="48" t="s">
        <v>358</v>
      </c>
      <c r="C21" s="85" t="s">
        <v>359</v>
      </c>
      <c r="D21" s="85" t="s">
        <v>360</v>
      </c>
      <c r="E21" s="32"/>
      <c r="F21" s="85" t="s">
        <v>0</v>
      </c>
      <c r="G21" s="85" t="s">
        <v>1</v>
      </c>
      <c r="H21" s="85" t="s">
        <v>2</v>
      </c>
      <c r="I21" s="85" t="s">
        <v>3</v>
      </c>
      <c r="J21" s="85" t="s">
        <v>4</v>
      </c>
    </row>
    <row r="22" spans="1:12" x14ac:dyDescent="0.35">
      <c r="B22" s="113" t="s">
        <v>74</v>
      </c>
      <c r="C22" s="113" t="s">
        <v>362</v>
      </c>
      <c r="D22" s="113" t="s">
        <v>193</v>
      </c>
      <c r="F22" s="76">
        <f t="shared" ref="F22:J24" ca="1" si="0">$F16*SUMPRODUCT(OFFSET(G$11,0,0,1,$F$5))</f>
        <v>8293.2880148697677</v>
      </c>
      <c r="G22" s="76">
        <f t="shared" ca="1" si="0"/>
        <v>8991.2379963192052</v>
      </c>
      <c r="H22" s="76">
        <f t="shared" ca="1" si="0"/>
        <v>9750.7717996612373</v>
      </c>
      <c r="I22" s="76">
        <f t="shared" ca="1" si="0"/>
        <v>10530.833543634139</v>
      </c>
      <c r="J22" s="76">
        <f t="shared" ca="1" si="0"/>
        <v>11351.951168868767</v>
      </c>
    </row>
    <row r="23" spans="1:12" x14ac:dyDescent="0.35">
      <c r="B23" s="12" t="s">
        <v>74</v>
      </c>
      <c r="C23" s="12" t="s">
        <v>362</v>
      </c>
      <c r="D23" s="12" t="s">
        <v>20</v>
      </c>
      <c r="F23" s="76">
        <f t="shared" ca="1" si="0"/>
        <v>6934.8227386654407</v>
      </c>
      <c r="G23" s="76">
        <f t="shared" ca="1" si="0"/>
        <v>7518.4464344937223</v>
      </c>
      <c r="H23" s="76">
        <f t="shared" ca="1" si="0"/>
        <v>8153.5663387774375</v>
      </c>
      <c r="I23" s="76">
        <f t="shared" ca="1" si="0"/>
        <v>8805.851645879633</v>
      </c>
      <c r="J23" s="76">
        <f t="shared" ca="1" si="0"/>
        <v>9492.4677586187863</v>
      </c>
    </row>
    <row r="24" spans="1:12" x14ac:dyDescent="0.35">
      <c r="B24" s="12" t="s">
        <v>99</v>
      </c>
      <c r="C24" s="12" t="s">
        <v>362</v>
      </c>
      <c r="D24" s="12" t="s">
        <v>20</v>
      </c>
      <c r="F24" s="76">
        <f t="shared" ca="1" si="0"/>
        <v>1267.4657451048208</v>
      </c>
      <c r="G24" s="76">
        <f t="shared" ca="1" si="0"/>
        <v>1374.1336543463158</v>
      </c>
      <c r="H24" s="76">
        <f t="shared" ca="1" si="0"/>
        <v>1490.2134379326483</v>
      </c>
      <c r="I24" s="76">
        <f t="shared" ca="1" si="0"/>
        <v>1609.4305129672603</v>
      </c>
      <c r="J24" s="76">
        <f t="shared" ca="1" si="0"/>
        <v>1734.9221708984305</v>
      </c>
    </row>
    <row r="26" spans="1:12" s="32" customFormat="1" x14ac:dyDescent="0.35">
      <c r="A26" s="33" t="s">
        <v>395</v>
      </c>
    </row>
    <row r="27" spans="1:12" s="101" customFormat="1" x14ac:dyDescent="0.35">
      <c r="A27" s="67" t="s">
        <v>364</v>
      </c>
      <c r="F27" s="32"/>
      <c r="G27" s="32"/>
    </row>
    <row r="28" spans="1:12" ht="43.5" x14ac:dyDescent="0.35">
      <c r="B28" s="48" t="s">
        <v>358</v>
      </c>
      <c r="C28" s="85" t="s">
        <v>359</v>
      </c>
      <c r="D28" s="32"/>
      <c r="E28" s="32"/>
      <c r="F28" s="89" t="s">
        <v>365</v>
      </c>
      <c r="G28" s="89" t="s">
        <v>366</v>
      </c>
      <c r="H28" s="81"/>
      <c r="I28" s="81"/>
      <c r="J28" s="81"/>
      <c r="K28" s="81"/>
      <c r="L28" s="81"/>
    </row>
    <row r="29" spans="1:12" x14ac:dyDescent="0.35">
      <c r="B29" s="113" t="s">
        <v>74</v>
      </c>
      <c r="C29" s="113" t="s">
        <v>362</v>
      </c>
      <c r="F29" s="114">
        <v>250.75</v>
      </c>
      <c r="G29" s="87">
        <f>F29*Assumptions!$S$31</f>
        <v>294.80991484476459</v>
      </c>
      <c r="H29" s="81"/>
      <c r="I29" s="81"/>
      <c r="J29" s="81"/>
      <c r="K29" s="81"/>
      <c r="L29" s="81"/>
    </row>
    <row r="30" spans="1:12" x14ac:dyDescent="0.35">
      <c r="B30" s="12" t="s">
        <v>74</v>
      </c>
      <c r="C30" s="12" t="s">
        <v>20</v>
      </c>
      <c r="F30" s="82">
        <v>217.92</v>
      </c>
      <c r="G30" s="87">
        <f>F30*Assumptions!$S$31</f>
        <v>256.21127275362352</v>
      </c>
      <c r="H30" s="81"/>
      <c r="I30" s="81"/>
      <c r="J30" s="81"/>
      <c r="K30" s="81"/>
      <c r="L30" s="81"/>
    </row>
    <row r="31" spans="1:12" x14ac:dyDescent="0.35">
      <c r="B31" s="12" t="s">
        <v>74</v>
      </c>
      <c r="C31" s="12" t="s">
        <v>193</v>
      </c>
      <c r="F31" s="82">
        <v>193.57</v>
      </c>
      <c r="G31" s="87">
        <f>F31*Assumptions!$S$31</f>
        <v>227.58267284746194</v>
      </c>
      <c r="H31" s="81"/>
      <c r="I31" s="81"/>
      <c r="J31" s="81"/>
      <c r="K31" s="81"/>
      <c r="L31" s="81"/>
    </row>
    <row r="32" spans="1:12" x14ac:dyDescent="0.35">
      <c r="B32" s="12" t="s">
        <v>73</v>
      </c>
      <c r="C32" s="12" t="s">
        <v>362</v>
      </c>
      <c r="F32" s="82">
        <v>345.62</v>
      </c>
      <c r="G32" s="87">
        <f>F32*Assumptions!$S$31</f>
        <v>406.3497617892225</v>
      </c>
      <c r="H32" s="81"/>
      <c r="I32" s="81"/>
      <c r="J32" s="81"/>
      <c r="K32" s="81"/>
      <c r="L32" s="81"/>
    </row>
    <row r="33" spans="1:12" x14ac:dyDescent="0.35">
      <c r="C33" s="81"/>
      <c r="F33" s="88"/>
      <c r="G33" s="87"/>
      <c r="H33" s="81"/>
      <c r="I33" s="81"/>
      <c r="J33" s="81"/>
      <c r="K33" s="81"/>
      <c r="L33" s="81"/>
    </row>
    <row r="34" spans="1:12" x14ac:dyDescent="0.35">
      <c r="C34" s="81"/>
      <c r="D34" s="81"/>
      <c r="F34" s="88"/>
      <c r="G34" s="87"/>
      <c r="H34" s="81"/>
      <c r="I34" s="81"/>
      <c r="J34" s="81"/>
      <c r="K34" s="81"/>
      <c r="L34" s="81"/>
    </row>
    <row r="35" spans="1:12" x14ac:dyDescent="0.35">
      <c r="A35" s="84" t="s">
        <v>367</v>
      </c>
      <c r="C35" s="84"/>
      <c r="D35" s="81"/>
      <c r="F35" s="81"/>
      <c r="G35" s="81"/>
      <c r="H35" s="81"/>
      <c r="I35" s="81"/>
      <c r="J35" s="81"/>
      <c r="K35" s="81"/>
      <c r="L35" s="81"/>
    </row>
    <row r="36" spans="1:12" x14ac:dyDescent="0.35">
      <c r="B36" s="48" t="s">
        <v>358</v>
      </c>
      <c r="C36" s="85" t="s">
        <v>359</v>
      </c>
      <c r="D36" s="85" t="s">
        <v>360</v>
      </c>
      <c r="E36" s="32"/>
      <c r="F36" s="85" t="s">
        <v>368</v>
      </c>
      <c r="G36" s="86"/>
      <c r="H36" s="85" t="s">
        <v>369</v>
      </c>
      <c r="I36" s="86"/>
      <c r="J36" s="85" t="s">
        <v>370</v>
      </c>
      <c r="K36" s="81"/>
      <c r="L36" s="81"/>
    </row>
    <row r="37" spans="1:12" x14ac:dyDescent="0.35">
      <c r="B37" s="113" t="s">
        <v>74</v>
      </c>
      <c r="C37" s="113" t="s">
        <v>362</v>
      </c>
      <c r="D37" s="113" t="s">
        <v>193</v>
      </c>
      <c r="F37" s="88">
        <f>G29-G31</f>
        <v>67.227241997302656</v>
      </c>
      <c r="G37" s="81"/>
      <c r="H37" s="88">
        <f>F37*$F$6/1000</f>
        <v>1920.7783427800759</v>
      </c>
      <c r="I37" s="81"/>
      <c r="J37" s="123">
        <f>H37*$F$5</f>
        <v>13445.448399460533</v>
      </c>
      <c r="K37" s="81"/>
      <c r="L37" s="81"/>
    </row>
    <row r="38" spans="1:12" x14ac:dyDescent="0.35">
      <c r="B38" s="12" t="s">
        <v>74</v>
      </c>
      <c r="C38" s="12" t="s">
        <v>362</v>
      </c>
      <c r="D38" s="12" t="s">
        <v>20</v>
      </c>
      <c r="F38" s="88">
        <f>G29-G30</f>
        <v>38.598642091141073</v>
      </c>
      <c r="G38" s="81"/>
      <c r="H38" s="88">
        <f>F38*$F$6/1000</f>
        <v>1102.8183454611735</v>
      </c>
      <c r="I38" s="81"/>
      <c r="J38" s="123">
        <f>H38*$F$5</f>
        <v>7719.7284182282147</v>
      </c>
      <c r="K38" s="81"/>
      <c r="L38" s="81"/>
    </row>
    <row r="39" spans="1:12" x14ac:dyDescent="0.35">
      <c r="B39" s="12" t="s">
        <v>99</v>
      </c>
      <c r="C39" s="12" t="s">
        <v>362</v>
      </c>
      <c r="D39" s="12" t="s">
        <v>20</v>
      </c>
      <c r="F39" s="88">
        <f>G32*0.15</f>
        <v>60.952464268383373</v>
      </c>
      <c r="G39" s="81"/>
      <c r="H39" s="88">
        <f t="shared" ref="H39" si="1">F39*$F$6/1000</f>
        <v>1741.4989790966679</v>
      </c>
      <c r="I39" s="81"/>
      <c r="J39" s="123">
        <f>H39*$F$5</f>
        <v>12190.492853676675</v>
      </c>
      <c r="K39" s="81"/>
      <c r="L39" s="81"/>
    </row>
    <row r="40" spans="1:12" x14ac:dyDescent="0.35">
      <c r="C40" s="81"/>
      <c r="D40" s="81"/>
      <c r="F40" s="88"/>
      <c r="G40" s="81"/>
      <c r="H40" s="88"/>
      <c r="I40" s="81"/>
      <c r="J40" s="81"/>
      <c r="K40" s="81"/>
      <c r="L40" s="81"/>
    </row>
    <row r="41" spans="1:12" s="32" customFormat="1" x14ac:dyDescent="0.35">
      <c r="A41" s="33" t="s">
        <v>396</v>
      </c>
    </row>
    <row r="42" spans="1:12" x14ac:dyDescent="0.35">
      <c r="A42" s="84" t="s">
        <v>371</v>
      </c>
      <c r="C42" s="81"/>
      <c r="D42" s="81"/>
      <c r="F42" s="88"/>
      <c r="G42" s="81"/>
      <c r="H42" s="88"/>
      <c r="I42" s="81"/>
      <c r="J42" s="81"/>
      <c r="K42" s="81"/>
      <c r="L42" s="81"/>
    </row>
    <row r="43" spans="1:12" x14ac:dyDescent="0.35">
      <c r="B43" s="67" t="s">
        <v>358</v>
      </c>
      <c r="D43" s="84" t="s">
        <v>360</v>
      </c>
      <c r="F43" s="85" t="s">
        <v>0</v>
      </c>
      <c r="G43" s="85" t="s">
        <v>1</v>
      </c>
      <c r="H43" s="85" t="s">
        <v>2</v>
      </c>
      <c r="I43" s="85" t="s">
        <v>3</v>
      </c>
      <c r="J43" s="85" t="s">
        <v>4</v>
      </c>
      <c r="K43" s="81"/>
      <c r="L43" s="81"/>
    </row>
    <row r="44" spans="1:12" x14ac:dyDescent="0.35">
      <c r="B44" t="s">
        <v>74</v>
      </c>
      <c r="D44" s="81" t="s">
        <v>193</v>
      </c>
      <c r="F44" s="76">
        <f t="shared" ref="F44:J46" ca="1" si="2">F22+$J37</f>
        <v>21738.736414330298</v>
      </c>
      <c r="G44" s="76">
        <f t="shared" ca="1" si="2"/>
        <v>22436.68639577974</v>
      </c>
      <c r="H44" s="76">
        <f t="shared" ca="1" si="2"/>
        <v>23196.22019912177</v>
      </c>
      <c r="I44" s="76">
        <f t="shared" ca="1" si="2"/>
        <v>23976.281943094669</v>
      </c>
      <c r="J44" s="76">
        <f t="shared" ca="1" si="2"/>
        <v>24797.3995683293</v>
      </c>
    </row>
    <row r="45" spans="1:12" x14ac:dyDescent="0.35">
      <c r="B45" t="s">
        <v>74</v>
      </c>
      <c r="D45" s="81" t="s">
        <v>20</v>
      </c>
      <c r="F45" s="76">
        <f t="shared" ca="1" si="2"/>
        <v>14654.551156893656</v>
      </c>
      <c r="G45" s="76">
        <f t="shared" ca="1" si="2"/>
        <v>15238.174852721937</v>
      </c>
      <c r="H45" s="76">
        <f t="shared" ca="1" si="2"/>
        <v>15873.294757005653</v>
      </c>
      <c r="I45" s="76">
        <f t="shared" ca="1" si="2"/>
        <v>16525.580064107846</v>
      </c>
      <c r="J45" s="76">
        <f t="shared" ca="1" si="2"/>
        <v>17212.196176846999</v>
      </c>
    </row>
    <row r="46" spans="1:12" x14ac:dyDescent="0.35">
      <c r="B46" t="s">
        <v>99</v>
      </c>
      <c r="D46" s="81" t="s">
        <v>20</v>
      </c>
      <c r="F46" s="76">
        <f t="shared" ca="1" si="2"/>
        <v>13457.958598781495</v>
      </c>
      <c r="G46" s="76">
        <f t="shared" ca="1" si="2"/>
        <v>13564.62650802299</v>
      </c>
      <c r="H46" s="76">
        <f t="shared" ca="1" si="2"/>
        <v>13680.706291609324</v>
      </c>
      <c r="I46" s="76">
        <f t="shared" ca="1" si="2"/>
        <v>13799.923366643936</v>
      </c>
      <c r="J46" s="76">
        <f t="shared" ca="1" si="2"/>
        <v>13925.415024575104</v>
      </c>
    </row>
    <row r="48" spans="1:12" s="32" customFormat="1" x14ac:dyDescent="0.35">
      <c r="A48" s="33" t="s">
        <v>407</v>
      </c>
    </row>
    <row r="49" spans="1:12" x14ac:dyDescent="0.35">
      <c r="A49" s="67" t="s">
        <v>372</v>
      </c>
      <c r="C49" s="81"/>
      <c r="D49" s="81"/>
    </row>
    <row r="50" spans="1:12" x14ac:dyDescent="0.35">
      <c r="B50" s="48" t="s">
        <v>358</v>
      </c>
      <c r="C50" s="85"/>
      <c r="D50" s="85" t="s">
        <v>360</v>
      </c>
      <c r="F50" s="67" t="s">
        <v>372</v>
      </c>
    </row>
    <row r="51" spans="1:12" x14ac:dyDescent="0.35">
      <c r="B51" s="113" t="s">
        <v>74</v>
      </c>
      <c r="C51" s="113"/>
      <c r="D51" s="113" t="s">
        <v>193</v>
      </c>
      <c r="F51" s="125">
        <f>Assumptions!D8-1</f>
        <v>0.43999999999999995</v>
      </c>
    </row>
    <row r="52" spans="1:12" x14ac:dyDescent="0.35">
      <c r="B52" s="12" t="s">
        <v>74</v>
      </c>
      <c r="C52" s="12"/>
      <c r="D52" s="12" t="s">
        <v>20</v>
      </c>
      <c r="F52" s="125">
        <f>Assumptions!D7-1</f>
        <v>0.14999999999999991</v>
      </c>
    </row>
    <row r="53" spans="1:12" x14ac:dyDescent="0.35">
      <c r="B53" s="12" t="s">
        <v>99</v>
      </c>
      <c r="C53" s="12"/>
      <c r="D53" s="12" t="s">
        <v>20</v>
      </c>
      <c r="F53" s="125">
        <f>Assumptions!D7-1</f>
        <v>0.14999999999999991</v>
      </c>
    </row>
    <row r="54" spans="1:12" x14ac:dyDescent="0.35">
      <c r="D54" s="81"/>
    </row>
    <row r="55" spans="1:12" x14ac:dyDescent="0.35">
      <c r="A55" s="84" t="s">
        <v>373</v>
      </c>
      <c r="D55" s="81"/>
      <c r="F55" s="88"/>
      <c r="G55" s="81"/>
      <c r="H55" s="88"/>
      <c r="I55" s="81"/>
      <c r="J55" s="81"/>
    </row>
    <row r="56" spans="1:12" x14ac:dyDescent="0.35">
      <c r="B56" s="48" t="s">
        <v>358</v>
      </c>
      <c r="C56" s="32"/>
      <c r="D56" s="85" t="s">
        <v>360</v>
      </c>
      <c r="E56" s="32"/>
      <c r="F56" s="85" t="s">
        <v>0</v>
      </c>
      <c r="G56" s="85" t="s">
        <v>1</v>
      </c>
      <c r="H56" s="85" t="s">
        <v>2</v>
      </c>
      <c r="I56" s="85" t="s">
        <v>3</v>
      </c>
      <c r="J56" s="85" t="s">
        <v>4</v>
      </c>
    </row>
    <row r="57" spans="1:12" x14ac:dyDescent="0.35">
      <c r="B57" t="s">
        <v>74</v>
      </c>
      <c r="D57" s="81" t="s">
        <v>193</v>
      </c>
      <c r="F57" s="76">
        <f ca="1">F44/$F51</f>
        <v>49406.21912347796</v>
      </c>
      <c r="G57" s="76">
        <f t="shared" ref="G57:J57" ca="1" si="3">G44/$F51</f>
        <v>50992.469081317598</v>
      </c>
      <c r="H57" s="76">
        <f t="shared" ca="1" si="3"/>
        <v>52718.682270731304</v>
      </c>
      <c r="I57" s="76">
        <f t="shared" ca="1" si="3"/>
        <v>54491.549870669711</v>
      </c>
      <c r="J57" s="76">
        <f t="shared" ca="1" si="3"/>
        <v>56357.726291657505</v>
      </c>
    </row>
    <row r="58" spans="1:12" x14ac:dyDescent="0.35">
      <c r="B58" t="s">
        <v>74</v>
      </c>
      <c r="D58" s="81" t="s">
        <v>20</v>
      </c>
      <c r="F58" s="76">
        <f t="shared" ref="F58:J58" ca="1" si="4">F45/$F52</f>
        <v>97697.007712624429</v>
      </c>
      <c r="G58" s="76">
        <f t="shared" ca="1" si="4"/>
        <v>101587.83235147964</v>
      </c>
      <c r="H58" s="76">
        <f t="shared" ca="1" si="4"/>
        <v>105821.96504670441</v>
      </c>
      <c r="I58" s="76">
        <f t="shared" ca="1" si="4"/>
        <v>110170.53376071903</v>
      </c>
      <c r="J58" s="76">
        <f t="shared" ca="1" si="4"/>
        <v>114747.97451231339</v>
      </c>
    </row>
    <row r="59" spans="1:12" x14ac:dyDescent="0.35">
      <c r="B59" t="s">
        <v>99</v>
      </c>
      <c r="D59" s="81" t="s">
        <v>20</v>
      </c>
      <c r="F59" s="122"/>
      <c r="G59" s="122"/>
      <c r="H59" s="122"/>
      <c r="I59" s="122"/>
      <c r="J59" s="122"/>
      <c r="L59" t="s">
        <v>397</v>
      </c>
    </row>
    <row r="62" spans="1:12" x14ac:dyDescent="0.35">
      <c r="A62" s="67" t="s">
        <v>374</v>
      </c>
    </row>
    <row r="63" spans="1:12" x14ac:dyDescent="0.35">
      <c r="B63" s="48" t="s">
        <v>358</v>
      </c>
      <c r="C63" s="32"/>
      <c r="D63" s="85" t="s">
        <v>360</v>
      </c>
      <c r="E63" s="32"/>
      <c r="F63" s="85" t="s">
        <v>0</v>
      </c>
      <c r="G63" s="85" t="s">
        <v>1</v>
      </c>
      <c r="H63" s="85" t="s">
        <v>2</v>
      </c>
      <c r="I63" s="85" t="s">
        <v>3</v>
      </c>
      <c r="J63" s="85" t="s">
        <v>4</v>
      </c>
    </row>
    <row r="64" spans="1:12" x14ac:dyDescent="0.35">
      <c r="B64" t="s">
        <v>74</v>
      </c>
      <c r="D64" s="81" t="s">
        <v>193</v>
      </c>
      <c r="F64" s="76">
        <f ca="1">COUNTIFS('Fleet schedule'!$D:$D,Benefits!$B64,'Fleet schedule'!$E:$E,"Combustion",'Fleet schedule'!G:G,"&gt;0",'Fleet schedule'!$N:$N,"&lt;="&amp;Benefits!F$57)</f>
        <v>1</v>
      </c>
      <c r="G64" s="76">
        <f ca="1">COUNTIFS('Fleet schedule'!$D:$D,Benefits!$B64,'Fleet schedule'!$E:$E,"Combustion",'Fleet schedule'!H:H,"&gt;0",'Fleet schedule'!$N:$N,"&lt;="&amp;Benefits!G$57)</f>
        <v>1</v>
      </c>
      <c r="H64" s="76">
        <f ca="1">COUNTIFS('Fleet schedule'!$D:$D,Benefits!$B64,'Fleet schedule'!$E:$E,"Combustion",'Fleet schedule'!I:I,"&gt;0",'Fleet schedule'!$N:$N,"&lt;="&amp;Benefits!H$57)</f>
        <v>5</v>
      </c>
      <c r="I64" s="76">
        <f ca="1">COUNTIFS('Fleet schedule'!$D:$D,Benefits!$B64,'Fleet schedule'!$E:$E,"Combustion",'Fleet schedule'!J:J,"&gt;0",'Fleet schedule'!$N:$N,"&lt;="&amp;Benefits!I$57)</f>
        <v>4</v>
      </c>
      <c r="J64" s="76">
        <f ca="1">COUNTIFS('Fleet schedule'!$D:$D,Benefits!$B64,'Fleet schedule'!$E:$E,"Combustion",'Fleet schedule'!K:K,"&gt;0",'Fleet schedule'!$N:$N,"&lt;="&amp;Benefits!J$57)</f>
        <v>9</v>
      </c>
    </row>
    <row r="65" spans="1:12" x14ac:dyDescent="0.35">
      <c r="A65" s="120"/>
      <c r="B65" t="s">
        <v>74</v>
      </c>
      <c r="D65" s="81" t="s">
        <v>20</v>
      </c>
      <c r="F65" s="76">
        <f ca="1">COUNTIFS('Fleet schedule'!$D:$D,Benefits!$B65,'Fleet schedule'!$E:$E,"Combustion",'Fleet schedule'!G:G,"&gt;0",'Fleet schedule'!$N:$N,"&lt;="&amp;Benefits!F$58,'Fleet schedule'!$N:$N,"&gt;"&amp;Benefits!F$57)</f>
        <v>17</v>
      </c>
      <c r="G65" s="76">
        <f ca="1">COUNTIFS('Fleet schedule'!$D:$D,Benefits!$B65,'Fleet schedule'!$E:$E,"Combustion",'Fleet schedule'!H:H,"&gt;0",'Fleet schedule'!$N:$N,"&lt;="&amp;Benefits!G$58,'Fleet schedule'!$N:$N,"&gt;"&amp;Benefits!G$57)</f>
        <v>2</v>
      </c>
      <c r="H65" s="76">
        <f ca="1">COUNTIFS('Fleet schedule'!$D:$D,Benefits!$B65,'Fleet schedule'!$E:$E,"Combustion",'Fleet schedule'!I:I,"&gt;0",'Fleet schedule'!$N:$N,"&lt;="&amp;Benefits!H$58,'Fleet schedule'!$N:$N,"&gt;"&amp;Benefits!H$57)</f>
        <v>1</v>
      </c>
      <c r="I65" s="76">
        <f ca="1">COUNTIFS('Fleet schedule'!$D:$D,Benefits!$B65,'Fleet schedule'!$E:$E,"Combustion",'Fleet schedule'!J:J,"&gt;0",'Fleet schedule'!$N:$N,"&lt;="&amp;Benefits!I$58,'Fleet schedule'!$N:$N,"&gt;"&amp;Benefits!I$57)</f>
        <v>3</v>
      </c>
      <c r="J65" s="76">
        <f ca="1">COUNTIFS('Fleet schedule'!$D:$D,Benefits!$B65,'Fleet schedule'!$E:$E,"Combustion",'Fleet schedule'!K:K,"&gt;0",'Fleet schedule'!$N:$N,"&lt;="&amp;Benefits!J$58,'Fleet schedule'!$N:$N,"&gt;"&amp;Benefits!J$57)</f>
        <v>1</v>
      </c>
    </row>
    <row r="66" spans="1:12" x14ac:dyDescent="0.35">
      <c r="A66" s="120" t="s">
        <v>93</v>
      </c>
      <c r="B66" t="s">
        <v>99</v>
      </c>
      <c r="D66" s="81" t="s">
        <v>20</v>
      </c>
      <c r="F66" s="76">
        <f>COUNTIFS('Fleet schedule'!$D:$D,Benefits!$B66,'Fleet schedule'!$A:$A,$A$66,'Fleet schedule'!$E:$E,"Combustion",'Fleet schedule'!G:G,"&gt;0")</f>
        <v>6</v>
      </c>
      <c r="G66" s="76">
        <f>COUNTIFS('Fleet schedule'!$D:$D,Benefits!$B66,'Fleet schedule'!$A:$A,$A$66,'Fleet schedule'!$E:$E,"Combustion",'Fleet schedule'!H:H,"&gt;0")</f>
        <v>0</v>
      </c>
      <c r="H66" s="76">
        <f>COUNTIFS('Fleet schedule'!$D:$D,Benefits!$B66,'Fleet schedule'!$A:$A,$A$66,'Fleet schedule'!$E:$E,"Combustion",'Fleet schedule'!I:I,"&gt;0")</f>
        <v>0</v>
      </c>
      <c r="I66" s="76">
        <f>COUNTIFS('Fleet schedule'!$D:$D,Benefits!$B66,'Fleet schedule'!$A:$A,$A$66,'Fleet schedule'!$E:$E,"Combustion",'Fleet schedule'!J:J,"&gt;0")</f>
        <v>0</v>
      </c>
      <c r="J66" s="76">
        <f>COUNTIFS('Fleet schedule'!$D:$D,Benefits!$B66,'Fleet schedule'!$A:$A,$A$66,'Fleet schedule'!$E:$E,"Combustion",'Fleet schedule'!K:K,"&gt;0")</f>
        <v>4</v>
      </c>
    </row>
    <row r="67" spans="1:12" x14ac:dyDescent="0.35">
      <c r="A67" s="120"/>
    </row>
    <row r="68" spans="1:12" x14ac:dyDescent="0.35">
      <c r="A68" s="67" t="s">
        <v>375</v>
      </c>
    </row>
    <row r="69" spans="1:12" x14ac:dyDescent="0.35">
      <c r="A69" s="120"/>
      <c r="B69" s="48" t="s">
        <v>358</v>
      </c>
      <c r="C69" s="32"/>
      <c r="D69" s="85" t="s">
        <v>360</v>
      </c>
      <c r="E69" s="32"/>
      <c r="F69" s="85" t="s">
        <v>0</v>
      </c>
      <c r="G69" s="85" t="s">
        <v>1</v>
      </c>
      <c r="H69" s="85" t="s">
        <v>2</v>
      </c>
      <c r="I69" s="85" t="s">
        <v>3</v>
      </c>
      <c r="J69" s="85" t="s">
        <v>4</v>
      </c>
      <c r="L69" s="85" t="s">
        <v>347</v>
      </c>
    </row>
    <row r="70" spans="1:12" x14ac:dyDescent="0.35">
      <c r="A70" s="120"/>
      <c r="B70" t="s">
        <v>74</v>
      </c>
      <c r="D70" s="81" t="s">
        <v>193</v>
      </c>
      <c r="F70" s="76">
        <f ca="1">SUMIFS('Fleet schedule'!$N:$N,'Fleet schedule'!$D:$D,Benefits!$B70,'Fleet schedule'!$E:$E,"Combustion",'Fleet schedule'!G:G,"&gt;0",'Fleet schedule'!$N:$N,"&lt;="&amp;Benefits!F$57)*$F51</f>
        <v>19799.999999999996</v>
      </c>
      <c r="G70" s="76">
        <f ca="1">SUMIFS('Fleet schedule'!$N:$N,'Fleet schedule'!$D:$D,Benefits!$B70,'Fleet schedule'!$E:$E,"Combustion",'Fleet schedule'!H:H,"&gt;0",'Fleet schedule'!$N:$N,"&lt;="&amp;Benefits!G$57)*$F51</f>
        <v>12319.999999999998</v>
      </c>
      <c r="H70" s="76">
        <f ca="1">SUMIFS('Fleet schedule'!$N:$N,'Fleet schedule'!$D:$D,Benefits!$B70,'Fleet schedule'!$E:$E,"Combustion",'Fleet schedule'!I:I,"&gt;0",'Fleet schedule'!$N:$N,"&lt;="&amp;Benefits!H$57)*$F51</f>
        <v>107359.99999999999</v>
      </c>
      <c r="I70" s="76">
        <f ca="1">SUMIFS('Fleet schedule'!$N:$N,'Fleet schedule'!$D:$D,Benefits!$B70,'Fleet schedule'!$E:$E,"Combustion",'Fleet schedule'!J:J,"&gt;0",'Fleet schedule'!$N:$N,"&lt;="&amp;Benefits!I$57)*$F51</f>
        <v>82279.999999999985</v>
      </c>
      <c r="J70" s="76">
        <f ca="1">SUMIFS('Fleet schedule'!$N:$N,'Fleet schedule'!$D:$D,Benefits!$B70,'Fleet schedule'!$E:$E,"Combustion",'Fleet schedule'!K:K,"&gt;0",'Fleet schedule'!$N:$N,"&lt;="&amp;Benefits!J$57)*$F51</f>
        <v>175559.99999999997</v>
      </c>
      <c r="K70" s="79"/>
      <c r="L70" s="79">
        <f ca="1">SUM(F70:J70)</f>
        <v>397319.99999999988</v>
      </c>
    </row>
    <row r="71" spans="1:12" x14ac:dyDescent="0.35">
      <c r="A71" s="120"/>
      <c r="B71" t="s">
        <v>74</v>
      </c>
      <c r="D71" s="81" t="s">
        <v>20</v>
      </c>
      <c r="F71" s="76">
        <f ca="1">SUMIFS('Fleet schedule'!$N:$N,'Fleet schedule'!$D:$D,Benefits!$B71,'Fleet schedule'!$E:$E,"Combustion",'Fleet schedule'!G:G,"&gt;0",'Fleet schedule'!$N:$N,"&lt;="&amp;Benefits!F$58,'Fleet schedule'!$N:$N,"&gt;"&amp;Benefits!F$57)*$F52</f>
        <v>161699.99999999991</v>
      </c>
      <c r="G71" s="76">
        <f ca="1">SUMIFS('Fleet schedule'!$N:$N,'Fleet schedule'!$D:$D,Benefits!$B71,'Fleet schedule'!$E:$E,"Combustion",'Fleet schedule'!H:H,"&gt;0",'Fleet schedule'!$N:$N,"&lt;="&amp;Benefits!G$58,'Fleet schedule'!$N:$N,"&gt;"&amp;Benefits!G$57)*$F52</f>
        <v>17999.999999999989</v>
      </c>
      <c r="H71" s="76">
        <f ca="1">SUMIFS('Fleet schedule'!$N:$N,'Fleet schedule'!$D:$D,Benefits!$B71,'Fleet schedule'!$E:$E,"Combustion",'Fleet schedule'!I:I,"&gt;0",'Fleet schedule'!$N:$N,"&lt;="&amp;Benefits!H$58,'Fleet schedule'!$N:$N,"&gt;"&amp;Benefits!H$57)*$F52</f>
        <v>9749.9999999999945</v>
      </c>
      <c r="I71" s="76">
        <f ca="1">SUMIFS('Fleet schedule'!$N:$N,'Fleet schedule'!$D:$D,Benefits!$B71,'Fleet schedule'!$E:$E,"Combustion",'Fleet schedule'!J:J,"&gt;0",'Fleet schedule'!$N:$N,"&lt;="&amp;Benefits!I$58,'Fleet schedule'!$N:$N,"&gt;"&amp;Benefits!I$57)*$F52</f>
        <v>29999.999999999982</v>
      </c>
      <c r="J71" s="76">
        <f ca="1">SUMIFS('Fleet schedule'!$N:$N,'Fleet schedule'!$D:$D,Benefits!$B71,'Fleet schedule'!$E:$E,"Combustion",'Fleet schedule'!K:K,"&gt;0",'Fleet schedule'!$N:$N,"&lt;="&amp;Benefits!J$58,'Fleet schedule'!$N:$N,"&gt;"&amp;Benefits!J$57)*$F52</f>
        <v>9449.9999999999945</v>
      </c>
      <c r="K71" s="79"/>
      <c r="L71" s="79">
        <f t="shared" ref="L71" ca="1" si="5">SUM(F71:J71)</f>
        <v>228899.99999999988</v>
      </c>
    </row>
    <row r="72" spans="1:12" x14ac:dyDescent="0.35">
      <c r="A72" s="120" t="s">
        <v>93</v>
      </c>
      <c r="B72" t="s">
        <v>99</v>
      </c>
      <c r="D72" s="81" t="s">
        <v>20</v>
      </c>
      <c r="F72" s="76">
        <f>SUMIFS('Fleet schedule'!$N:$N,'Fleet schedule'!$D:$D,Benefits!$B72,'Fleet schedule'!$A:$A,$A$72,'Fleet schedule'!$E:$E,"Combustion",'Fleet schedule'!G:G,"&gt;0")*$F53</f>
        <v>58499.999999999964</v>
      </c>
      <c r="G72" s="76">
        <f>SUMIFS('Fleet schedule'!$N:$N,'Fleet schedule'!$D:$D,Benefits!$B72,'Fleet schedule'!$A:$A,$A$72,'Fleet schedule'!$E:$E,"Combustion",'Fleet schedule'!H:H,"&gt;0")*$F53</f>
        <v>0</v>
      </c>
      <c r="H72" s="76">
        <f>SUMIFS('Fleet schedule'!$N:$N,'Fleet schedule'!$D:$D,Benefits!$B72,'Fleet schedule'!$A:$A,$A$72,'Fleet schedule'!$E:$E,"Combustion",'Fleet schedule'!I:I,"&gt;0")*$F53</f>
        <v>0</v>
      </c>
      <c r="I72" s="76">
        <f>SUMIFS('Fleet schedule'!$N:$N,'Fleet schedule'!$D:$D,Benefits!$B72,'Fleet schedule'!$A:$A,$A$72,'Fleet schedule'!$E:$E,"Combustion",'Fleet schedule'!J:J,"&gt;0")*$F53</f>
        <v>0</v>
      </c>
      <c r="J72" s="76">
        <f>SUMIFS('Fleet schedule'!$N:$N,'Fleet schedule'!$D:$D,Benefits!$B72,'Fleet schedule'!$A:$A,$A$72,'Fleet schedule'!$E:$E,"Combustion",'Fleet schedule'!K:K,"&gt;0")*$F53</f>
        <v>38999.999999999978</v>
      </c>
      <c r="K72" s="79"/>
      <c r="L72" s="79">
        <f>SUM(F72:J72)</f>
        <v>97499.999999999942</v>
      </c>
    </row>
    <row r="73" spans="1:12" x14ac:dyDescent="0.35">
      <c r="B73" s="40" t="s">
        <v>347</v>
      </c>
      <c r="C73" s="94"/>
      <c r="D73" s="94"/>
      <c r="E73" s="40"/>
      <c r="F73" s="106">
        <f ca="1">SUM(F70:F72)</f>
        <v>239999.99999999988</v>
      </c>
      <c r="G73" s="106">
        <f t="shared" ref="G73:J73" ca="1" si="6">SUM(G70:G72)</f>
        <v>30319.999999999985</v>
      </c>
      <c r="H73" s="106">
        <f t="shared" ca="1" si="6"/>
        <v>117109.99999999999</v>
      </c>
      <c r="I73" s="106">
        <f t="shared" ca="1" si="6"/>
        <v>112279.99999999997</v>
      </c>
      <c r="J73" s="106">
        <f t="shared" ca="1" si="6"/>
        <v>224009.99999999994</v>
      </c>
      <c r="K73" s="79"/>
      <c r="L73" s="106">
        <f ca="1">SUM(F73:J73)</f>
        <v>723719.99999999977</v>
      </c>
    </row>
    <row r="74" spans="1:12" x14ac:dyDescent="0.35">
      <c r="F74" s="79"/>
      <c r="G74" s="79"/>
      <c r="H74" s="79"/>
      <c r="I74" s="79"/>
      <c r="J74" s="79"/>
      <c r="K74" s="79"/>
      <c r="L74" s="79"/>
    </row>
    <row r="75" spans="1:12" x14ac:dyDescent="0.35">
      <c r="A75" s="67" t="s">
        <v>376</v>
      </c>
      <c r="F75" s="79"/>
      <c r="G75" s="79"/>
      <c r="H75" s="79"/>
      <c r="I75" s="79"/>
      <c r="J75" s="79"/>
      <c r="K75" s="79"/>
      <c r="L75" s="79"/>
    </row>
    <row r="76" spans="1:12" x14ac:dyDescent="0.35">
      <c r="B76" s="48" t="s">
        <v>358</v>
      </c>
      <c r="C76" s="32"/>
      <c r="D76" s="85" t="s">
        <v>360</v>
      </c>
      <c r="E76" s="32"/>
      <c r="F76" s="121" t="s">
        <v>0</v>
      </c>
      <c r="G76" s="121" t="s">
        <v>1</v>
      </c>
      <c r="H76" s="121" t="s">
        <v>2</v>
      </c>
      <c r="I76" s="121" t="s">
        <v>3</v>
      </c>
      <c r="J76" s="121" t="s">
        <v>4</v>
      </c>
      <c r="K76" s="79"/>
      <c r="L76" s="121" t="s">
        <v>347</v>
      </c>
    </row>
    <row r="77" spans="1:12" x14ac:dyDescent="0.35">
      <c r="B77" t="s">
        <v>74</v>
      </c>
      <c r="D77" s="81" t="s">
        <v>193</v>
      </c>
      <c r="F77" s="76">
        <f ca="1">F64*F44</f>
        <v>21738.736414330298</v>
      </c>
      <c r="G77" s="76">
        <f ca="1">G64*G44</f>
        <v>22436.68639577974</v>
      </c>
      <c r="H77" s="76">
        <f t="shared" ref="H77:J77" ca="1" si="7">H64*H44</f>
        <v>115981.10099560885</v>
      </c>
      <c r="I77" s="76">
        <f t="shared" ca="1" si="7"/>
        <v>95905.127772378677</v>
      </c>
      <c r="J77" s="76">
        <f t="shared" ca="1" si="7"/>
        <v>223176.5961149637</v>
      </c>
      <c r="K77" s="79"/>
      <c r="L77" s="79">
        <f ca="1">SUM(F77:J77)</f>
        <v>479238.24769306125</v>
      </c>
    </row>
    <row r="78" spans="1:12" x14ac:dyDescent="0.35">
      <c r="B78" t="s">
        <v>74</v>
      </c>
      <c r="D78" s="81" t="s">
        <v>20</v>
      </c>
      <c r="F78" s="76">
        <f t="shared" ref="F78:J78" ca="1" si="8">F65*F45</f>
        <v>249127.36966719216</v>
      </c>
      <c r="G78" s="76">
        <f t="shared" ca="1" si="8"/>
        <v>30476.349705443874</v>
      </c>
      <c r="H78" s="76">
        <f t="shared" ca="1" si="8"/>
        <v>15873.294757005653</v>
      </c>
      <c r="I78" s="76">
        <f t="shared" ca="1" si="8"/>
        <v>49576.740192323537</v>
      </c>
      <c r="J78" s="76">
        <f t="shared" ca="1" si="8"/>
        <v>17212.196176846999</v>
      </c>
      <c r="K78" s="79"/>
      <c r="L78" s="79">
        <f t="shared" ref="L78" ca="1" si="9">SUM(F78:J78)</f>
        <v>362265.95049881219</v>
      </c>
    </row>
    <row r="79" spans="1:12" x14ac:dyDescent="0.35">
      <c r="B79" t="s">
        <v>99</v>
      </c>
      <c r="D79" s="81" t="s">
        <v>20</v>
      </c>
      <c r="F79" s="76">
        <f t="shared" ref="F79:J79" ca="1" si="10">F66*F46</f>
        <v>80747.751592688976</v>
      </c>
      <c r="G79" s="76">
        <f t="shared" ca="1" si="10"/>
        <v>0</v>
      </c>
      <c r="H79" s="76">
        <f t="shared" ca="1" si="10"/>
        <v>0</v>
      </c>
      <c r="I79" s="76">
        <f t="shared" ca="1" si="10"/>
        <v>0</v>
      </c>
      <c r="J79" s="76">
        <f t="shared" ca="1" si="10"/>
        <v>55701.660098300417</v>
      </c>
      <c r="K79" s="79"/>
      <c r="L79" s="79">
        <f ca="1">SUM(F79:J79)</f>
        <v>136449.41169098939</v>
      </c>
    </row>
    <row r="80" spans="1:12" x14ac:dyDescent="0.35">
      <c r="B80" s="40" t="s">
        <v>347</v>
      </c>
      <c r="C80" s="94"/>
      <c r="D80" s="94"/>
      <c r="E80" s="40"/>
      <c r="F80" s="106">
        <f ca="1">SUM(F77:F79)</f>
        <v>351613.85767421144</v>
      </c>
      <c r="G80" s="106">
        <f t="shared" ref="G80" ca="1" si="11">SUM(G77:G79)</f>
        <v>52913.03610122361</v>
      </c>
      <c r="H80" s="106">
        <f t="shared" ref="H80" ca="1" si="12">SUM(H77:H79)</f>
        <v>131854.39575261451</v>
      </c>
      <c r="I80" s="106">
        <f t="shared" ref="I80" ca="1" si="13">SUM(I77:I79)</f>
        <v>145481.86796470222</v>
      </c>
      <c r="J80" s="106">
        <f t="shared" ref="J80" ca="1" si="14">SUM(J77:J79)</f>
        <v>296090.45239011111</v>
      </c>
      <c r="K80" s="79"/>
      <c r="L80" s="106">
        <f ca="1">SUM(F80:J80)</f>
        <v>977953.60988286277</v>
      </c>
    </row>
    <row r="81" spans="1:12" x14ac:dyDescent="0.35">
      <c r="F81" s="79"/>
      <c r="G81" s="79"/>
      <c r="H81" s="79"/>
      <c r="I81" s="79"/>
      <c r="J81" s="79"/>
      <c r="K81" s="79"/>
      <c r="L81" s="79"/>
    </row>
    <row r="82" spans="1:12" x14ac:dyDescent="0.35">
      <c r="A82" s="67" t="s">
        <v>377</v>
      </c>
      <c r="F82" s="79"/>
      <c r="G82" s="79"/>
      <c r="H82" s="79"/>
      <c r="I82" s="79"/>
      <c r="J82" s="79"/>
      <c r="K82" s="79"/>
      <c r="L82" s="79"/>
    </row>
    <row r="83" spans="1:12" x14ac:dyDescent="0.35">
      <c r="B83" s="48" t="s">
        <v>358</v>
      </c>
      <c r="C83" s="32"/>
      <c r="D83" s="85" t="s">
        <v>360</v>
      </c>
      <c r="E83" s="32"/>
      <c r="F83" s="121" t="s">
        <v>0</v>
      </c>
      <c r="G83" s="121" t="s">
        <v>1</v>
      </c>
      <c r="H83" s="121" t="s">
        <v>2</v>
      </c>
      <c r="I83" s="121" t="s">
        <v>3</v>
      </c>
      <c r="J83" s="121" t="s">
        <v>4</v>
      </c>
      <c r="K83" s="79"/>
      <c r="L83" s="121" t="s">
        <v>347</v>
      </c>
    </row>
    <row r="84" spans="1:12" x14ac:dyDescent="0.35">
      <c r="B84" t="s">
        <v>74</v>
      </c>
      <c r="D84" s="81" t="s">
        <v>193</v>
      </c>
      <c r="F84" s="76">
        <v>0</v>
      </c>
      <c r="G84" s="76">
        <f ca="1">SUM($F64:F64)*($H37+G$11*$F16)</f>
        <v>2834.2717008536024</v>
      </c>
      <c r="H84" s="76">
        <f ca="1">SUM($F64:G64)*($H37+H$11*$F16)</f>
        <v>5791.7110454923995</v>
      </c>
      <c r="I84" s="76">
        <f ca="1">SUM($F64:H64)*($H37+I$11*$F16)</f>
        <v>20989.466581303699</v>
      </c>
      <c r="J84" s="76">
        <f ca="1">SUM($F64:I64)*($H37+J$11*$F16)</f>
        <v>33999.580546133664</v>
      </c>
      <c r="K84" s="79"/>
      <c r="L84" s="79">
        <f ca="1">SUM(F84:J84)</f>
        <v>63615.029873783365</v>
      </c>
    </row>
    <row r="85" spans="1:12" x14ac:dyDescent="0.35">
      <c r="B85" t="s">
        <v>74</v>
      </c>
      <c r="D85" s="81" t="s">
        <v>20</v>
      </c>
      <c r="F85" s="76">
        <v>0</v>
      </c>
      <c r="G85" s="76">
        <f ca="1">SUM($F65:F65)*($H38+G$11*$F17)</f>
        <v>31733.539105019176</v>
      </c>
      <c r="H85" s="76">
        <f ca="1">SUM($F65:G65)*($H38+H$11*$F17)</f>
        <v>36445.324607439426</v>
      </c>
      <c r="I85" s="76">
        <f ca="1">SUM($F65:H65)*($H38+I$11*$F17)</f>
        <v>40080.039868626227</v>
      </c>
      <c r="J85" s="76">
        <f ca="1">SUM($F65:I65)*($H38+J$11*$F17)</f>
        <v>47868.665040632717</v>
      </c>
      <c r="K85" s="79"/>
      <c r="L85" s="79">
        <f t="shared" ref="L85" ca="1" si="15">SUM(F85:J85)</f>
        <v>156127.56862171754</v>
      </c>
    </row>
    <row r="86" spans="1:12" x14ac:dyDescent="0.35">
      <c r="B86" t="s">
        <v>99</v>
      </c>
      <c r="D86" s="81" t="s">
        <v>20</v>
      </c>
      <c r="F86" s="76">
        <v>0</v>
      </c>
      <c r="G86" s="76">
        <f>SUM($F66:F66)*($H39+G$11*$F18)</f>
        <v>11286.65069127057</v>
      </c>
      <c r="H86" s="76">
        <f>SUM($F66:G66)*($H39+H$11*$F18)</f>
        <v>11343.121937339596</v>
      </c>
      <c r="I86" s="76">
        <f>SUM($F66:H66)*($H39+I$11*$F18)</f>
        <v>11437.240680787974</v>
      </c>
      <c r="J86" s="76">
        <f>SUM($F66:I66)*($H39+J$11*$F18)</f>
        <v>11521.947549891514</v>
      </c>
      <c r="K86" s="79"/>
      <c r="L86" s="79">
        <f>SUM(F86:J86)</f>
        <v>45588.960859289655</v>
      </c>
    </row>
    <row r="87" spans="1:12" x14ac:dyDescent="0.35">
      <c r="B87" s="40" t="s">
        <v>347</v>
      </c>
      <c r="C87" s="94"/>
      <c r="D87" s="94"/>
      <c r="E87" s="40"/>
      <c r="F87" s="106">
        <f>SUM(F84:F86)</f>
        <v>0</v>
      </c>
      <c r="G87" s="106">
        <f ca="1">SUM(G84:G86)</f>
        <v>45854.461497143348</v>
      </c>
      <c r="H87" s="106">
        <f t="shared" ref="H87" ca="1" si="16">SUM(H84:H86)</f>
        <v>53580.157590271418</v>
      </c>
      <c r="I87" s="106">
        <f t="shared" ref="I87" ca="1" si="17">SUM(I84:I86)</f>
        <v>72506.747130717908</v>
      </c>
      <c r="J87" s="106">
        <f t="shared" ref="J87" ca="1" si="18">SUM(J84:J86)</f>
        <v>93390.193136657894</v>
      </c>
      <c r="K87" s="79"/>
      <c r="L87" s="106">
        <f ca="1">SUM(F87:J87)</f>
        <v>265331.55935479054</v>
      </c>
    </row>
    <row r="88" spans="1:12" x14ac:dyDescent="0.35">
      <c r="F88" s="79"/>
      <c r="G88" s="79"/>
      <c r="H88" s="79"/>
      <c r="I88" s="79"/>
      <c r="J88" s="79"/>
      <c r="K88" s="79"/>
      <c r="L88" s="79"/>
    </row>
    <row r="89" spans="1:12" x14ac:dyDescent="0.35">
      <c r="A89" s="67" t="s">
        <v>378</v>
      </c>
      <c r="F89" s="79"/>
      <c r="G89" s="79"/>
      <c r="H89" s="79"/>
      <c r="I89" s="79"/>
      <c r="J89" s="79"/>
      <c r="K89" s="79"/>
      <c r="L89" s="79"/>
    </row>
    <row r="90" spans="1:12" x14ac:dyDescent="0.35">
      <c r="B90" s="48" t="s">
        <v>358</v>
      </c>
      <c r="C90" s="32"/>
      <c r="D90" s="85" t="s">
        <v>360</v>
      </c>
      <c r="E90" s="32"/>
      <c r="F90" s="121" t="s">
        <v>0</v>
      </c>
      <c r="G90" s="121" t="s">
        <v>1</v>
      </c>
      <c r="H90" s="121" t="s">
        <v>2</v>
      </c>
      <c r="I90" s="121" t="s">
        <v>3</v>
      </c>
      <c r="J90" s="121" t="s">
        <v>4</v>
      </c>
      <c r="K90" s="79"/>
      <c r="L90" s="121" t="s">
        <v>347</v>
      </c>
    </row>
    <row r="91" spans="1:12" x14ac:dyDescent="0.35">
      <c r="B91" t="s">
        <v>74</v>
      </c>
      <c r="D91" s="81" t="s">
        <v>193</v>
      </c>
      <c r="F91" s="76">
        <v>0</v>
      </c>
      <c r="G91" s="76">
        <f ca="1">SUM($F64:F64)*$H37</f>
        <v>1920.7783427800759</v>
      </c>
      <c r="H91" s="76">
        <f ca="1">SUM($F64:G64)*$H37</f>
        <v>3841.5566855601519</v>
      </c>
      <c r="I91" s="76">
        <f ca="1">SUM($F64:H64)*$H37</f>
        <v>13445.448399460533</v>
      </c>
      <c r="J91" s="76">
        <f ca="1">SUM($F64:I64)*$H37</f>
        <v>21128.561770580836</v>
      </c>
      <c r="K91" s="79"/>
      <c r="L91" s="79">
        <f ca="1">SUM(F91:J91)</f>
        <v>40336.345198381598</v>
      </c>
    </row>
    <row r="92" spans="1:12" x14ac:dyDescent="0.35">
      <c r="B92" t="s">
        <v>74</v>
      </c>
      <c r="D92" s="81" t="s">
        <v>20</v>
      </c>
      <c r="F92" s="76">
        <v>0</v>
      </c>
      <c r="G92" s="76">
        <f ca="1">SUM($F65:F65)*$H38</f>
        <v>18747.911872839948</v>
      </c>
      <c r="H92" s="76">
        <f ca="1">SUM($F65:G65)*$H38</f>
        <v>20953.548563762299</v>
      </c>
      <c r="I92" s="76">
        <f ca="1">SUM($F65:H65)*$H38</f>
        <v>22056.36690922347</v>
      </c>
      <c r="J92" s="76">
        <f ca="1">SUM($F65:I65)*$H38</f>
        <v>25364.821945606993</v>
      </c>
      <c r="K92" s="79"/>
      <c r="L92" s="79">
        <f t="shared" ref="L92" ca="1" si="19">SUM(F92:J92)</f>
        <v>87122.64929143271</v>
      </c>
    </row>
    <row r="93" spans="1:12" x14ac:dyDescent="0.35">
      <c r="B93" t="s">
        <v>99</v>
      </c>
      <c r="D93" s="81" t="s">
        <v>20</v>
      </c>
      <c r="F93" s="76">
        <v>0</v>
      </c>
      <c r="G93" s="76">
        <f>SUM($F66:F66)*$H39</f>
        <v>10448.993874580006</v>
      </c>
      <c r="H93" s="76">
        <f>SUM($F66:G66)*$H39</f>
        <v>10448.993874580006</v>
      </c>
      <c r="I93" s="76">
        <f>SUM($F66:H66)*$H39</f>
        <v>10448.993874580006</v>
      </c>
      <c r="J93" s="76">
        <f>SUM($F66:I66)*$H39</f>
        <v>10448.993874580006</v>
      </c>
      <c r="K93" s="79"/>
      <c r="L93" s="79">
        <f>SUM(F93:J93)</f>
        <v>41795.975498320026</v>
      </c>
    </row>
    <row r="94" spans="1:12" x14ac:dyDescent="0.35">
      <c r="B94" s="40" t="s">
        <v>347</v>
      </c>
      <c r="C94" s="94"/>
      <c r="D94" s="94"/>
      <c r="E94" s="40"/>
      <c r="F94" s="106">
        <f>SUM(F91:F93)</f>
        <v>0</v>
      </c>
      <c r="G94" s="106">
        <f t="shared" ref="G94" ca="1" si="20">SUM(G91:G93)</f>
        <v>31117.684090200029</v>
      </c>
      <c r="H94" s="106">
        <f t="shared" ref="H94" ca="1" si="21">SUM(H91:H93)</f>
        <v>35244.099123902459</v>
      </c>
      <c r="I94" s="106">
        <f t="shared" ref="I94" ca="1" si="22">SUM(I91:I93)</f>
        <v>45950.809183264006</v>
      </c>
      <c r="J94" s="106">
        <f t="shared" ref="J94" ca="1" si="23">SUM(J91:J93)</f>
        <v>56942.377590767835</v>
      </c>
      <c r="K94" s="79"/>
      <c r="L94" s="106">
        <f ca="1">SUM(F94:J94)</f>
        <v>169254.96998813434</v>
      </c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5B0D-362D-4FC8-B721-8C91239579B9}">
  <sheetPr codeName="Sheet3"/>
  <dimension ref="A1:W76"/>
  <sheetViews>
    <sheetView showGridLines="0" zoomScale="80" workbookViewId="0">
      <selection sqref="A1:XFD2"/>
    </sheetView>
  </sheetViews>
  <sheetFormatPr defaultRowHeight="14.5" x14ac:dyDescent="0.35"/>
  <cols>
    <col min="2" max="2" width="26.54296875" bestFit="1" customWidth="1"/>
    <col min="3" max="3" width="13.54296875" customWidth="1"/>
    <col min="4" max="4" width="4.81640625" customWidth="1"/>
    <col min="5" max="6" width="13.7265625" bestFit="1" customWidth="1"/>
    <col min="7" max="8" width="13.81640625" bestFit="1" customWidth="1"/>
    <col min="9" max="9" width="14.7265625" bestFit="1" customWidth="1"/>
    <col min="10" max="10" width="4.453125" customWidth="1"/>
    <col min="11" max="11" width="14.7265625" bestFit="1" customWidth="1"/>
    <col min="13" max="17" width="9.26953125" bestFit="1" customWidth="1"/>
    <col min="18" max="18" width="3.54296875" customWidth="1"/>
    <col min="19" max="19" width="9.26953125" bestFit="1" customWidth="1"/>
  </cols>
  <sheetData>
    <row r="1" spans="1:23" ht="23.5" x14ac:dyDescent="0.55000000000000004">
      <c r="A1" s="145" t="s">
        <v>403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2" spans="1:23" ht="21" x14ac:dyDescent="0.5">
      <c r="A2" s="144" t="s">
        <v>413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4" spans="1:23" s="32" customFormat="1" x14ac:dyDescent="0.35">
      <c r="A4" s="33" t="s">
        <v>348</v>
      </c>
    </row>
    <row r="6" spans="1:23" x14ac:dyDescent="0.35">
      <c r="E6" s="140" t="s">
        <v>380</v>
      </c>
      <c r="F6" s="140"/>
      <c r="G6" s="140"/>
      <c r="H6" s="140"/>
      <c r="I6" s="140"/>
      <c r="J6" s="140"/>
      <c r="K6" s="140"/>
      <c r="M6" s="141" t="s">
        <v>388</v>
      </c>
      <c r="N6" s="141"/>
      <c r="O6" s="141"/>
      <c r="P6" s="141"/>
      <c r="Q6" s="141"/>
      <c r="R6" s="141"/>
      <c r="S6" s="141"/>
      <c r="U6" s="108" t="s">
        <v>100</v>
      </c>
      <c r="W6" s="108" t="s">
        <v>392</v>
      </c>
    </row>
    <row r="7" spans="1:23" x14ac:dyDescent="0.35">
      <c r="B7" s="139" t="s">
        <v>381</v>
      </c>
      <c r="C7" s="139"/>
      <c r="D7" s="58"/>
      <c r="E7" s="52" t="s">
        <v>0</v>
      </c>
      <c r="F7" s="52" t="s">
        <v>1</v>
      </c>
      <c r="G7" s="52" t="s">
        <v>2</v>
      </c>
      <c r="H7" s="52" t="s">
        <v>3</v>
      </c>
      <c r="I7" s="52" t="s">
        <v>4</v>
      </c>
      <c r="J7" s="58"/>
      <c r="K7" s="59" t="s">
        <v>347</v>
      </c>
      <c r="M7" s="52" t="s">
        <v>0</v>
      </c>
      <c r="N7" s="52" t="s">
        <v>1</v>
      </c>
      <c r="O7" s="52" t="s">
        <v>2</v>
      </c>
      <c r="P7" s="52" t="s">
        <v>3</v>
      </c>
      <c r="Q7" s="52" t="s">
        <v>4</v>
      </c>
      <c r="S7" s="59" t="s">
        <v>347</v>
      </c>
      <c r="U7" s="59" t="s">
        <v>393</v>
      </c>
      <c r="W7" s="59" t="s">
        <v>347</v>
      </c>
    </row>
    <row r="8" spans="1:23" x14ac:dyDescent="0.35">
      <c r="B8" s="37" t="s">
        <v>74</v>
      </c>
      <c r="C8" s="37" t="s">
        <v>95</v>
      </c>
      <c r="D8" s="30"/>
      <c r="E8" s="41">
        <f>SUMIFS('Fleet schedule'!R$6:R$460,'Fleet schedule'!$D$6:$D$460,$B8,'Fleet schedule'!$E$6:$E$460,$C8,'Fleet schedule'!$F$6:$F$460,"UE")</f>
        <v>1204000</v>
      </c>
      <c r="F8" s="41">
        <f>SUMIFS('Fleet schedule'!S$6:S$460,'Fleet schedule'!$D$6:$D$460,$B8,'Fleet schedule'!$E$6:$E$460,$C8,'Fleet schedule'!$F$6:$F$460,"UE")</f>
        <v>148000</v>
      </c>
      <c r="G8" s="41">
        <f>SUMIFS('Fleet schedule'!T$6:T$460,'Fleet schedule'!$D$6:$D$460,$B8,'Fleet schedule'!$E$6:$E$460,$C8,'Fleet schedule'!$F$6:$F$460,"UE")</f>
        <v>264000</v>
      </c>
      <c r="H8" s="41">
        <f>SUMIFS('Fleet schedule'!U$6:U$460,'Fleet schedule'!$D$6:$D$460,$B8,'Fleet schedule'!$E$6:$E$460,$C8,'Fleet schedule'!$F$6:$F$460,"UE")</f>
        <v>252000</v>
      </c>
      <c r="I8" s="41">
        <f>SUMIFS('Fleet schedule'!V$6:V$460,'Fleet schedule'!$D$6:$D$460,$B8,'Fleet schedule'!$E$6:$E$460,$C8,'Fleet schedule'!$F$6:$F$460,"UE")</f>
        <v>244000</v>
      </c>
      <c r="J8" s="30"/>
      <c r="K8" s="41">
        <f>SUM(E8:I8)</f>
        <v>2112000</v>
      </c>
      <c r="M8" s="44">
        <f>COUNTIFS('Fleet schedule'!G$6:G$460,"&gt;0",'Fleet schedule'!$D$6:$D$460,$B8,'Fleet schedule'!$E$6:$E$460,$C8,'Fleet schedule'!$F$6:$F$460,"UE")</f>
        <v>17</v>
      </c>
      <c r="N8" s="44">
        <f>COUNTIFS('Fleet schedule'!H$6:H$460,"&gt;0",'Fleet schedule'!$D$6:$D$460,$B8,'Fleet schedule'!$E$6:$E$460,$C8,'Fleet schedule'!$F$6:$F$460,"UE")</f>
        <v>3</v>
      </c>
      <c r="O8" s="44">
        <f>COUNTIFS('Fleet schedule'!I$6:I$460,"&gt;0",'Fleet schedule'!$D$6:$D$460,$B8,'Fleet schedule'!$E$6:$E$460,$C8,'Fleet schedule'!$F$6:$F$460,"UE")</f>
        <v>5</v>
      </c>
      <c r="P8" s="44">
        <f>COUNTIFS('Fleet schedule'!J$6:J$460,"&gt;0",'Fleet schedule'!$D$6:$D$460,$B8,'Fleet schedule'!$E$6:$E$460,$C8,'Fleet schedule'!$F$6:$F$460,"UE")</f>
        <v>4</v>
      </c>
      <c r="Q8" s="44">
        <f>COUNTIFS('Fleet schedule'!K$6:K$460,"&gt;0",'Fleet schedule'!$D$6:$D$460,$B8,'Fleet schedule'!$E$6:$E$460,$C8,'Fleet schedule'!$F$6:$F$460,"UE")</f>
        <v>3</v>
      </c>
      <c r="S8" s="44">
        <f>SUM(M8:Q8)</f>
        <v>32</v>
      </c>
      <c r="U8" s="44">
        <f>COUNTIFS('Fleet schedule'!O$6:O$460,"",'Fleet schedule'!$D$6:$D$460,$B8,'Fleet schedule'!$E$6:$E$460,$C8,'Fleet schedule'!$F$6:$F$460,"UE")</f>
        <v>1</v>
      </c>
      <c r="W8" s="44">
        <f>S8+U8</f>
        <v>33</v>
      </c>
    </row>
    <row r="9" spans="1:23" x14ac:dyDescent="0.35">
      <c r="B9" s="37" t="s">
        <v>74</v>
      </c>
      <c r="C9" s="37" t="s">
        <v>20</v>
      </c>
      <c r="D9" s="30"/>
      <c r="E9" s="41">
        <f>SUMIFS('Fleet schedule'!R$6:R$460,'Fleet schedule'!$D$6:$D$460,$B9,'Fleet schedule'!$E$6:$E$460,$C9,'Fleet schedule'!$F$6:$F$460,"UE")</f>
        <v>0</v>
      </c>
      <c r="F9" s="41">
        <f>SUMIFS('Fleet schedule'!S$6:S$460,'Fleet schedule'!$D$6:$D$460,$B9,'Fleet schedule'!$E$6:$E$460,$C9,'Fleet schedule'!$F$6:$F$460,"UE")</f>
        <v>0</v>
      </c>
      <c r="G9" s="41">
        <f>SUMIFS('Fleet schedule'!T$6:T$460,'Fleet schedule'!$D$6:$D$460,$B9,'Fleet schedule'!$E$6:$E$460,$C9,'Fleet schedule'!$F$6:$F$460,"UE")</f>
        <v>130000</v>
      </c>
      <c r="H9" s="41">
        <f>SUMIFS('Fleet schedule'!U$6:U$460,'Fleet schedule'!$D$6:$D$460,$B9,'Fleet schedule'!$E$6:$E$460,$C9,'Fleet schedule'!$F$6:$F$460,"UE")</f>
        <v>0</v>
      </c>
      <c r="I9" s="41">
        <f>SUMIFS('Fleet schedule'!V$6:V$460,'Fleet schedule'!$D$6:$D$460,$B9,'Fleet schedule'!$E$6:$E$460,$C9,'Fleet schedule'!$F$6:$F$460,"UE")</f>
        <v>0</v>
      </c>
      <c r="J9" s="30"/>
      <c r="K9" s="41">
        <f t="shared" ref="K9:K23" si="0">SUM(E9:I9)</f>
        <v>130000</v>
      </c>
      <c r="M9" s="44">
        <f>COUNTIFS('Fleet schedule'!G$6:G$460,"&gt;0",'Fleet schedule'!$D$6:$D$460,$B9,'Fleet schedule'!$E$6:$E$460,$C9,'Fleet schedule'!$F$6:$F$460,"UE")</f>
        <v>0</v>
      </c>
      <c r="N9" s="44">
        <f>COUNTIFS('Fleet schedule'!H$6:H$460,"&gt;0",'Fleet schedule'!$D$6:$D$460,$B9,'Fleet schedule'!$E$6:$E$460,$C9,'Fleet schedule'!$F$6:$F$460,"UE")</f>
        <v>0</v>
      </c>
      <c r="O9" s="44">
        <f>COUNTIFS('Fleet schedule'!I$6:I$460,"&gt;0",'Fleet schedule'!$D$6:$D$460,$B9,'Fleet schedule'!$E$6:$E$460,$C9,'Fleet schedule'!$F$6:$F$460,"UE")</f>
        <v>1</v>
      </c>
      <c r="P9" s="44">
        <f>COUNTIFS('Fleet schedule'!J$6:J$460,"&gt;0",'Fleet schedule'!$D$6:$D$460,$B9,'Fleet schedule'!$E$6:$E$460,$C9,'Fleet schedule'!$F$6:$F$460,"UE")</f>
        <v>0</v>
      </c>
      <c r="Q9" s="44">
        <f>COUNTIFS('Fleet schedule'!K$6:K$460,"&gt;0",'Fleet schedule'!$D$6:$D$460,$B9,'Fleet schedule'!$E$6:$E$460,$C9,'Fleet schedule'!$F$6:$F$460,"UE")</f>
        <v>0</v>
      </c>
      <c r="S9" s="44">
        <f t="shared" ref="S9:S23" si="1">SUM(M9:Q9)</f>
        <v>1</v>
      </c>
      <c r="U9" s="44">
        <f>COUNTIFS('Fleet schedule'!O$6:O$460,"",'Fleet schedule'!$D$6:$D$460,$B9,'Fleet schedule'!$E$6:$E$460,$C9,'Fleet schedule'!$F$6:$F$460,"UE")</f>
        <v>0</v>
      </c>
      <c r="W9" s="44">
        <f t="shared" ref="W9:W23" si="2">S9+U9</f>
        <v>1</v>
      </c>
    </row>
    <row r="10" spans="1:23" x14ac:dyDescent="0.35">
      <c r="B10" s="37" t="s">
        <v>74</v>
      </c>
      <c r="C10" s="37" t="s">
        <v>193</v>
      </c>
      <c r="D10" s="30"/>
      <c r="E10" s="41">
        <f>SUMIFS('Fleet schedule'!R$6:R$460,'Fleet schedule'!$D$6:$D$460,$B10,'Fleet schedule'!$E$6:$E$460,$C10,'Fleet schedule'!$F$6:$F$460,"UE")</f>
        <v>0</v>
      </c>
      <c r="F10" s="41">
        <f>SUMIFS('Fleet schedule'!S$6:S$460,'Fleet schedule'!$D$6:$D$460,$B10,'Fleet schedule'!$E$6:$E$460,$C10,'Fleet schedule'!$F$6:$F$460,"UE")</f>
        <v>0</v>
      </c>
      <c r="G10" s="41">
        <f>SUMIFS('Fleet schedule'!T$6:T$460,'Fleet schedule'!$D$6:$D$460,$B10,'Fleet schedule'!$E$6:$E$460,$C10,'Fleet schedule'!$F$6:$F$460,"UE")</f>
        <v>66000</v>
      </c>
      <c r="H10" s="41">
        <f>SUMIFS('Fleet schedule'!U$6:U$460,'Fleet schedule'!$D$6:$D$460,$B10,'Fleet schedule'!$E$6:$E$460,$C10,'Fleet schedule'!$F$6:$F$460,"UE")</f>
        <v>0</v>
      </c>
      <c r="I10" s="41">
        <f>SUMIFS('Fleet schedule'!V$6:V$460,'Fleet schedule'!$D$6:$D$460,$B10,'Fleet schedule'!$E$6:$E$460,$C10,'Fleet schedule'!$F$6:$F$460,"UE")</f>
        <v>0</v>
      </c>
      <c r="J10" s="30"/>
      <c r="K10" s="41">
        <f t="shared" si="0"/>
        <v>66000</v>
      </c>
      <c r="M10" s="44">
        <f>COUNTIFS('Fleet schedule'!G$6:G$460,"&gt;0",'Fleet schedule'!$D$6:$D$460,$B10,'Fleet schedule'!$E$6:$E$460,$C10,'Fleet schedule'!$F$6:$F$460,"UE")</f>
        <v>0</v>
      </c>
      <c r="N10" s="44">
        <f>COUNTIFS('Fleet schedule'!H$6:H$460,"&gt;0",'Fleet schedule'!$D$6:$D$460,$B10,'Fleet schedule'!$E$6:$E$460,$C10,'Fleet schedule'!$F$6:$F$460,"UE")</f>
        <v>0</v>
      </c>
      <c r="O10" s="44">
        <f>COUNTIFS('Fleet schedule'!I$6:I$460,"&gt;0",'Fleet schedule'!$D$6:$D$460,$B10,'Fleet schedule'!$E$6:$E$460,$C10,'Fleet schedule'!$F$6:$F$460,"UE")</f>
        <v>1</v>
      </c>
      <c r="P10" s="44">
        <f>COUNTIFS('Fleet schedule'!J$6:J$460,"&gt;0",'Fleet schedule'!$D$6:$D$460,$B10,'Fleet schedule'!$E$6:$E$460,$C10,'Fleet schedule'!$F$6:$F$460,"UE")</f>
        <v>0</v>
      </c>
      <c r="Q10" s="44">
        <f>COUNTIFS('Fleet schedule'!K$6:K$460,"&gt;0",'Fleet schedule'!$D$6:$D$460,$B10,'Fleet schedule'!$E$6:$E$460,$C10,'Fleet schedule'!$F$6:$F$460,"UE")</f>
        <v>0</v>
      </c>
      <c r="S10" s="44">
        <f t="shared" si="1"/>
        <v>1</v>
      </c>
      <c r="U10" s="44">
        <f>COUNTIFS('Fleet schedule'!O$6:O$460,"",'Fleet schedule'!$D$6:$D$460,$B10,'Fleet schedule'!$E$6:$E$460,$C10,'Fleet schedule'!$F$6:$F$460,"UE")</f>
        <v>0</v>
      </c>
      <c r="W10" s="44">
        <f t="shared" si="2"/>
        <v>1</v>
      </c>
    </row>
    <row r="11" spans="1:23" x14ac:dyDescent="0.35">
      <c r="B11" t="s">
        <v>99</v>
      </c>
      <c r="C11" t="s">
        <v>95</v>
      </c>
      <c r="D11" s="30"/>
      <c r="E11" s="42">
        <f>SUMIFS('Fleet schedule'!R$6:R$460,'Fleet schedule'!$D$6:$D$460,$B11,'Fleet schedule'!$E$6:$E$460,$C11,'Fleet schedule'!$F$6:$F$460,"UE")</f>
        <v>565000</v>
      </c>
      <c r="F11" s="42">
        <f>SUMIFS('Fleet schedule'!S$6:S$460,'Fleet schedule'!$D$6:$D$460,$B11,'Fleet schedule'!$E$6:$E$460,$C11,'Fleet schedule'!$F$6:$F$460,"UE")</f>
        <v>240000</v>
      </c>
      <c r="G11" s="42">
        <f>SUMIFS('Fleet schedule'!T$6:T$460,'Fleet schedule'!$D$6:$D$460,$B11,'Fleet schedule'!$E$6:$E$460,$C11,'Fleet schedule'!$F$6:$F$460,"UE")</f>
        <v>210000</v>
      </c>
      <c r="H11" s="42">
        <f>SUMIFS('Fleet schedule'!U$6:U$460,'Fleet schedule'!$D$6:$D$460,$B11,'Fleet schedule'!$E$6:$E$460,$C11,'Fleet schedule'!$F$6:$F$460,"UE")</f>
        <v>25000</v>
      </c>
      <c r="I11" s="42">
        <f>SUMIFS('Fleet schedule'!V$6:V$460,'Fleet schedule'!$D$6:$D$460,$B11,'Fleet schedule'!$E$6:$E$460,$C11,'Fleet schedule'!$F$6:$F$460,"UE")</f>
        <v>1100000</v>
      </c>
      <c r="J11" s="30"/>
      <c r="K11" s="42">
        <f t="shared" si="0"/>
        <v>2140000</v>
      </c>
      <c r="M11" s="45">
        <f>COUNTIFS('Fleet schedule'!G$6:G$460,"&gt;0",'Fleet schedule'!$D$6:$D$460,$B11,'Fleet schedule'!$E$6:$E$460,$C11,'Fleet schedule'!$F$6:$F$460,"UE")</f>
        <v>6</v>
      </c>
      <c r="N11" s="45">
        <f>COUNTIFS('Fleet schedule'!H$6:H$460,"&gt;0",'Fleet schedule'!$D$6:$D$460,$B11,'Fleet schedule'!$E$6:$E$460,$C11,'Fleet schedule'!$F$6:$F$460,"UE")</f>
        <v>3</v>
      </c>
      <c r="O11" s="45">
        <f>COUNTIFS('Fleet schedule'!I$6:I$460,"&gt;0",'Fleet schedule'!$D$6:$D$460,$B11,'Fleet schedule'!$E$6:$E$460,$C11,'Fleet schedule'!$F$6:$F$460,"UE")</f>
        <v>1</v>
      </c>
      <c r="P11" s="45">
        <f>COUNTIFS('Fleet schedule'!J$6:J$460,"&gt;0",'Fleet schedule'!$D$6:$D$460,$B11,'Fleet schedule'!$E$6:$E$460,$C11,'Fleet schedule'!$F$6:$F$460,"UE")</f>
        <v>1</v>
      </c>
      <c r="Q11" s="45">
        <f>COUNTIFS('Fleet schedule'!K$6:K$460,"&gt;0",'Fleet schedule'!$D$6:$D$460,$B11,'Fleet schedule'!$E$6:$E$460,$C11,'Fleet schedule'!$F$6:$F$460,"UE")</f>
        <v>13</v>
      </c>
      <c r="S11" s="45">
        <f t="shared" si="1"/>
        <v>24</v>
      </c>
      <c r="U11" s="45">
        <f>COUNTIFS('Fleet schedule'!O$6:O$460,"",'Fleet schedule'!$D$6:$D$460,$B11,'Fleet schedule'!$E$6:$E$460,$C11,'Fleet schedule'!$F$6:$F$460,"UE")</f>
        <v>4</v>
      </c>
      <c r="W11" s="45">
        <f t="shared" si="2"/>
        <v>28</v>
      </c>
    </row>
    <row r="12" spans="1:23" x14ac:dyDescent="0.35">
      <c r="B12" t="s">
        <v>99</v>
      </c>
      <c r="C12" t="s">
        <v>20</v>
      </c>
      <c r="D12" s="30"/>
      <c r="E12" s="42">
        <f>SUMIFS('Fleet schedule'!R$6:R$460,'Fleet schedule'!$D$6:$D$460,$B12,'Fleet schedule'!$E$6:$E$460,$C12,'Fleet schedule'!$F$6:$F$460,"UE")</f>
        <v>0</v>
      </c>
      <c r="F12" s="42">
        <f>SUMIFS('Fleet schedule'!S$6:S$460,'Fleet schedule'!$D$6:$D$460,$B12,'Fleet schedule'!$E$6:$E$460,$C12,'Fleet schedule'!$F$6:$F$460,"UE")</f>
        <v>0</v>
      </c>
      <c r="G12" s="42">
        <f>SUMIFS('Fleet schedule'!T$6:T$460,'Fleet schedule'!$D$6:$D$460,$B12,'Fleet schedule'!$E$6:$E$460,$C12,'Fleet schedule'!$F$6:$F$460,"UE")</f>
        <v>0</v>
      </c>
      <c r="H12" s="42">
        <f>SUMIFS('Fleet schedule'!U$6:U$460,'Fleet schedule'!$D$6:$D$460,$B12,'Fleet schedule'!$E$6:$E$460,$C12,'Fleet schedule'!$F$6:$F$460,"UE")</f>
        <v>0</v>
      </c>
      <c r="I12" s="42">
        <f>SUMIFS('Fleet schedule'!V$6:V$460,'Fleet schedule'!$D$6:$D$460,$B12,'Fleet schedule'!$E$6:$E$460,$C12,'Fleet schedule'!$F$6:$F$460,"UE")</f>
        <v>0</v>
      </c>
      <c r="J12" s="30"/>
      <c r="K12" s="42">
        <f t="shared" si="0"/>
        <v>0</v>
      </c>
      <c r="M12" s="45">
        <f>COUNTIFS('Fleet schedule'!G$6:G$460,"&gt;0",'Fleet schedule'!$D$6:$D$460,$B12,'Fleet schedule'!$E$6:$E$460,$C12,'Fleet schedule'!$F$6:$F$460,"UE")</f>
        <v>0</v>
      </c>
      <c r="N12" s="45">
        <f>COUNTIFS('Fleet schedule'!H$6:H$460,"&gt;0",'Fleet schedule'!$D$6:$D$460,$B12,'Fleet schedule'!$E$6:$E$460,$C12,'Fleet schedule'!$F$6:$F$460,"UE")</f>
        <v>0</v>
      </c>
      <c r="O12" s="45">
        <f>COUNTIFS('Fleet schedule'!I$6:I$460,"&gt;0",'Fleet schedule'!$D$6:$D$460,$B12,'Fleet schedule'!$E$6:$E$460,$C12,'Fleet schedule'!$F$6:$F$460,"UE")</f>
        <v>0</v>
      </c>
      <c r="P12" s="45">
        <f>COUNTIFS('Fleet schedule'!J$6:J$460,"&gt;0",'Fleet schedule'!$D$6:$D$460,$B12,'Fleet schedule'!$E$6:$E$460,$C12,'Fleet schedule'!$F$6:$F$460,"UE")</f>
        <v>0</v>
      </c>
      <c r="Q12" s="45">
        <f>COUNTIFS('Fleet schedule'!K$6:K$460,"&gt;0",'Fleet schedule'!$D$6:$D$460,$B12,'Fleet schedule'!$E$6:$E$460,$C12,'Fleet schedule'!$F$6:$F$460,"UE")</f>
        <v>0</v>
      </c>
      <c r="S12" s="45">
        <f t="shared" si="1"/>
        <v>0</v>
      </c>
      <c r="U12" s="45">
        <f>COUNTIFS('Fleet schedule'!O$6:O$460,"",'Fleet schedule'!$D$6:$D$460,$B12,'Fleet schedule'!$E$6:$E$460,$C12,'Fleet schedule'!$F$6:$F$460,"UE")</f>
        <v>0</v>
      </c>
      <c r="W12" s="45">
        <f t="shared" si="2"/>
        <v>0</v>
      </c>
    </row>
    <row r="13" spans="1:23" x14ac:dyDescent="0.35">
      <c r="B13" t="s">
        <v>99</v>
      </c>
      <c r="C13" t="s">
        <v>193</v>
      </c>
      <c r="D13" s="30"/>
      <c r="E13" s="42">
        <f>SUMIFS('Fleet schedule'!R$6:R$460,'Fleet schedule'!$D$6:$D$460,$B13,'Fleet schedule'!$E$6:$E$460,$C13,'Fleet schedule'!$F$6:$F$460,"UE")</f>
        <v>0</v>
      </c>
      <c r="F13" s="42">
        <f>SUMIFS('Fleet schedule'!S$6:S$460,'Fleet schedule'!$D$6:$D$460,$B13,'Fleet schedule'!$E$6:$E$460,$C13,'Fleet schedule'!$F$6:$F$460,"UE")</f>
        <v>0</v>
      </c>
      <c r="G13" s="42">
        <f>SUMIFS('Fleet schedule'!T$6:T$460,'Fleet schedule'!$D$6:$D$460,$B13,'Fleet schedule'!$E$6:$E$460,$C13,'Fleet schedule'!$F$6:$F$460,"UE")</f>
        <v>0</v>
      </c>
      <c r="H13" s="42">
        <f>SUMIFS('Fleet schedule'!U$6:U$460,'Fleet schedule'!$D$6:$D$460,$B13,'Fleet schedule'!$E$6:$E$460,$C13,'Fleet schedule'!$F$6:$F$460,"UE")</f>
        <v>0</v>
      </c>
      <c r="I13" s="42">
        <f>SUMIFS('Fleet schedule'!V$6:V$460,'Fleet schedule'!$D$6:$D$460,$B13,'Fleet schedule'!$E$6:$E$460,$C13,'Fleet schedule'!$F$6:$F$460,"UE")</f>
        <v>0</v>
      </c>
      <c r="J13" s="30"/>
      <c r="K13" s="42">
        <f t="shared" si="0"/>
        <v>0</v>
      </c>
      <c r="M13" s="45">
        <f>COUNTIFS('Fleet schedule'!G$6:G$460,"&gt;0",'Fleet schedule'!$D$6:$D$460,$B13,'Fleet schedule'!$E$6:$E$460,$C13,'Fleet schedule'!$F$6:$F$460,"UE")</f>
        <v>0</v>
      </c>
      <c r="N13" s="45">
        <f>COUNTIFS('Fleet schedule'!H$6:H$460,"&gt;0",'Fleet schedule'!$D$6:$D$460,$B13,'Fleet schedule'!$E$6:$E$460,$C13,'Fleet schedule'!$F$6:$F$460,"UE")</f>
        <v>0</v>
      </c>
      <c r="O13" s="45">
        <f>COUNTIFS('Fleet schedule'!I$6:I$460,"&gt;0",'Fleet schedule'!$D$6:$D$460,$B13,'Fleet schedule'!$E$6:$E$460,$C13,'Fleet schedule'!$F$6:$F$460,"UE")</f>
        <v>0</v>
      </c>
      <c r="P13" s="45">
        <f>COUNTIFS('Fleet schedule'!J$6:J$460,"&gt;0",'Fleet schedule'!$D$6:$D$460,$B13,'Fleet schedule'!$E$6:$E$460,$C13,'Fleet schedule'!$F$6:$F$460,"UE")</f>
        <v>0</v>
      </c>
      <c r="Q13" s="45">
        <f>COUNTIFS('Fleet schedule'!K$6:K$460,"&gt;0",'Fleet schedule'!$D$6:$D$460,$B13,'Fleet schedule'!$E$6:$E$460,$C13,'Fleet schedule'!$F$6:$F$460,"UE")</f>
        <v>0</v>
      </c>
      <c r="S13" s="45">
        <f t="shared" si="1"/>
        <v>0</v>
      </c>
      <c r="U13" s="45">
        <f>COUNTIFS('Fleet schedule'!O$6:O$460,"",'Fleet schedule'!$D$6:$D$460,$B13,'Fleet schedule'!$E$6:$E$460,$C13,'Fleet schedule'!$F$6:$F$460,"UE")</f>
        <v>2</v>
      </c>
      <c r="W13" s="45">
        <f t="shared" si="2"/>
        <v>2</v>
      </c>
    </row>
    <row r="14" spans="1:23" x14ac:dyDescent="0.35">
      <c r="B14" s="37" t="s">
        <v>21</v>
      </c>
      <c r="C14" s="37" t="s">
        <v>95</v>
      </c>
      <c r="D14" s="30"/>
      <c r="E14" s="41">
        <f>SUMIFS('Fleet schedule'!R$6:R$460,'Fleet schedule'!$D$6:$D$460,$B14,'Fleet schedule'!$E$6:$E$460,$C14,'Fleet schedule'!$F$6:$F$460,"UE")</f>
        <v>0</v>
      </c>
      <c r="F14" s="41">
        <f>SUMIFS('Fleet schedule'!S$6:S$460,'Fleet schedule'!$D$6:$D$460,$B14,'Fleet schedule'!$E$6:$E$460,$C14,'Fleet schedule'!$F$6:$F$460,"UE")</f>
        <v>0</v>
      </c>
      <c r="G14" s="41">
        <f>SUMIFS('Fleet schedule'!T$6:T$460,'Fleet schedule'!$D$6:$D$460,$B14,'Fleet schedule'!$E$6:$E$460,$C14,'Fleet schedule'!$F$6:$F$460,"UE")</f>
        <v>0</v>
      </c>
      <c r="H14" s="41">
        <f>SUMIFS('Fleet schedule'!U$6:U$460,'Fleet schedule'!$D$6:$D$460,$B14,'Fleet schedule'!$E$6:$E$460,$C14,'Fleet schedule'!$F$6:$F$460,"UE")</f>
        <v>0</v>
      </c>
      <c r="I14" s="41">
        <f>SUMIFS('Fleet schedule'!V$6:V$460,'Fleet schedule'!$D$6:$D$460,$B14,'Fleet schedule'!$E$6:$E$460,$C14,'Fleet schedule'!$F$6:$F$460,"UE")</f>
        <v>0</v>
      </c>
      <c r="J14" s="30"/>
      <c r="K14" s="41">
        <f t="shared" si="0"/>
        <v>0</v>
      </c>
      <c r="M14" s="44">
        <f>COUNTIFS('Fleet schedule'!G$6:G$460,"&gt;0",'Fleet schedule'!$D$6:$D$460,$B14,'Fleet schedule'!$E$6:$E$460,$C14,'Fleet schedule'!$F$6:$F$460,"UE")</f>
        <v>0</v>
      </c>
      <c r="N14" s="44">
        <f>COUNTIFS('Fleet schedule'!H$6:H$460,"&gt;0",'Fleet schedule'!$D$6:$D$460,$B14,'Fleet schedule'!$E$6:$E$460,$C14,'Fleet schedule'!$F$6:$F$460,"UE")</f>
        <v>0</v>
      </c>
      <c r="O14" s="44">
        <f>COUNTIFS('Fleet schedule'!I$6:I$460,"&gt;0",'Fleet schedule'!$D$6:$D$460,$B14,'Fleet schedule'!$E$6:$E$460,$C14,'Fleet schedule'!$F$6:$F$460,"UE")</f>
        <v>0</v>
      </c>
      <c r="P14" s="44">
        <f>COUNTIFS('Fleet schedule'!J$6:J$460,"&gt;0",'Fleet schedule'!$D$6:$D$460,$B14,'Fleet schedule'!$E$6:$E$460,$C14,'Fleet schedule'!$F$6:$F$460,"UE")</f>
        <v>0</v>
      </c>
      <c r="Q14" s="44">
        <f>COUNTIFS('Fleet schedule'!K$6:K$460,"&gt;0",'Fleet schedule'!$D$6:$D$460,$B14,'Fleet schedule'!$E$6:$E$460,$C14,'Fleet schedule'!$F$6:$F$460,"UE")</f>
        <v>0</v>
      </c>
      <c r="S14" s="44">
        <f t="shared" si="1"/>
        <v>0</v>
      </c>
      <c r="U14" s="44">
        <f>COUNTIFS('Fleet schedule'!O$6:O$460,"",'Fleet schedule'!$D$6:$D$460,$B14,'Fleet schedule'!$E$6:$E$460,$C14,'Fleet schedule'!$F$6:$F$460,"UE")</f>
        <v>0</v>
      </c>
      <c r="W14" s="44">
        <f t="shared" si="2"/>
        <v>0</v>
      </c>
    </row>
    <row r="15" spans="1:23" x14ac:dyDescent="0.35">
      <c r="B15" s="37" t="s">
        <v>21</v>
      </c>
      <c r="C15" s="37" t="s">
        <v>20</v>
      </c>
      <c r="D15" s="30"/>
      <c r="E15" s="41">
        <f>SUMIFS('Fleet schedule'!R$6:R$460,'Fleet schedule'!$D$6:$D$460,$B15,'Fleet schedule'!$E$6:$E$460,$C15,'Fleet schedule'!$F$6:$F$460,"UE")</f>
        <v>0</v>
      </c>
      <c r="F15" s="41">
        <f>SUMIFS('Fleet schedule'!S$6:S$460,'Fleet schedule'!$D$6:$D$460,$B15,'Fleet schedule'!$E$6:$E$460,$C15,'Fleet schedule'!$F$6:$F$460,"UE")</f>
        <v>0</v>
      </c>
      <c r="G15" s="41">
        <f>SUMIFS('Fleet schedule'!T$6:T$460,'Fleet schedule'!$D$6:$D$460,$B15,'Fleet schedule'!$E$6:$E$460,$C15,'Fleet schedule'!$F$6:$F$460,"UE")</f>
        <v>0</v>
      </c>
      <c r="H15" s="41">
        <f>SUMIFS('Fleet schedule'!U$6:U$460,'Fleet schedule'!$D$6:$D$460,$B15,'Fleet schedule'!$E$6:$E$460,$C15,'Fleet schedule'!$F$6:$F$460,"UE")</f>
        <v>0</v>
      </c>
      <c r="I15" s="41">
        <f>SUMIFS('Fleet schedule'!V$6:V$460,'Fleet schedule'!$D$6:$D$460,$B15,'Fleet schedule'!$E$6:$E$460,$C15,'Fleet schedule'!$F$6:$F$460,"UE")</f>
        <v>0</v>
      </c>
      <c r="J15" s="30"/>
      <c r="K15" s="41">
        <f t="shared" si="0"/>
        <v>0</v>
      </c>
      <c r="M15" s="44">
        <f>COUNTIFS('Fleet schedule'!G$6:G$460,"&gt;0",'Fleet schedule'!$D$6:$D$460,$B15,'Fleet schedule'!$E$6:$E$460,$C15,'Fleet schedule'!$F$6:$F$460,"UE")</f>
        <v>0</v>
      </c>
      <c r="N15" s="44">
        <f>COUNTIFS('Fleet schedule'!H$6:H$460,"&gt;0",'Fleet schedule'!$D$6:$D$460,$B15,'Fleet schedule'!$E$6:$E$460,$C15,'Fleet schedule'!$F$6:$F$460,"UE")</f>
        <v>0</v>
      </c>
      <c r="O15" s="44">
        <f>COUNTIFS('Fleet schedule'!I$6:I$460,"&gt;0",'Fleet schedule'!$D$6:$D$460,$B15,'Fleet schedule'!$E$6:$E$460,$C15,'Fleet schedule'!$F$6:$F$460,"UE")</f>
        <v>0</v>
      </c>
      <c r="P15" s="44">
        <f>COUNTIFS('Fleet schedule'!J$6:J$460,"&gt;0",'Fleet schedule'!$D$6:$D$460,$B15,'Fleet schedule'!$E$6:$E$460,$C15,'Fleet schedule'!$F$6:$F$460,"UE")</f>
        <v>0</v>
      </c>
      <c r="Q15" s="44">
        <f>COUNTIFS('Fleet schedule'!K$6:K$460,"&gt;0",'Fleet schedule'!$D$6:$D$460,$B15,'Fleet schedule'!$E$6:$E$460,$C15,'Fleet schedule'!$F$6:$F$460,"UE")</f>
        <v>0</v>
      </c>
      <c r="S15" s="44">
        <f t="shared" si="1"/>
        <v>0</v>
      </c>
      <c r="U15" s="44">
        <f>COUNTIFS('Fleet schedule'!O$6:O$460,"",'Fleet schedule'!$D$6:$D$460,$B15,'Fleet schedule'!$E$6:$E$460,$C15,'Fleet schedule'!$F$6:$F$460,"UE")</f>
        <v>0</v>
      </c>
      <c r="W15" s="44">
        <f t="shared" si="2"/>
        <v>0</v>
      </c>
    </row>
    <row r="16" spans="1:23" x14ac:dyDescent="0.35">
      <c r="B16" s="37" t="s">
        <v>21</v>
      </c>
      <c r="C16" s="37" t="s">
        <v>193</v>
      </c>
      <c r="D16" s="30"/>
      <c r="E16" s="41">
        <f>SUMIFS('Fleet schedule'!R$6:R$460,'Fleet schedule'!$D$6:$D$460,$B16,'Fleet schedule'!$E$6:$E$460,$C16,'Fleet schedule'!$F$6:$F$460,"UE")</f>
        <v>0</v>
      </c>
      <c r="F16" s="41">
        <f>SUMIFS('Fleet schedule'!S$6:S$460,'Fleet schedule'!$D$6:$D$460,$B16,'Fleet schedule'!$E$6:$E$460,$C16,'Fleet schedule'!$F$6:$F$460,"UE")</f>
        <v>0</v>
      </c>
      <c r="G16" s="41">
        <f>SUMIFS('Fleet schedule'!T$6:T$460,'Fleet schedule'!$D$6:$D$460,$B16,'Fleet schedule'!$E$6:$E$460,$C16,'Fleet schedule'!$F$6:$F$460,"UE")</f>
        <v>0</v>
      </c>
      <c r="H16" s="41">
        <f>SUMIFS('Fleet schedule'!U$6:U$460,'Fleet schedule'!$D$6:$D$460,$B16,'Fleet schedule'!$E$6:$E$460,$C16,'Fleet schedule'!$F$6:$F$460,"UE")</f>
        <v>0</v>
      </c>
      <c r="I16" s="41">
        <f>SUMIFS('Fleet schedule'!V$6:V$460,'Fleet schedule'!$D$6:$D$460,$B16,'Fleet schedule'!$E$6:$E$460,$C16,'Fleet schedule'!$F$6:$F$460,"UE")</f>
        <v>0</v>
      </c>
      <c r="J16" s="30"/>
      <c r="K16" s="41">
        <f t="shared" si="0"/>
        <v>0</v>
      </c>
      <c r="M16" s="44">
        <f>COUNTIFS('Fleet schedule'!G$6:G$460,"&gt;0",'Fleet schedule'!$D$6:$D$460,$B16,'Fleet schedule'!$E$6:$E$460,$C16,'Fleet schedule'!$F$6:$F$460,"UE")</f>
        <v>0</v>
      </c>
      <c r="N16" s="44">
        <f>COUNTIFS('Fleet schedule'!H$6:H$460,"&gt;0",'Fleet schedule'!$D$6:$D$460,$B16,'Fleet schedule'!$E$6:$E$460,$C16,'Fleet schedule'!$F$6:$F$460,"UE")</f>
        <v>0</v>
      </c>
      <c r="O16" s="44">
        <f>COUNTIFS('Fleet schedule'!I$6:I$460,"&gt;0",'Fleet schedule'!$D$6:$D$460,$B16,'Fleet schedule'!$E$6:$E$460,$C16,'Fleet schedule'!$F$6:$F$460,"UE")</f>
        <v>0</v>
      </c>
      <c r="P16" s="44">
        <f>COUNTIFS('Fleet schedule'!J$6:J$460,"&gt;0",'Fleet schedule'!$D$6:$D$460,$B16,'Fleet schedule'!$E$6:$E$460,$C16,'Fleet schedule'!$F$6:$F$460,"UE")</f>
        <v>0</v>
      </c>
      <c r="Q16" s="44">
        <f>COUNTIFS('Fleet schedule'!K$6:K$460,"&gt;0",'Fleet schedule'!$D$6:$D$460,$B16,'Fleet schedule'!$E$6:$E$460,$C16,'Fleet schedule'!$F$6:$F$460,"UE")</f>
        <v>0</v>
      </c>
      <c r="S16" s="44">
        <f t="shared" si="1"/>
        <v>0</v>
      </c>
      <c r="U16" s="44">
        <f>COUNTIFS('Fleet schedule'!O$6:O$460,"",'Fleet schedule'!$D$6:$D$460,$B16,'Fleet schedule'!$E$6:$E$460,$C16,'Fleet schedule'!$F$6:$F$460,"UE")</f>
        <v>0</v>
      </c>
      <c r="W16" s="44">
        <f t="shared" si="2"/>
        <v>0</v>
      </c>
    </row>
    <row r="17" spans="1:23" x14ac:dyDescent="0.35">
      <c r="B17" t="s">
        <v>22</v>
      </c>
      <c r="C17" t="s">
        <v>95</v>
      </c>
      <c r="D17" s="30"/>
      <c r="E17" s="42">
        <f>SUMIFS('Fleet schedule'!R$6:R$460,'Fleet schedule'!$D$6:$D$460,$B17,'Fleet schedule'!$E$6:$E$460,$C17,'Fleet schedule'!$F$6:$F$460,"UE")</f>
        <v>2210000</v>
      </c>
      <c r="F17" s="42">
        <f>SUMIFS('Fleet schedule'!S$6:S$460,'Fleet schedule'!$D$6:$D$460,$B17,'Fleet schedule'!$E$6:$E$460,$C17,'Fleet schedule'!$F$6:$F$460,"UE")</f>
        <v>2660000</v>
      </c>
      <c r="G17" s="42">
        <f>SUMIFS('Fleet schedule'!T$6:T$460,'Fleet schedule'!$D$6:$D$460,$B17,'Fleet schedule'!$E$6:$E$460,$C17,'Fleet schedule'!$F$6:$F$460,"UE")</f>
        <v>1855000</v>
      </c>
      <c r="H17" s="42">
        <f>SUMIFS('Fleet schedule'!U$6:U$460,'Fleet schedule'!$D$6:$D$460,$B17,'Fleet schedule'!$E$6:$E$460,$C17,'Fleet schedule'!$F$6:$F$460,"UE")</f>
        <v>2250000</v>
      </c>
      <c r="I17" s="42">
        <f>SUMIFS('Fleet schedule'!V$6:V$460,'Fleet schedule'!$D$6:$D$460,$B17,'Fleet schedule'!$E$6:$E$460,$C17,'Fleet schedule'!$F$6:$F$460,"UE")</f>
        <v>175000</v>
      </c>
      <c r="J17" s="30"/>
      <c r="K17" s="42">
        <f t="shared" si="0"/>
        <v>9150000</v>
      </c>
      <c r="M17" s="45">
        <f>COUNTIFS('Fleet schedule'!G$6:G$460,"&gt;0",'Fleet schedule'!$D$6:$D$460,$B17,'Fleet schedule'!$E$6:$E$460,$C17,'Fleet schedule'!$F$6:$F$460,"UE")</f>
        <v>4</v>
      </c>
      <c r="N17" s="45">
        <f>COUNTIFS('Fleet schedule'!H$6:H$460,"&gt;0",'Fleet schedule'!$D$6:$D$460,$B17,'Fleet schedule'!$E$6:$E$460,$C17,'Fleet schedule'!$F$6:$F$460,"UE")</f>
        <v>4</v>
      </c>
      <c r="O17" s="45">
        <f>COUNTIFS('Fleet schedule'!I$6:I$460,"&gt;0",'Fleet schedule'!$D$6:$D$460,$B17,'Fleet schedule'!$E$6:$E$460,$C17,'Fleet schedule'!$F$6:$F$460,"UE")</f>
        <v>3</v>
      </c>
      <c r="P17" s="45">
        <f>COUNTIFS('Fleet schedule'!J$6:J$460,"&gt;0",'Fleet schedule'!$D$6:$D$460,$B17,'Fleet schedule'!$E$6:$E$460,$C17,'Fleet schedule'!$F$6:$F$460,"UE")</f>
        <v>5</v>
      </c>
      <c r="Q17" s="45">
        <f>COUNTIFS('Fleet schedule'!K$6:K$460,"&gt;0",'Fleet schedule'!$D$6:$D$460,$B17,'Fleet schedule'!$E$6:$E$460,$C17,'Fleet schedule'!$F$6:$F$460,"UE")</f>
        <v>1</v>
      </c>
      <c r="S17" s="45">
        <f t="shared" si="1"/>
        <v>17</v>
      </c>
      <c r="U17" s="45">
        <f>COUNTIFS('Fleet schedule'!O$6:O$460,"",'Fleet schedule'!$D$6:$D$460,$B17,'Fleet schedule'!$E$6:$E$460,$C17,'Fleet schedule'!$F$6:$F$460,"UE")</f>
        <v>30</v>
      </c>
      <c r="W17" s="45">
        <f t="shared" si="2"/>
        <v>47</v>
      </c>
    </row>
    <row r="18" spans="1:23" x14ac:dyDescent="0.35">
      <c r="B18" t="s">
        <v>22</v>
      </c>
      <c r="C18" t="s">
        <v>20</v>
      </c>
      <c r="D18" s="30"/>
      <c r="E18" s="42">
        <f>SUMIFS('Fleet schedule'!R$6:R$460,'Fleet schedule'!$D$6:$D$460,$B18,'Fleet schedule'!$E$6:$E$460,$C18,'Fleet schedule'!$F$6:$F$460,"UE")</f>
        <v>0</v>
      </c>
      <c r="F18" s="42">
        <f>SUMIFS('Fleet schedule'!S$6:S$460,'Fleet schedule'!$D$6:$D$460,$B18,'Fleet schedule'!$E$6:$E$460,$C18,'Fleet schedule'!$F$6:$F$460,"UE")</f>
        <v>0</v>
      </c>
      <c r="G18" s="42">
        <f>SUMIFS('Fleet schedule'!T$6:T$460,'Fleet schedule'!$D$6:$D$460,$B18,'Fleet schedule'!$E$6:$E$460,$C18,'Fleet schedule'!$F$6:$F$460,"UE")</f>
        <v>0</v>
      </c>
      <c r="H18" s="42">
        <f>SUMIFS('Fleet schedule'!U$6:U$460,'Fleet schedule'!$D$6:$D$460,$B18,'Fleet schedule'!$E$6:$E$460,$C18,'Fleet schedule'!$F$6:$F$460,"UE")</f>
        <v>0</v>
      </c>
      <c r="I18" s="42">
        <f>SUMIFS('Fleet schedule'!V$6:V$460,'Fleet schedule'!$D$6:$D$460,$B18,'Fleet schedule'!$E$6:$E$460,$C18,'Fleet schedule'!$F$6:$F$460,"UE")</f>
        <v>0</v>
      </c>
      <c r="J18" s="30"/>
      <c r="K18" s="42">
        <f t="shared" si="0"/>
        <v>0</v>
      </c>
      <c r="M18" s="45">
        <f>COUNTIFS('Fleet schedule'!G$6:G$460,"&gt;0",'Fleet schedule'!$D$6:$D$460,$B18,'Fleet schedule'!$E$6:$E$460,$C18,'Fleet schedule'!$F$6:$F$460,"UE")</f>
        <v>0</v>
      </c>
      <c r="N18" s="45">
        <f>COUNTIFS('Fleet schedule'!H$6:H$460,"&gt;0",'Fleet schedule'!$D$6:$D$460,$B18,'Fleet schedule'!$E$6:$E$460,$C18,'Fleet schedule'!$F$6:$F$460,"UE")</f>
        <v>0</v>
      </c>
      <c r="O18" s="45">
        <f>COUNTIFS('Fleet schedule'!I$6:I$460,"&gt;0",'Fleet schedule'!$D$6:$D$460,$B18,'Fleet schedule'!$E$6:$E$460,$C18,'Fleet schedule'!$F$6:$F$460,"UE")</f>
        <v>0</v>
      </c>
      <c r="P18" s="45">
        <f>COUNTIFS('Fleet schedule'!J$6:J$460,"&gt;0",'Fleet schedule'!$D$6:$D$460,$B18,'Fleet schedule'!$E$6:$E$460,$C18,'Fleet schedule'!$F$6:$F$460,"UE")</f>
        <v>0</v>
      </c>
      <c r="Q18" s="45">
        <f>COUNTIFS('Fleet schedule'!K$6:K$460,"&gt;0",'Fleet schedule'!$D$6:$D$460,$B18,'Fleet schedule'!$E$6:$E$460,$C18,'Fleet schedule'!$F$6:$F$460,"UE")</f>
        <v>0</v>
      </c>
      <c r="S18" s="45">
        <f t="shared" si="1"/>
        <v>0</v>
      </c>
      <c r="U18" s="45">
        <f>COUNTIFS('Fleet schedule'!O$6:O$460,"",'Fleet schedule'!$D$6:$D$460,$B18,'Fleet schedule'!$E$6:$E$460,$C18,'Fleet schedule'!$F$6:$F$460,"UE")</f>
        <v>0</v>
      </c>
      <c r="W18" s="45">
        <f t="shared" si="2"/>
        <v>0</v>
      </c>
    </row>
    <row r="19" spans="1:23" x14ac:dyDescent="0.35">
      <c r="B19" t="s">
        <v>22</v>
      </c>
      <c r="C19" t="s">
        <v>193</v>
      </c>
      <c r="D19" s="30"/>
      <c r="E19" s="42">
        <f>SUMIFS('Fleet schedule'!R$6:R$460,'Fleet schedule'!$D$6:$D$460,$B19,'Fleet schedule'!$E$6:$E$460,$C19,'Fleet schedule'!$F$6:$F$460,"UE")</f>
        <v>0</v>
      </c>
      <c r="F19" s="42">
        <f>SUMIFS('Fleet schedule'!S$6:S$460,'Fleet schedule'!$D$6:$D$460,$B19,'Fleet schedule'!$E$6:$E$460,$C19,'Fleet schedule'!$F$6:$F$460,"UE")</f>
        <v>0</v>
      </c>
      <c r="G19" s="42">
        <f>SUMIFS('Fleet schedule'!T$6:T$460,'Fleet schedule'!$D$6:$D$460,$B19,'Fleet schedule'!$E$6:$E$460,$C19,'Fleet schedule'!$F$6:$F$460,"UE")</f>
        <v>0</v>
      </c>
      <c r="H19" s="42">
        <f>SUMIFS('Fleet schedule'!U$6:U$460,'Fleet schedule'!$D$6:$D$460,$B19,'Fleet schedule'!$E$6:$E$460,$C19,'Fleet schedule'!$F$6:$F$460,"UE")</f>
        <v>0</v>
      </c>
      <c r="I19" s="42">
        <f>SUMIFS('Fleet schedule'!V$6:V$460,'Fleet schedule'!$D$6:$D$460,$B19,'Fleet schedule'!$E$6:$E$460,$C19,'Fleet schedule'!$F$6:$F$460,"UE")</f>
        <v>0</v>
      </c>
      <c r="J19" s="30"/>
      <c r="K19" s="42">
        <f t="shared" si="0"/>
        <v>0</v>
      </c>
      <c r="M19" s="45">
        <f>COUNTIFS('Fleet schedule'!G$6:G$460,"&gt;0",'Fleet schedule'!$D$6:$D$460,$B19,'Fleet schedule'!$E$6:$E$460,$C19,'Fleet schedule'!$F$6:$F$460,"UE")</f>
        <v>0</v>
      </c>
      <c r="N19" s="45">
        <f>COUNTIFS('Fleet schedule'!H$6:H$460,"&gt;0",'Fleet schedule'!$D$6:$D$460,$B19,'Fleet schedule'!$E$6:$E$460,$C19,'Fleet schedule'!$F$6:$F$460,"UE")</f>
        <v>0</v>
      </c>
      <c r="O19" s="45">
        <f>COUNTIFS('Fleet schedule'!I$6:I$460,"&gt;0",'Fleet schedule'!$D$6:$D$460,$B19,'Fleet schedule'!$E$6:$E$460,$C19,'Fleet schedule'!$F$6:$F$460,"UE")</f>
        <v>0</v>
      </c>
      <c r="P19" s="45">
        <f>COUNTIFS('Fleet schedule'!J$6:J$460,"&gt;0",'Fleet schedule'!$D$6:$D$460,$B19,'Fleet schedule'!$E$6:$E$460,$C19,'Fleet schedule'!$F$6:$F$460,"UE")</f>
        <v>0</v>
      </c>
      <c r="Q19" s="45">
        <f>COUNTIFS('Fleet schedule'!K$6:K$460,"&gt;0",'Fleet schedule'!$D$6:$D$460,$B19,'Fleet schedule'!$E$6:$E$460,$C19,'Fleet schedule'!$F$6:$F$460,"UE")</f>
        <v>0</v>
      </c>
      <c r="S19" s="45">
        <f t="shared" si="1"/>
        <v>0</v>
      </c>
      <c r="U19" s="45">
        <f>COUNTIFS('Fleet schedule'!O$6:O$460,"",'Fleet schedule'!$D$6:$D$460,$B19,'Fleet schedule'!$E$6:$E$460,$C19,'Fleet schedule'!$F$6:$F$460,"UE")</f>
        <v>0</v>
      </c>
      <c r="W19" s="45">
        <f t="shared" si="2"/>
        <v>0</v>
      </c>
    </row>
    <row r="20" spans="1:23" x14ac:dyDescent="0.35">
      <c r="B20" s="37" t="s">
        <v>72</v>
      </c>
      <c r="C20" s="37" t="s">
        <v>95</v>
      </c>
      <c r="D20" s="30"/>
      <c r="E20" s="41">
        <f>SUMIFS('Fleet schedule'!R$6:R$460,'Fleet schedule'!$D$6:$D$460,$B20,'Fleet schedule'!$E$6:$E$460,$C20,'Fleet schedule'!$F$6:$F$460,"UE")</f>
        <v>400000</v>
      </c>
      <c r="F20" s="41">
        <f>SUMIFS('Fleet schedule'!S$6:S$460,'Fleet schedule'!$D$6:$D$460,$B20,'Fleet schedule'!$E$6:$E$460,$C20,'Fleet schedule'!$F$6:$F$460,"UE")</f>
        <v>2470000</v>
      </c>
      <c r="G20" s="41">
        <f>SUMIFS('Fleet schedule'!T$6:T$460,'Fleet schedule'!$D$6:$D$460,$B20,'Fleet schedule'!$E$6:$E$460,$C20,'Fleet schedule'!$F$6:$F$460,"UE")</f>
        <v>420000</v>
      </c>
      <c r="H20" s="41">
        <f>SUMIFS('Fleet schedule'!U$6:U$460,'Fleet schedule'!$D$6:$D$460,$B20,'Fleet schedule'!$E$6:$E$460,$C20,'Fleet schedule'!$F$6:$F$460,"UE")</f>
        <v>0</v>
      </c>
      <c r="I20" s="41">
        <f>SUMIFS('Fleet schedule'!V$6:V$460,'Fleet schedule'!$D$6:$D$460,$B20,'Fleet schedule'!$E$6:$E$460,$C20,'Fleet schedule'!$F$6:$F$460,"UE")</f>
        <v>545000</v>
      </c>
      <c r="J20" s="30"/>
      <c r="K20" s="41">
        <f t="shared" si="0"/>
        <v>3835000</v>
      </c>
      <c r="M20" s="44">
        <f>COUNTIFS('Fleet schedule'!G$6:G$460,"&gt;0",'Fleet schedule'!$D$6:$D$460,$B20,'Fleet schedule'!$E$6:$E$460,$C20,'Fleet schedule'!$F$6:$F$460,"UE")</f>
        <v>1</v>
      </c>
      <c r="N20" s="44">
        <f>COUNTIFS('Fleet schedule'!H$6:H$460,"&gt;0",'Fleet schedule'!$D$6:$D$460,$B20,'Fleet schedule'!$E$6:$E$460,$C20,'Fleet schedule'!$F$6:$F$460,"UE")</f>
        <v>4</v>
      </c>
      <c r="O20" s="44">
        <f>COUNTIFS('Fleet schedule'!I$6:I$460,"&gt;0",'Fleet schedule'!$D$6:$D$460,$B20,'Fleet schedule'!$E$6:$E$460,$C20,'Fleet schedule'!$F$6:$F$460,"UE")</f>
        <v>1</v>
      </c>
      <c r="P20" s="44">
        <f>COUNTIFS('Fleet schedule'!J$6:J$460,"&gt;0",'Fleet schedule'!$D$6:$D$460,$B20,'Fleet schedule'!$E$6:$E$460,$C20,'Fleet schedule'!$F$6:$F$460,"UE")</f>
        <v>0</v>
      </c>
      <c r="Q20" s="44">
        <f>COUNTIFS('Fleet schedule'!K$6:K$460,"&gt;0",'Fleet schedule'!$D$6:$D$460,$B20,'Fleet schedule'!$E$6:$E$460,$C20,'Fleet schedule'!$F$6:$F$460,"UE")</f>
        <v>3</v>
      </c>
      <c r="S20" s="44">
        <f t="shared" si="1"/>
        <v>9</v>
      </c>
      <c r="U20" s="44">
        <f>COUNTIFS('Fleet schedule'!O$6:O$460,"",'Fleet schedule'!$D$6:$D$460,$B20,'Fleet schedule'!$E$6:$E$460,$C20,'Fleet schedule'!$F$6:$F$460,"UE")</f>
        <v>25</v>
      </c>
      <c r="W20" s="44">
        <f t="shared" si="2"/>
        <v>34</v>
      </c>
    </row>
    <row r="21" spans="1:23" x14ac:dyDescent="0.35">
      <c r="B21" s="37" t="s">
        <v>72</v>
      </c>
      <c r="C21" s="37" t="s">
        <v>20</v>
      </c>
      <c r="D21" s="30"/>
      <c r="E21" s="41">
        <f>SUMIFS('Fleet schedule'!R$6:R$460,'Fleet schedule'!$D$6:$D$460,$B21,'Fleet schedule'!$E$6:$E$460,$C21,'Fleet schedule'!$F$6:$F$460,"UE")</f>
        <v>0</v>
      </c>
      <c r="F21" s="41">
        <f>SUMIFS('Fleet schedule'!S$6:S$460,'Fleet schedule'!$D$6:$D$460,$B21,'Fleet schedule'!$E$6:$E$460,$C21,'Fleet schedule'!$F$6:$F$460,"UE")</f>
        <v>0</v>
      </c>
      <c r="G21" s="41">
        <f>SUMIFS('Fleet schedule'!T$6:T$460,'Fleet schedule'!$D$6:$D$460,$B21,'Fleet schedule'!$E$6:$E$460,$C21,'Fleet schedule'!$F$6:$F$460,"UE")</f>
        <v>0</v>
      </c>
      <c r="H21" s="41">
        <f>SUMIFS('Fleet schedule'!U$6:U$460,'Fleet schedule'!$D$6:$D$460,$B21,'Fleet schedule'!$E$6:$E$460,$C21,'Fleet schedule'!$F$6:$F$460,"UE")</f>
        <v>0</v>
      </c>
      <c r="I21" s="41">
        <f>SUMIFS('Fleet schedule'!V$6:V$460,'Fleet schedule'!$D$6:$D$460,$B21,'Fleet schedule'!$E$6:$E$460,$C21,'Fleet schedule'!$F$6:$F$460,"UE")</f>
        <v>0</v>
      </c>
      <c r="J21" s="30"/>
      <c r="K21" s="41">
        <f t="shared" si="0"/>
        <v>0</v>
      </c>
      <c r="M21" s="44">
        <f>COUNTIFS('Fleet schedule'!G$6:G$460,"&gt;0",'Fleet schedule'!$D$6:$D$460,$B21,'Fleet schedule'!$E$6:$E$460,$C21,'Fleet schedule'!$F$6:$F$460,"UE")</f>
        <v>0</v>
      </c>
      <c r="N21" s="44">
        <f>COUNTIFS('Fleet schedule'!H$6:H$460,"&gt;0",'Fleet schedule'!$D$6:$D$460,$B21,'Fleet schedule'!$E$6:$E$460,$C21,'Fleet schedule'!$F$6:$F$460,"UE")</f>
        <v>0</v>
      </c>
      <c r="O21" s="44">
        <f>COUNTIFS('Fleet schedule'!I$6:I$460,"&gt;0",'Fleet schedule'!$D$6:$D$460,$B21,'Fleet schedule'!$E$6:$E$460,$C21,'Fleet schedule'!$F$6:$F$460,"UE")</f>
        <v>0</v>
      </c>
      <c r="P21" s="44">
        <f>COUNTIFS('Fleet schedule'!J$6:J$460,"&gt;0",'Fleet schedule'!$D$6:$D$460,$B21,'Fleet schedule'!$E$6:$E$460,$C21,'Fleet schedule'!$F$6:$F$460,"UE")</f>
        <v>0</v>
      </c>
      <c r="Q21" s="44">
        <f>COUNTIFS('Fleet schedule'!K$6:K$460,"&gt;0",'Fleet schedule'!$D$6:$D$460,$B21,'Fleet schedule'!$E$6:$E$460,$C21,'Fleet schedule'!$F$6:$F$460,"UE")</f>
        <v>0</v>
      </c>
      <c r="S21" s="44">
        <f t="shared" si="1"/>
        <v>0</v>
      </c>
      <c r="U21" s="44">
        <f>COUNTIFS('Fleet schedule'!O$6:O$460,"",'Fleet schedule'!$D$6:$D$460,$B21,'Fleet schedule'!$E$6:$E$460,$C21,'Fleet schedule'!$F$6:$F$460,"UE")</f>
        <v>0</v>
      </c>
      <c r="W21" s="44">
        <f t="shared" si="2"/>
        <v>0</v>
      </c>
    </row>
    <row r="22" spans="1:23" x14ac:dyDescent="0.35">
      <c r="B22" s="37" t="s">
        <v>72</v>
      </c>
      <c r="C22" s="37" t="s">
        <v>193</v>
      </c>
      <c r="D22" s="30"/>
      <c r="E22" s="41">
        <f>SUMIFS('Fleet schedule'!R$6:R$460,'Fleet schedule'!$D$6:$D$460,$B22,'Fleet schedule'!$E$6:$E$460,$C22,'Fleet schedule'!$F$6:$F$460,"UE")</f>
        <v>0</v>
      </c>
      <c r="F22" s="41">
        <f>SUMIFS('Fleet schedule'!S$6:S$460,'Fleet schedule'!$D$6:$D$460,$B22,'Fleet schedule'!$E$6:$E$460,$C22,'Fleet schedule'!$F$6:$F$460,"UE")</f>
        <v>0</v>
      </c>
      <c r="G22" s="41">
        <f>SUMIFS('Fleet schedule'!T$6:T$460,'Fleet schedule'!$D$6:$D$460,$B22,'Fleet schedule'!$E$6:$E$460,$C22,'Fleet schedule'!$F$6:$F$460,"UE")</f>
        <v>0</v>
      </c>
      <c r="H22" s="41">
        <f>SUMIFS('Fleet schedule'!U$6:U$460,'Fleet schedule'!$D$6:$D$460,$B22,'Fleet schedule'!$E$6:$E$460,$C22,'Fleet schedule'!$F$6:$F$460,"UE")</f>
        <v>0</v>
      </c>
      <c r="I22" s="41">
        <f>SUMIFS('Fleet schedule'!V$6:V$460,'Fleet schedule'!$D$6:$D$460,$B22,'Fleet schedule'!$E$6:$E$460,$C22,'Fleet schedule'!$F$6:$F$460,"UE")</f>
        <v>0</v>
      </c>
      <c r="J22" s="30"/>
      <c r="K22" s="41">
        <f t="shared" si="0"/>
        <v>0</v>
      </c>
      <c r="M22" s="44">
        <f>COUNTIFS('Fleet schedule'!G$6:G$460,"&gt;0",'Fleet schedule'!$D$6:$D$460,$B22,'Fleet schedule'!$E$6:$E$460,$C22,'Fleet schedule'!$F$6:$F$460,"UE")</f>
        <v>0</v>
      </c>
      <c r="N22" s="44">
        <f>COUNTIFS('Fleet schedule'!H$6:H$460,"&gt;0",'Fleet schedule'!$D$6:$D$460,$B22,'Fleet schedule'!$E$6:$E$460,$C22,'Fleet schedule'!$F$6:$F$460,"UE")</f>
        <v>0</v>
      </c>
      <c r="O22" s="44">
        <f>COUNTIFS('Fleet schedule'!I$6:I$460,"&gt;0",'Fleet schedule'!$D$6:$D$460,$B22,'Fleet schedule'!$E$6:$E$460,$C22,'Fleet schedule'!$F$6:$F$460,"UE")</f>
        <v>0</v>
      </c>
      <c r="P22" s="44">
        <f>COUNTIFS('Fleet schedule'!J$6:J$460,"&gt;0",'Fleet schedule'!$D$6:$D$460,$B22,'Fleet schedule'!$E$6:$E$460,$C22,'Fleet schedule'!$F$6:$F$460,"UE")</f>
        <v>0</v>
      </c>
      <c r="Q22" s="44">
        <f>COUNTIFS('Fleet schedule'!K$6:K$460,"&gt;0",'Fleet schedule'!$D$6:$D$460,$B22,'Fleet schedule'!$E$6:$E$460,$C22,'Fleet schedule'!$F$6:$F$460,"UE")</f>
        <v>0</v>
      </c>
      <c r="S22" s="44">
        <f t="shared" si="1"/>
        <v>0</v>
      </c>
      <c r="U22" s="44">
        <f>COUNTIFS('Fleet schedule'!O$6:O$460,"",'Fleet schedule'!$D$6:$D$460,$B22,'Fleet schedule'!$E$6:$E$460,$C22,'Fleet schedule'!$F$6:$F$460,"UE")</f>
        <v>0</v>
      </c>
      <c r="W22" s="44">
        <f t="shared" si="2"/>
        <v>0</v>
      </c>
    </row>
    <row r="23" spans="1:23" x14ac:dyDescent="0.35">
      <c r="B23" t="s">
        <v>99</v>
      </c>
      <c r="C23" t="s">
        <v>100</v>
      </c>
      <c r="D23" s="30"/>
      <c r="E23" s="42">
        <f>SUMIFS('Fleet schedule'!R$6:R$460,'Fleet schedule'!$D$6:$D$460,$B23,'Fleet schedule'!$E$6:$E$460,$C23,'Fleet schedule'!$F$6:$F$460,"UE")</f>
        <v>509000</v>
      </c>
      <c r="F23" s="42">
        <f>SUMIFS('Fleet schedule'!S$6:S$460,'Fleet schedule'!$D$6:$D$460,$B23,'Fleet schedule'!$E$6:$E$460,$C23,'Fleet schedule'!$F$6:$F$460,"UE")</f>
        <v>202000</v>
      </c>
      <c r="G23" s="42">
        <f>SUMIFS('Fleet schedule'!T$6:T$460,'Fleet schedule'!$D$6:$D$460,$B23,'Fleet schedule'!$E$6:$E$460,$C23,'Fleet schedule'!$F$6:$F$460,"UE")</f>
        <v>83000</v>
      </c>
      <c r="H23" s="42">
        <f>SUMIFS('Fleet schedule'!U$6:U$460,'Fleet schedule'!$D$6:$D$460,$B23,'Fleet schedule'!$E$6:$E$460,$C23,'Fleet schedule'!$F$6:$F$460,"UE")</f>
        <v>0</v>
      </c>
      <c r="I23" s="42">
        <f>SUMIFS('Fleet schedule'!V$6:V$460,'Fleet schedule'!$D$6:$D$460,$B23,'Fleet schedule'!$E$6:$E$460,$C23,'Fleet schedule'!$F$6:$F$460,"UE")</f>
        <v>135000</v>
      </c>
      <c r="J23" s="30"/>
      <c r="K23" s="42">
        <f t="shared" si="0"/>
        <v>929000</v>
      </c>
      <c r="M23" s="45">
        <f>COUNTIFS('Fleet schedule'!G$6:G$460,"&gt;0",'Fleet schedule'!$D$6:$D$460,$B23,'Fleet schedule'!$E$6:$E$460,$C23,'Fleet schedule'!$F$6:$F$460,"UE")</f>
        <v>10</v>
      </c>
      <c r="N23" s="45">
        <f>COUNTIFS('Fleet schedule'!H$6:H$460,"&gt;0",'Fleet schedule'!$D$6:$D$460,$B23,'Fleet schedule'!$E$6:$E$460,$C23,'Fleet schedule'!$F$6:$F$460,"UE")</f>
        <v>5</v>
      </c>
      <c r="O23" s="45">
        <f>COUNTIFS('Fleet schedule'!I$6:I$460,"&gt;0",'Fleet schedule'!$D$6:$D$460,$B23,'Fleet schedule'!$E$6:$E$460,$C23,'Fleet schedule'!$F$6:$F$460,"UE")</f>
        <v>2</v>
      </c>
      <c r="P23" s="45">
        <f>COUNTIFS('Fleet schedule'!J$6:J$460,"&gt;0",'Fleet schedule'!$D$6:$D$460,$B23,'Fleet schedule'!$E$6:$E$460,$C23,'Fleet schedule'!$F$6:$F$460,"UE")</f>
        <v>0</v>
      </c>
      <c r="Q23" s="45">
        <f>COUNTIFS('Fleet schedule'!K$6:K$460,"&gt;0",'Fleet schedule'!$D$6:$D$460,$B23,'Fleet schedule'!$E$6:$E$460,$C23,'Fleet schedule'!$F$6:$F$460,"UE")</f>
        <v>1</v>
      </c>
      <c r="S23" s="45">
        <f t="shared" si="1"/>
        <v>18</v>
      </c>
      <c r="U23" s="45">
        <f>COUNTIFS('Fleet schedule'!O$6:O$460,"",'Fleet schedule'!$D$6:$D$460,$B23,'Fleet schedule'!$E$6:$E$460,$C23,'Fleet schedule'!$F$6:$F$460,"UE")</f>
        <v>32</v>
      </c>
      <c r="W23" s="45">
        <f t="shared" si="2"/>
        <v>50</v>
      </c>
    </row>
    <row r="24" spans="1:23" x14ac:dyDescent="0.35">
      <c r="B24" s="39" t="s">
        <v>347</v>
      </c>
      <c r="C24" s="40"/>
      <c r="D24" s="30"/>
      <c r="E24" s="43">
        <f>SUM(E8:E23)</f>
        <v>4888000</v>
      </c>
      <c r="F24" s="43">
        <f t="shared" ref="F24:K24" si="3">SUM(F8:F23)</f>
        <v>5720000</v>
      </c>
      <c r="G24" s="43">
        <f t="shared" si="3"/>
        <v>3028000</v>
      </c>
      <c r="H24" s="43">
        <f t="shared" si="3"/>
        <v>2527000</v>
      </c>
      <c r="I24" s="43">
        <f t="shared" si="3"/>
        <v>2199000</v>
      </c>
      <c r="J24" s="30"/>
      <c r="K24" s="43">
        <f t="shared" si="3"/>
        <v>18362000</v>
      </c>
      <c r="M24" s="46">
        <f>SUM(M8:M23)</f>
        <v>38</v>
      </c>
      <c r="N24" s="46">
        <f t="shared" ref="N24:S24" si="4">SUM(N8:N23)</f>
        <v>19</v>
      </c>
      <c r="O24" s="46">
        <f t="shared" si="4"/>
        <v>14</v>
      </c>
      <c r="P24" s="46">
        <f t="shared" si="4"/>
        <v>10</v>
      </c>
      <c r="Q24" s="46">
        <f t="shared" si="4"/>
        <v>21</v>
      </c>
      <c r="S24" s="46">
        <f t="shared" si="4"/>
        <v>102</v>
      </c>
      <c r="U24" s="46">
        <f t="shared" ref="U24" si="5">SUM(U8:U23)</f>
        <v>94</v>
      </c>
      <c r="W24" s="46">
        <f t="shared" ref="W24" si="6">SUM(W8:W23)</f>
        <v>196</v>
      </c>
    </row>
    <row r="25" spans="1:23" x14ac:dyDescent="0.35">
      <c r="E25" s="38"/>
      <c r="F25" s="38"/>
      <c r="G25" s="38"/>
      <c r="H25" s="38"/>
      <c r="I25" s="38"/>
    </row>
    <row r="30" spans="1:23" s="32" customFormat="1" x14ac:dyDescent="0.35">
      <c r="A30" s="33" t="s">
        <v>349</v>
      </c>
    </row>
    <row r="32" spans="1:23" x14ac:dyDescent="0.35">
      <c r="E32" s="140" t="s">
        <v>380</v>
      </c>
      <c r="F32" s="140"/>
      <c r="G32" s="140"/>
      <c r="H32" s="140"/>
      <c r="I32" s="140"/>
      <c r="J32" s="140"/>
      <c r="K32" s="140"/>
      <c r="M32" s="141" t="s">
        <v>388</v>
      </c>
      <c r="N32" s="141"/>
      <c r="O32" s="141"/>
      <c r="P32" s="141"/>
      <c r="Q32" s="141"/>
      <c r="R32" s="141"/>
      <c r="S32" s="141"/>
      <c r="U32" s="108" t="s">
        <v>100</v>
      </c>
      <c r="W32" s="108" t="s">
        <v>392</v>
      </c>
    </row>
    <row r="33" spans="2:23" x14ac:dyDescent="0.35">
      <c r="B33" s="139" t="s">
        <v>381</v>
      </c>
      <c r="C33" s="139"/>
      <c r="D33" s="58"/>
      <c r="E33" s="52" t="s">
        <v>0</v>
      </c>
      <c r="F33" s="52" t="s">
        <v>1</v>
      </c>
      <c r="G33" s="52" t="s">
        <v>2</v>
      </c>
      <c r="H33" s="52" t="s">
        <v>3</v>
      </c>
      <c r="I33" s="52" t="s">
        <v>4</v>
      </c>
      <c r="J33" s="58"/>
      <c r="K33" s="59" t="s">
        <v>347</v>
      </c>
      <c r="M33" s="52" t="s">
        <v>0</v>
      </c>
      <c r="N33" s="52" t="s">
        <v>1</v>
      </c>
      <c r="O33" s="52" t="s">
        <v>2</v>
      </c>
      <c r="P33" s="52" t="s">
        <v>3</v>
      </c>
      <c r="Q33" s="52" t="s">
        <v>4</v>
      </c>
      <c r="S33" s="59" t="s">
        <v>347</v>
      </c>
      <c r="U33" s="59" t="s">
        <v>393</v>
      </c>
      <c r="W33" s="59" t="s">
        <v>347</v>
      </c>
    </row>
    <row r="34" spans="2:23" x14ac:dyDescent="0.35">
      <c r="B34" s="37" t="s">
        <v>74</v>
      </c>
      <c r="C34" s="37" t="s">
        <v>95</v>
      </c>
      <c r="D34" s="30"/>
      <c r="E34" s="41">
        <f>SUMIFS('Fleet schedule'!R$6:R$460,'Fleet schedule'!$D$6:$D$460,$B34,'Fleet schedule'!$E$6:$E$460,$C34)</f>
        <v>1585000</v>
      </c>
      <c r="F34" s="41">
        <f>SUMIFS('Fleet schedule'!S$6:S$460,'Fleet schedule'!$D$6:$D$460,$B34,'Fleet schedule'!$E$6:$E$460,$C34)</f>
        <v>148000</v>
      </c>
      <c r="G34" s="41">
        <f>SUMIFS('Fleet schedule'!T$6:T$460,'Fleet schedule'!$D$6:$D$460,$B34,'Fleet schedule'!$E$6:$E$460,$C34)</f>
        <v>309000</v>
      </c>
      <c r="H34" s="41">
        <f>SUMIFS('Fleet schedule'!U$6:U$460,'Fleet schedule'!$D$6:$D$460,$B34,'Fleet schedule'!$E$6:$E$460,$C34)</f>
        <v>387000</v>
      </c>
      <c r="I34" s="41">
        <f>SUMIFS('Fleet schedule'!V$6:V$460,'Fleet schedule'!$D$6:$D$460,$B34,'Fleet schedule'!$E$6:$E$460,$C34)</f>
        <v>625000</v>
      </c>
      <c r="J34" s="30"/>
      <c r="K34" s="41">
        <f>SUM(E34:I34)</f>
        <v>3054000</v>
      </c>
      <c r="M34" s="44">
        <f>COUNTIFS('Fleet schedule'!G$6:G$460,"&gt;0",'Fleet schedule'!$D$6:$D$460,$B34,'Fleet schedule'!$E$6:$E$460,$C34)</f>
        <v>18</v>
      </c>
      <c r="N34" s="44">
        <f>COUNTIFS('Fleet schedule'!H$6:H$460,"&gt;0",'Fleet schedule'!$D$6:$D$460,$B34,'Fleet schedule'!$E$6:$E$460,$C34)</f>
        <v>3</v>
      </c>
      <c r="O34" s="44">
        <f>COUNTIFS('Fleet schedule'!I$6:I$460,"&gt;0",'Fleet schedule'!$D$6:$D$460,$B34,'Fleet schedule'!$E$6:$E$460,$C34)</f>
        <v>6</v>
      </c>
      <c r="P34" s="44">
        <f>COUNTIFS('Fleet schedule'!J$6:J$460,"&gt;0",'Fleet schedule'!$D$6:$D$460,$B34,'Fleet schedule'!$E$6:$E$460,$C34)</f>
        <v>7</v>
      </c>
      <c r="Q34" s="44">
        <f>COUNTIFS('Fleet schedule'!K$6:K$460,"&gt;0",'Fleet schedule'!$D$6:$D$460,$B34,'Fleet schedule'!$E$6:$E$460,$C34)</f>
        <v>10</v>
      </c>
      <c r="S34" s="44">
        <f>SUM(M34:Q34)</f>
        <v>44</v>
      </c>
      <c r="U34" s="44">
        <f>COUNTIFS('Fleet schedule'!O$6:O$460,"",'Fleet schedule'!$D$6:$D$460,$B34,'Fleet schedule'!$E$6:$E$460,$C34)</f>
        <v>1</v>
      </c>
      <c r="W34" s="44">
        <f>S34+U34</f>
        <v>45</v>
      </c>
    </row>
    <row r="35" spans="2:23" x14ac:dyDescent="0.35">
      <c r="B35" s="37" t="s">
        <v>74</v>
      </c>
      <c r="C35" s="37" t="s">
        <v>20</v>
      </c>
      <c r="D35" s="30"/>
      <c r="E35" s="41">
        <f>SUMIFS('Fleet schedule'!R$6:R$460,'Fleet schedule'!$D$6:$D$460,$B35,'Fleet schedule'!$E$6:$E$460,$C35)</f>
        <v>0</v>
      </c>
      <c r="F35" s="41">
        <f>SUMIFS('Fleet schedule'!S$6:S$460,'Fleet schedule'!$D$6:$D$460,$B35,'Fleet schedule'!$E$6:$E$460,$C35)</f>
        <v>0</v>
      </c>
      <c r="G35" s="41">
        <f>SUMIFS('Fleet schedule'!T$6:T$460,'Fleet schedule'!$D$6:$D$460,$B35,'Fleet schedule'!$E$6:$E$460,$C35)</f>
        <v>130000</v>
      </c>
      <c r="H35" s="41">
        <f>SUMIFS('Fleet schedule'!U$6:U$460,'Fleet schedule'!$D$6:$D$460,$B35,'Fleet schedule'!$E$6:$E$460,$C35)</f>
        <v>0</v>
      </c>
      <c r="I35" s="41">
        <f>SUMIFS('Fleet schedule'!V$6:V$460,'Fleet schedule'!$D$6:$D$460,$B35,'Fleet schedule'!$E$6:$E$460,$C35)</f>
        <v>0</v>
      </c>
      <c r="J35" s="30"/>
      <c r="K35" s="41">
        <f t="shared" ref="K35:K49" si="7">SUM(E35:I35)</f>
        <v>130000</v>
      </c>
      <c r="M35" s="44">
        <f>COUNTIFS('Fleet schedule'!G$6:G$460,"&gt;0",'Fleet schedule'!$D$6:$D$460,$B35,'Fleet schedule'!$E$6:$E$460,$C35)</f>
        <v>0</v>
      </c>
      <c r="N35" s="44">
        <f>COUNTIFS('Fleet schedule'!H$6:H$460,"&gt;0",'Fleet schedule'!$D$6:$D$460,$B35,'Fleet schedule'!$E$6:$E$460,$C35)</f>
        <v>0</v>
      </c>
      <c r="O35" s="44">
        <f>COUNTIFS('Fleet schedule'!I$6:I$460,"&gt;0",'Fleet schedule'!$D$6:$D$460,$B35,'Fleet schedule'!$E$6:$E$460,$C35)</f>
        <v>1</v>
      </c>
      <c r="P35" s="44">
        <f>COUNTIFS('Fleet schedule'!J$6:J$460,"&gt;0",'Fleet schedule'!$D$6:$D$460,$B35,'Fleet schedule'!$E$6:$E$460,$C35)</f>
        <v>0</v>
      </c>
      <c r="Q35" s="44">
        <f>COUNTIFS('Fleet schedule'!K$6:K$460,"&gt;0",'Fleet schedule'!$D$6:$D$460,$B35,'Fleet schedule'!$E$6:$E$460,$C35)</f>
        <v>0</v>
      </c>
      <c r="S35" s="44">
        <f t="shared" ref="S35:S49" si="8">SUM(M35:Q35)</f>
        <v>1</v>
      </c>
      <c r="U35" s="44">
        <f>COUNTIFS('Fleet schedule'!O$6:O$460,"",'Fleet schedule'!$D$6:$D$460,$B35,'Fleet schedule'!$E$6:$E$460,$C35)</f>
        <v>0</v>
      </c>
      <c r="W35" s="44">
        <f t="shared" ref="W35:W49" si="9">S35+U35</f>
        <v>1</v>
      </c>
    </row>
    <row r="36" spans="2:23" x14ac:dyDescent="0.35">
      <c r="B36" s="37" t="s">
        <v>74</v>
      </c>
      <c r="C36" s="37" t="s">
        <v>193</v>
      </c>
      <c r="D36" s="30"/>
      <c r="E36" s="41">
        <f>SUMIFS('Fleet schedule'!R$6:R$460,'Fleet schedule'!$D$6:$D$460,$B36,'Fleet schedule'!$E$6:$E$460,$C36)</f>
        <v>0</v>
      </c>
      <c r="F36" s="41">
        <f>SUMIFS('Fleet schedule'!S$6:S$460,'Fleet schedule'!$D$6:$D$460,$B36,'Fleet schedule'!$E$6:$E$460,$C36)</f>
        <v>0</v>
      </c>
      <c r="G36" s="41">
        <f>SUMIFS('Fleet schedule'!T$6:T$460,'Fleet schedule'!$D$6:$D$460,$B36,'Fleet schedule'!$E$6:$E$460,$C36)</f>
        <v>66000</v>
      </c>
      <c r="H36" s="41">
        <f>SUMIFS('Fleet schedule'!U$6:U$460,'Fleet schedule'!$D$6:$D$460,$B36,'Fleet schedule'!$E$6:$E$460,$C36)</f>
        <v>0</v>
      </c>
      <c r="I36" s="41">
        <f>SUMIFS('Fleet schedule'!V$6:V$460,'Fleet schedule'!$D$6:$D$460,$B36,'Fleet schedule'!$E$6:$E$460,$C36)</f>
        <v>0</v>
      </c>
      <c r="J36" s="30"/>
      <c r="K36" s="41">
        <f t="shared" si="7"/>
        <v>66000</v>
      </c>
      <c r="M36" s="44">
        <f>COUNTIFS('Fleet schedule'!G$6:G$460,"&gt;0",'Fleet schedule'!$D$6:$D$460,$B36,'Fleet schedule'!$E$6:$E$460,$C36)</f>
        <v>0</v>
      </c>
      <c r="N36" s="44">
        <f>COUNTIFS('Fleet schedule'!H$6:H$460,"&gt;0",'Fleet schedule'!$D$6:$D$460,$B36,'Fleet schedule'!$E$6:$E$460,$C36)</f>
        <v>0</v>
      </c>
      <c r="O36" s="44">
        <f>COUNTIFS('Fleet schedule'!I$6:I$460,"&gt;0",'Fleet schedule'!$D$6:$D$460,$B36,'Fleet schedule'!$E$6:$E$460,$C36)</f>
        <v>1</v>
      </c>
      <c r="P36" s="44">
        <f>COUNTIFS('Fleet schedule'!J$6:J$460,"&gt;0",'Fleet schedule'!$D$6:$D$460,$B36,'Fleet schedule'!$E$6:$E$460,$C36)</f>
        <v>0</v>
      </c>
      <c r="Q36" s="44">
        <f>COUNTIFS('Fleet schedule'!K$6:K$460,"&gt;0",'Fleet schedule'!$D$6:$D$460,$B36,'Fleet schedule'!$E$6:$E$460,$C36)</f>
        <v>0</v>
      </c>
      <c r="S36" s="44">
        <f t="shared" si="8"/>
        <v>1</v>
      </c>
      <c r="U36" s="44">
        <f>COUNTIFS('Fleet schedule'!O$6:O$460,"",'Fleet schedule'!$D$6:$D$460,$B36,'Fleet schedule'!$E$6:$E$460,$C36)</f>
        <v>0</v>
      </c>
      <c r="W36" s="44">
        <f t="shared" si="9"/>
        <v>1</v>
      </c>
    </row>
    <row r="37" spans="2:23" x14ac:dyDescent="0.35">
      <c r="B37" t="s">
        <v>99</v>
      </c>
      <c r="C37" t="s">
        <v>95</v>
      </c>
      <c r="D37" s="30"/>
      <c r="E37" s="42">
        <f>SUMIFS('Fleet schedule'!R$6:R$460,'Fleet schedule'!$D$6:$D$460,$B37,'Fleet schedule'!$E$6:$E$460,$C37)</f>
        <v>1718000</v>
      </c>
      <c r="F37" s="42">
        <f>SUMIFS('Fleet schedule'!S$6:S$460,'Fleet schedule'!$D$6:$D$460,$B37,'Fleet schedule'!$E$6:$E$460,$C37)</f>
        <v>240000</v>
      </c>
      <c r="G37" s="42">
        <f>SUMIFS('Fleet schedule'!T$6:T$460,'Fleet schedule'!$D$6:$D$460,$B37,'Fleet schedule'!$E$6:$E$460,$C37)</f>
        <v>470000</v>
      </c>
      <c r="H37" s="42">
        <f>SUMIFS('Fleet schedule'!U$6:U$460,'Fleet schedule'!$D$6:$D$460,$B37,'Fleet schedule'!$E$6:$E$460,$C37)</f>
        <v>4105000</v>
      </c>
      <c r="I37" s="42">
        <f>SUMIFS('Fleet schedule'!V$6:V$460,'Fleet schedule'!$D$6:$D$460,$B37,'Fleet schedule'!$E$6:$E$460,$C37)</f>
        <v>6398000</v>
      </c>
      <c r="J37" s="30"/>
      <c r="K37" s="42">
        <f t="shared" si="7"/>
        <v>12931000</v>
      </c>
      <c r="M37" s="45">
        <f>COUNTIFS('Fleet schedule'!G$6:G$460,"&gt;0",'Fleet schedule'!$D$6:$D$460,$B37,'Fleet schedule'!$E$6:$E$460,$C37)</f>
        <v>23</v>
      </c>
      <c r="N37" s="45">
        <f>COUNTIFS('Fleet schedule'!H$6:H$460,"&gt;0",'Fleet schedule'!$D$6:$D$460,$B37,'Fleet schedule'!$E$6:$E$460,$C37)</f>
        <v>3</v>
      </c>
      <c r="O37" s="45">
        <f>COUNTIFS('Fleet schedule'!I$6:I$460,"&gt;0",'Fleet schedule'!$D$6:$D$460,$B37,'Fleet schedule'!$E$6:$E$460,$C37)</f>
        <v>5</v>
      </c>
      <c r="P37" s="45">
        <f>COUNTIFS('Fleet schedule'!J$6:J$460,"&gt;0",'Fleet schedule'!$D$6:$D$460,$B37,'Fleet schedule'!$E$6:$E$460,$C37)</f>
        <v>57</v>
      </c>
      <c r="Q37" s="45">
        <f>COUNTIFS('Fleet schedule'!K$6:K$460,"&gt;0",'Fleet schedule'!$D$6:$D$460,$B37,'Fleet schedule'!$E$6:$E$460,$C37)</f>
        <v>81</v>
      </c>
      <c r="S37" s="45">
        <f t="shared" si="8"/>
        <v>169</v>
      </c>
      <c r="U37" s="45">
        <f>COUNTIFS('Fleet schedule'!O$6:O$460,"",'Fleet schedule'!$D$6:$D$460,$B37,'Fleet schedule'!$E$6:$E$460,$C37)</f>
        <v>4</v>
      </c>
      <c r="W37" s="45">
        <f t="shared" si="9"/>
        <v>173</v>
      </c>
    </row>
    <row r="38" spans="2:23" x14ac:dyDescent="0.35">
      <c r="B38" t="s">
        <v>99</v>
      </c>
      <c r="C38" t="s">
        <v>20</v>
      </c>
      <c r="D38" s="30"/>
      <c r="E38" s="42">
        <f>SUMIFS('Fleet schedule'!R$6:R$460,'Fleet schedule'!$D$6:$D$460,$B38,'Fleet schedule'!$E$6:$E$460,$C38)</f>
        <v>0</v>
      </c>
      <c r="F38" s="42">
        <f>SUMIFS('Fleet schedule'!S$6:S$460,'Fleet schedule'!$D$6:$D$460,$B38,'Fleet schedule'!$E$6:$E$460,$C38)</f>
        <v>0</v>
      </c>
      <c r="G38" s="42">
        <f>SUMIFS('Fleet schedule'!T$6:T$460,'Fleet schedule'!$D$6:$D$460,$B38,'Fleet schedule'!$E$6:$E$460,$C38)</f>
        <v>0</v>
      </c>
      <c r="H38" s="42">
        <f>SUMIFS('Fleet schedule'!U$6:U$460,'Fleet schedule'!$D$6:$D$460,$B38,'Fleet schedule'!$E$6:$E$460,$C38)</f>
        <v>0</v>
      </c>
      <c r="I38" s="42">
        <f>SUMIFS('Fleet schedule'!V$6:V$460,'Fleet schedule'!$D$6:$D$460,$B38,'Fleet schedule'!$E$6:$E$460,$C38)</f>
        <v>0</v>
      </c>
      <c r="J38" s="30"/>
      <c r="K38" s="42">
        <f t="shared" si="7"/>
        <v>0</v>
      </c>
      <c r="M38" s="45">
        <f>COUNTIFS('Fleet schedule'!G$6:G$460,"&gt;0",'Fleet schedule'!$D$6:$D$460,$B38,'Fleet schedule'!$E$6:$E$460,$C38)</f>
        <v>0</v>
      </c>
      <c r="N38" s="45">
        <f>COUNTIFS('Fleet schedule'!H$6:H$460,"&gt;0",'Fleet schedule'!$D$6:$D$460,$B38,'Fleet schedule'!$E$6:$E$460,$C38)</f>
        <v>0</v>
      </c>
      <c r="O38" s="45">
        <f>COUNTIFS('Fleet schedule'!I$6:I$460,"&gt;0",'Fleet schedule'!$D$6:$D$460,$B38,'Fleet schedule'!$E$6:$E$460,$C38)</f>
        <v>0</v>
      </c>
      <c r="P38" s="45">
        <f>COUNTIFS('Fleet schedule'!J$6:J$460,"&gt;0",'Fleet schedule'!$D$6:$D$460,$B38,'Fleet schedule'!$E$6:$E$460,$C38)</f>
        <v>0</v>
      </c>
      <c r="Q38" s="45">
        <f>COUNTIFS('Fleet schedule'!K$6:K$460,"&gt;0",'Fleet schedule'!$D$6:$D$460,$B38,'Fleet schedule'!$E$6:$E$460,$C38)</f>
        <v>0</v>
      </c>
      <c r="S38" s="45">
        <f t="shared" si="8"/>
        <v>0</v>
      </c>
      <c r="U38" s="45">
        <f>COUNTIFS('Fleet schedule'!O$6:O$460,"",'Fleet schedule'!$D$6:$D$460,$B38,'Fleet schedule'!$E$6:$E$460,$C38)</f>
        <v>0</v>
      </c>
      <c r="W38" s="45">
        <f t="shared" si="9"/>
        <v>0</v>
      </c>
    </row>
    <row r="39" spans="2:23" x14ac:dyDescent="0.35">
      <c r="B39" t="s">
        <v>99</v>
      </c>
      <c r="C39" t="s">
        <v>193</v>
      </c>
      <c r="D39" s="30"/>
      <c r="E39" s="42">
        <f>SUMIFS('Fleet schedule'!R$6:R$460,'Fleet schedule'!$D$6:$D$460,$B39,'Fleet schedule'!$E$6:$E$460,$C39)</f>
        <v>0</v>
      </c>
      <c r="F39" s="42">
        <f>SUMIFS('Fleet schedule'!S$6:S$460,'Fleet schedule'!$D$6:$D$460,$B39,'Fleet schedule'!$E$6:$E$460,$C39)</f>
        <v>30000</v>
      </c>
      <c r="G39" s="42">
        <f>SUMIFS('Fleet schedule'!T$6:T$460,'Fleet schedule'!$D$6:$D$460,$B39,'Fleet schedule'!$E$6:$E$460,$C39)</f>
        <v>0</v>
      </c>
      <c r="H39" s="42">
        <f>SUMIFS('Fleet schedule'!U$6:U$460,'Fleet schedule'!$D$6:$D$460,$B39,'Fleet schedule'!$E$6:$E$460,$C39)</f>
        <v>0</v>
      </c>
      <c r="I39" s="42">
        <f>SUMIFS('Fleet schedule'!V$6:V$460,'Fleet schedule'!$D$6:$D$460,$B39,'Fleet schedule'!$E$6:$E$460,$C39)</f>
        <v>0</v>
      </c>
      <c r="J39" s="30"/>
      <c r="K39" s="42">
        <f t="shared" si="7"/>
        <v>30000</v>
      </c>
      <c r="M39" s="45">
        <f>COUNTIFS('Fleet schedule'!G$6:G$460,"&gt;0",'Fleet schedule'!$D$6:$D$460,$B39,'Fleet schedule'!$E$6:$E$460,$C39)</f>
        <v>0</v>
      </c>
      <c r="N39" s="45">
        <f>COUNTIFS('Fleet schedule'!H$6:H$460,"&gt;0",'Fleet schedule'!$D$6:$D$460,$B39,'Fleet schedule'!$E$6:$E$460,$C39)</f>
        <v>1</v>
      </c>
      <c r="O39" s="45">
        <f>COUNTIFS('Fleet schedule'!I$6:I$460,"&gt;0",'Fleet schedule'!$D$6:$D$460,$B39,'Fleet schedule'!$E$6:$E$460,$C39)</f>
        <v>0</v>
      </c>
      <c r="P39" s="45">
        <f>COUNTIFS('Fleet schedule'!J$6:J$460,"&gt;0",'Fleet schedule'!$D$6:$D$460,$B39,'Fleet schedule'!$E$6:$E$460,$C39)</f>
        <v>0</v>
      </c>
      <c r="Q39" s="45">
        <f>COUNTIFS('Fleet schedule'!K$6:K$460,"&gt;0",'Fleet schedule'!$D$6:$D$460,$B39,'Fleet schedule'!$E$6:$E$460,$C39)</f>
        <v>0</v>
      </c>
      <c r="S39" s="45">
        <f t="shared" si="8"/>
        <v>1</v>
      </c>
      <c r="U39" s="45">
        <f>COUNTIFS('Fleet schedule'!O$6:O$460,"",'Fleet schedule'!$D$6:$D$460,$B39,'Fleet schedule'!$E$6:$E$460,$C39)</f>
        <v>2</v>
      </c>
      <c r="W39" s="45">
        <f t="shared" si="9"/>
        <v>3</v>
      </c>
    </row>
    <row r="40" spans="2:23" x14ac:dyDescent="0.35">
      <c r="B40" s="37" t="s">
        <v>21</v>
      </c>
      <c r="C40" s="37" t="s">
        <v>95</v>
      </c>
      <c r="D40" s="30"/>
      <c r="E40" s="41">
        <f>SUMIFS('Fleet schedule'!R$6:R$460,'Fleet schedule'!$D$6:$D$460,$B40,'Fleet schedule'!$E$6:$E$460,$C40)</f>
        <v>0</v>
      </c>
      <c r="F40" s="41">
        <f>SUMIFS('Fleet schedule'!S$6:S$460,'Fleet schedule'!$D$6:$D$460,$B40,'Fleet schedule'!$E$6:$E$460,$C40)</f>
        <v>0</v>
      </c>
      <c r="G40" s="41">
        <f>SUMIFS('Fleet schedule'!T$6:T$460,'Fleet schedule'!$D$6:$D$460,$B40,'Fleet schedule'!$E$6:$E$460,$C40)</f>
        <v>0</v>
      </c>
      <c r="H40" s="41">
        <f>SUMIFS('Fleet schedule'!U$6:U$460,'Fleet schedule'!$D$6:$D$460,$B40,'Fleet schedule'!$E$6:$E$460,$C40)</f>
        <v>0</v>
      </c>
      <c r="I40" s="41">
        <f>SUMIFS('Fleet schedule'!V$6:V$460,'Fleet schedule'!$D$6:$D$460,$B40,'Fleet schedule'!$E$6:$E$460,$C40)</f>
        <v>0</v>
      </c>
      <c r="J40" s="30"/>
      <c r="K40" s="41">
        <f t="shared" si="7"/>
        <v>0</v>
      </c>
      <c r="M40" s="44">
        <f>COUNTIFS('Fleet schedule'!G$6:G$460,"&gt;0",'Fleet schedule'!$D$6:$D$460,$B40,'Fleet schedule'!$E$6:$E$460,$C40)</f>
        <v>0</v>
      </c>
      <c r="N40" s="44">
        <f>COUNTIFS('Fleet schedule'!H$6:H$460,"&gt;0",'Fleet schedule'!$D$6:$D$460,$B40,'Fleet schedule'!$E$6:$E$460,$C40)</f>
        <v>0</v>
      </c>
      <c r="O40" s="44">
        <f>COUNTIFS('Fleet schedule'!I$6:I$460,"&gt;0",'Fleet schedule'!$D$6:$D$460,$B40,'Fleet schedule'!$E$6:$E$460,$C40)</f>
        <v>0</v>
      </c>
      <c r="P40" s="44">
        <f>COUNTIFS('Fleet schedule'!J$6:J$460,"&gt;0",'Fleet schedule'!$D$6:$D$460,$B40,'Fleet schedule'!$E$6:$E$460,$C40)</f>
        <v>0</v>
      </c>
      <c r="Q40" s="44">
        <f>COUNTIFS('Fleet schedule'!K$6:K$460,"&gt;0",'Fleet schedule'!$D$6:$D$460,$B40,'Fleet schedule'!$E$6:$E$460,$C40)</f>
        <v>0</v>
      </c>
      <c r="S40" s="44">
        <f t="shared" si="8"/>
        <v>0</v>
      </c>
      <c r="U40" s="44">
        <f>COUNTIFS('Fleet schedule'!O$6:O$460,"",'Fleet schedule'!$D$6:$D$460,$B40,'Fleet schedule'!$E$6:$E$460,$C40)</f>
        <v>0</v>
      </c>
      <c r="W40" s="44">
        <f t="shared" si="9"/>
        <v>0</v>
      </c>
    </row>
    <row r="41" spans="2:23" x14ac:dyDescent="0.35">
      <c r="B41" s="37" t="s">
        <v>21</v>
      </c>
      <c r="C41" s="37" t="s">
        <v>20</v>
      </c>
      <c r="D41" s="30"/>
      <c r="E41" s="41">
        <f>SUMIFS('Fleet schedule'!R$6:R$460,'Fleet schedule'!$D$6:$D$460,$B41,'Fleet schedule'!$E$6:$E$460,$C41)</f>
        <v>0</v>
      </c>
      <c r="F41" s="41">
        <f>SUMIFS('Fleet schedule'!S$6:S$460,'Fleet schedule'!$D$6:$D$460,$B41,'Fleet schedule'!$E$6:$E$460,$C41)</f>
        <v>0</v>
      </c>
      <c r="G41" s="41">
        <f>SUMIFS('Fleet schedule'!T$6:T$460,'Fleet schedule'!$D$6:$D$460,$B41,'Fleet schedule'!$E$6:$E$460,$C41)</f>
        <v>0</v>
      </c>
      <c r="H41" s="41">
        <f>SUMIFS('Fleet schedule'!U$6:U$460,'Fleet schedule'!$D$6:$D$460,$B41,'Fleet schedule'!$E$6:$E$460,$C41)</f>
        <v>0</v>
      </c>
      <c r="I41" s="41">
        <f>SUMIFS('Fleet schedule'!V$6:V$460,'Fleet schedule'!$D$6:$D$460,$B41,'Fleet schedule'!$E$6:$E$460,$C41)</f>
        <v>0</v>
      </c>
      <c r="J41" s="30"/>
      <c r="K41" s="41">
        <f t="shared" si="7"/>
        <v>0</v>
      </c>
      <c r="M41" s="44">
        <f>COUNTIFS('Fleet schedule'!G$6:G$460,"&gt;0",'Fleet schedule'!$D$6:$D$460,$B41,'Fleet schedule'!$E$6:$E$460,$C41)</f>
        <v>0</v>
      </c>
      <c r="N41" s="44">
        <f>COUNTIFS('Fleet schedule'!H$6:H$460,"&gt;0",'Fleet schedule'!$D$6:$D$460,$B41,'Fleet schedule'!$E$6:$E$460,$C41)</f>
        <v>0</v>
      </c>
      <c r="O41" s="44">
        <f>COUNTIFS('Fleet schedule'!I$6:I$460,"&gt;0",'Fleet schedule'!$D$6:$D$460,$B41,'Fleet schedule'!$E$6:$E$460,$C41)</f>
        <v>0</v>
      </c>
      <c r="P41" s="44">
        <f>COUNTIFS('Fleet schedule'!J$6:J$460,"&gt;0",'Fleet schedule'!$D$6:$D$460,$B41,'Fleet schedule'!$E$6:$E$460,$C41)</f>
        <v>0</v>
      </c>
      <c r="Q41" s="44">
        <f>COUNTIFS('Fleet schedule'!K$6:K$460,"&gt;0",'Fleet schedule'!$D$6:$D$460,$B41,'Fleet schedule'!$E$6:$E$460,$C41)</f>
        <v>0</v>
      </c>
      <c r="S41" s="44">
        <f t="shared" si="8"/>
        <v>0</v>
      </c>
      <c r="U41" s="44">
        <f>COUNTIFS('Fleet schedule'!O$6:O$460,"",'Fleet schedule'!$D$6:$D$460,$B41,'Fleet schedule'!$E$6:$E$460,$C41)</f>
        <v>0</v>
      </c>
      <c r="W41" s="44">
        <f t="shared" si="9"/>
        <v>0</v>
      </c>
    </row>
    <row r="42" spans="2:23" x14ac:dyDescent="0.35">
      <c r="B42" s="37" t="s">
        <v>21</v>
      </c>
      <c r="C42" s="37" t="s">
        <v>193</v>
      </c>
      <c r="D42" s="30"/>
      <c r="E42" s="41">
        <f>SUMIFS('Fleet schedule'!R$6:R$460,'Fleet schedule'!$D$6:$D$460,$B42,'Fleet schedule'!$E$6:$E$460,$C42)</f>
        <v>0</v>
      </c>
      <c r="F42" s="41">
        <f>SUMIFS('Fleet schedule'!S$6:S$460,'Fleet schedule'!$D$6:$D$460,$B42,'Fleet schedule'!$E$6:$E$460,$C42)</f>
        <v>0</v>
      </c>
      <c r="G42" s="41">
        <f>SUMIFS('Fleet schedule'!T$6:T$460,'Fleet schedule'!$D$6:$D$460,$B42,'Fleet schedule'!$E$6:$E$460,$C42)</f>
        <v>0</v>
      </c>
      <c r="H42" s="41">
        <f>SUMIFS('Fleet schedule'!U$6:U$460,'Fleet schedule'!$D$6:$D$460,$B42,'Fleet schedule'!$E$6:$E$460,$C42)</f>
        <v>0</v>
      </c>
      <c r="I42" s="41">
        <f>SUMIFS('Fleet schedule'!V$6:V$460,'Fleet schedule'!$D$6:$D$460,$B42,'Fleet schedule'!$E$6:$E$460,$C42)</f>
        <v>0</v>
      </c>
      <c r="J42" s="30"/>
      <c r="K42" s="41">
        <f t="shared" si="7"/>
        <v>0</v>
      </c>
      <c r="M42" s="44">
        <f>COUNTIFS('Fleet schedule'!G$6:G$460,"&gt;0",'Fleet schedule'!$D$6:$D$460,$B42,'Fleet schedule'!$E$6:$E$460,$C42)</f>
        <v>0</v>
      </c>
      <c r="N42" s="44">
        <f>COUNTIFS('Fleet schedule'!H$6:H$460,"&gt;0",'Fleet schedule'!$D$6:$D$460,$B42,'Fleet schedule'!$E$6:$E$460,$C42)</f>
        <v>0</v>
      </c>
      <c r="O42" s="44">
        <f>COUNTIFS('Fleet schedule'!I$6:I$460,"&gt;0",'Fleet schedule'!$D$6:$D$460,$B42,'Fleet schedule'!$E$6:$E$460,$C42)</f>
        <v>0</v>
      </c>
      <c r="P42" s="44">
        <f>COUNTIFS('Fleet schedule'!J$6:J$460,"&gt;0",'Fleet schedule'!$D$6:$D$460,$B42,'Fleet schedule'!$E$6:$E$460,$C42)</f>
        <v>0</v>
      </c>
      <c r="Q42" s="44">
        <f>COUNTIFS('Fleet schedule'!K$6:K$460,"&gt;0",'Fleet schedule'!$D$6:$D$460,$B42,'Fleet schedule'!$E$6:$E$460,$C42)</f>
        <v>0</v>
      </c>
      <c r="S42" s="44">
        <f t="shared" si="8"/>
        <v>0</v>
      </c>
      <c r="U42" s="44">
        <f>COUNTIFS('Fleet schedule'!O$6:O$460,"",'Fleet schedule'!$D$6:$D$460,$B42,'Fleet schedule'!$E$6:$E$460,$C42)</f>
        <v>0</v>
      </c>
      <c r="W42" s="44">
        <f t="shared" si="9"/>
        <v>0</v>
      </c>
    </row>
    <row r="43" spans="2:23" x14ac:dyDescent="0.35">
      <c r="B43" t="s">
        <v>22</v>
      </c>
      <c r="C43" t="s">
        <v>95</v>
      </c>
      <c r="D43" s="30"/>
      <c r="E43" s="42">
        <f>SUMIFS('Fleet schedule'!R$6:R$460,'Fleet schedule'!$D$6:$D$460,$B43,'Fleet schedule'!$E$6:$E$460,$C43)</f>
        <v>3200000</v>
      </c>
      <c r="F43" s="42">
        <f>SUMIFS('Fleet schedule'!S$6:S$460,'Fleet schedule'!$D$6:$D$460,$B43,'Fleet schedule'!$E$6:$E$460,$C43)</f>
        <v>6310000</v>
      </c>
      <c r="G43" s="42">
        <f>SUMIFS('Fleet schedule'!T$6:T$460,'Fleet schedule'!$D$6:$D$460,$B43,'Fleet schedule'!$E$6:$E$460,$C43)</f>
        <v>3145000</v>
      </c>
      <c r="H43" s="42">
        <f>SUMIFS('Fleet schedule'!U$6:U$460,'Fleet schedule'!$D$6:$D$460,$B43,'Fleet schedule'!$E$6:$E$460,$C43)</f>
        <v>2250000</v>
      </c>
      <c r="I43" s="42">
        <f>SUMIFS('Fleet schedule'!V$6:V$460,'Fleet schedule'!$D$6:$D$460,$B43,'Fleet schedule'!$E$6:$E$460,$C43)</f>
        <v>9090000</v>
      </c>
      <c r="J43" s="30"/>
      <c r="K43" s="42">
        <f t="shared" si="7"/>
        <v>23995000</v>
      </c>
      <c r="M43" s="45">
        <f>COUNTIFS('Fleet schedule'!G$6:G$460,"&gt;0",'Fleet schedule'!$D$6:$D$460,$B43,'Fleet schedule'!$E$6:$E$460,$C43)</f>
        <v>6</v>
      </c>
      <c r="N43" s="45">
        <f>COUNTIFS('Fleet schedule'!H$6:H$460,"&gt;0",'Fleet schedule'!$D$6:$D$460,$B43,'Fleet schedule'!$E$6:$E$460,$C43)</f>
        <v>11</v>
      </c>
      <c r="O43" s="45">
        <f>COUNTIFS('Fleet schedule'!I$6:I$460,"&gt;0",'Fleet schedule'!$D$6:$D$460,$B43,'Fleet schedule'!$E$6:$E$460,$C43)</f>
        <v>6</v>
      </c>
      <c r="P43" s="45">
        <f>COUNTIFS('Fleet schedule'!J$6:J$460,"&gt;0",'Fleet schedule'!$D$6:$D$460,$B43,'Fleet schedule'!$E$6:$E$460,$C43)</f>
        <v>5</v>
      </c>
      <c r="Q43" s="45">
        <f>COUNTIFS('Fleet schedule'!K$6:K$460,"&gt;0",'Fleet schedule'!$D$6:$D$460,$B43,'Fleet schedule'!$E$6:$E$460,$C43)</f>
        <v>16</v>
      </c>
      <c r="S43" s="45">
        <f t="shared" si="8"/>
        <v>44</v>
      </c>
      <c r="U43" s="45">
        <f>COUNTIFS('Fleet schedule'!O$6:O$460,"",'Fleet schedule'!$D$6:$D$460,$B43,'Fleet schedule'!$E$6:$E$460,$C43)</f>
        <v>30</v>
      </c>
      <c r="W43" s="45">
        <f t="shared" si="9"/>
        <v>74</v>
      </c>
    </row>
    <row r="44" spans="2:23" x14ac:dyDescent="0.35">
      <c r="B44" t="s">
        <v>22</v>
      </c>
      <c r="C44" t="s">
        <v>20</v>
      </c>
      <c r="D44" s="30"/>
      <c r="E44" s="42">
        <f>SUMIFS('Fleet schedule'!R$6:R$460,'Fleet schedule'!$D$6:$D$460,$B44,'Fleet schedule'!$E$6:$E$460,$C44)</f>
        <v>0</v>
      </c>
      <c r="F44" s="42">
        <f>SUMIFS('Fleet schedule'!S$6:S$460,'Fleet schedule'!$D$6:$D$460,$B44,'Fleet schedule'!$E$6:$E$460,$C44)</f>
        <v>0</v>
      </c>
      <c r="G44" s="42">
        <f>SUMIFS('Fleet schedule'!T$6:T$460,'Fleet schedule'!$D$6:$D$460,$B44,'Fleet schedule'!$E$6:$E$460,$C44)</f>
        <v>0</v>
      </c>
      <c r="H44" s="42">
        <f>SUMIFS('Fleet schedule'!U$6:U$460,'Fleet schedule'!$D$6:$D$460,$B44,'Fleet schedule'!$E$6:$E$460,$C44)</f>
        <v>0</v>
      </c>
      <c r="I44" s="42">
        <f>SUMIFS('Fleet schedule'!V$6:V$460,'Fleet schedule'!$D$6:$D$460,$B44,'Fleet schedule'!$E$6:$E$460,$C44)</f>
        <v>0</v>
      </c>
      <c r="J44" s="30"/>
      <c r="K44" s="42">
        <f t="shared" si="7"/>
        <v>0</v>
      </c>
      <c r="M44" s="45">
        <f>COUNTIFS('Fleet schedule'!G$6:G$460,"&gt;0",'Fleet schedule'!$D$6:$D$460,$B44,'Fleet schedule'!$E$6:$E$460,$C44)</f>
        <v>0</v>
      </c>
      <c r="N44" s="45">
        <f>COUNTIFS('Fleet schedule'!H$6:H$460,"&gt;0",'Fleet schedule'!$D$6:$D$460,$B44,'Fleet schedule'!$E$6:$E$460,$C44)</f>
        <v>0</v>
      </c>
      <c r="O44" s="45">
        <f>COUNTIFS('Fleet schedule'!I$6:I$460,"&gt;0",'Fleet schedule'!$D$6:$D$460,$B44,'Fleet schedule'!$E$6:$E$460,$C44)</f>
        <v>0</v>
      </c>
      <c r="P44" s="45">
        <f>COUNTIFS('Fleet schedule'!J$6:J$460,"&gt;0",'Fleet schedule'!$D$6:$D$460,$B44,'Fleet schedule'!$E$6:$E$460,$C44)</f>
        <v>0</v>
      </c>
      <c r="Q44" s="45">
        <f>COUNTIFS('Fleet schedule'!K$6:K$460,"&gt;0",'Fleet schedule'!$D$6:$D$460,$B44,'Fleet schedule'!$E$6:$E$460,$C44)</f>
        <v>0</v>
      </c>
      <c r="S44" s="45">
        <f t="shared" si="8"/>
        <v>0</v>
      </c>
      <c r="U44" s="45">
        <f>COUNTIFS('Fleet schedule'!O$6:O$460,"",'Fleet schedule'!$D$6:$D$460,$B44,'Fleet schedule'!$E$6:$E$460,$C44)</f>
        <v>0</v>
      </c>
      <c r="W44" s="45">
        <f t="shared" si="9"/>
        <v>0</v>
      </c>
    </row>
    <row r="45" spans="2:23" x14ac:dyDescent="0.35">
      <c r="B45" t="s">
        <v>22</v>
      </c>
      <c r="C45" t="s">
        <v>193</v>
      </c>
      <c r="D45" s="30"/>
      <c r="E45" s="42">
        <f>SUMIFS('Fleet schedule'!R$6:R$460,'Fleet schedule'!$D$6:$D$460,$B45,'Fleet schedule'!$E$6:$E$460,$C45)</f>
        <v>0</v>
      </c>
      <c r="F45" s="42">
        <f>SUMIFS('Fleet schedule'!S$6:S$460,'Fleet schedule'!$D$6:$D$460,$B45,'Fleet schedule'!$E$6:$E$460,$C45)</f>
        <v>0</v>
      </c>
      <c r="G45" s="42">
        <f>SUMIFS('Fleet schedule'!T$6:T$460,'Fleet schedule'!$D$6:$D$460,$B45,'Fleet schedule'!$E$6:$E$460,$C45)</f>
        <v>0</v>
      </c>
      <c r="H45" s="42">
        <f>SUMIFS('Fleet schedule'!U$6:U$460,'Fleet schedule'!$D$6:$D$460,$B45,'Fleet schedule'!$E$6:$E$460,$C45)</f>
        <v>0</v>
      </c>
      <c r="I45" s="42">
        <f>SUMIFS('Fleet schedule'!V$6:V$460,'Fleet schedule'!$D$6:$D$460,$B45,'Fleet schedule'!$E$6:$E$460,$C45)</f>
        <v>0</v>
      </c>
      <c r="J45" s="30"/>
      <c r="K45" s="42">
        <f t="shared" si="7"/>
        <v>0</v>
      </c>
      <c r="M45" s="45">
        <f>COUNTIFS('Fleet schedule'!G$6:G$460,"&gt;0",'Fleet schedule'!$D$6:$D$460,$B45,'Fleet schedule'!$E$6:$E$460,$C45)</f>
        <v>0</v>
      </c>
      <c r="N45" s="45">
        <f>COUNTIFS('Fleet schedule'!H$6:H$460,"&gt;0",'Fleet schedule'!$D$6:$D$460,$B45,'Fleet schedule'!$E$6:$E$460,$C45)</f>
        <v>0</v>
      </c>
      <c r="O45" s="45">
        <f>COUNTIFS('Fleet schedule'!I$6:I$460,"&gt;0",'Fleet schedule'!$D$6:$D$460,$B45,'Fleet schedule'!$E$6:$E$460,$C45)</f>
        <v>0</v>
      </c>
      <c r="P45" s="45">
        <f>COUNTIFS('Fleet schedule'!J$6:J$460,"&gt;0",'Fleet schedule'!$D$6:$D$460,$B45,'Fleet schedule'!$E$6:$E$460,$C45)</f>
        <v>0</v>
      </c>
      <c r="Q45" s="45">
        <f>COUNTIFS('Fleet schedule'!K$6:K$460,"&gt;0",'Fleet schedule'!$D$6:$D$460,$B45,'Fleet schedule'!$E$6:$E$460,$C45)</f>
        <v>0</v>
      </c>
      <c r="S45" s="45">
        <f t="shared" si="8"/>
        <v>0</v>
      </c>
      <c r="U45" s="45">
        <f>COUNTIFS('Fleet schedule'!O$6:O$460,"",'Fleet schedule'!$D$6:$D$460,$B45,'Fleet schedule'!$E$6:$E$460,$C45)</f>
        <v>0</v>
      </c>
      <c r="W45" s="45">
        <f t="shared" si="9"/>
        <v>0</v>
      </c>
    </row>
    <row r="46" spans="2:23" x14ac:dyDescent="0.35">
      <c r="B46" s="37" t="s">
        <v>72</v>
      </c>
      <c r="C46" s="37" t="s">
        <v>95</v>
      </c>
      <c r="D46" s="30"/>
      <c r="E46" s="41">
        <f>SUMIFS('Fleet schedule'!R$6:R$460,'Fleet schedule'!$D$6:$D$460,$B46,'Fleet schedule'!$E$6:$E$460,$C46)</f>
        <v>640000</v>
      </c>
      <c r="F46" s="41">
        <f>SUMIFS('Fleet schedule'!S$6:S$460,'Fleet schedule'!$D$6:$D$460,$B46,'Fleet schedule'!$E$6:$E$460,$C46)</f>
        <v>2870000</v>
      </c>
      <c r="G46" s="41">
        <f>SUMIFS('Fleet schedule'!T$6:T$460,'Fleet schedule'!$D$6:$D$460,$B46,'Fleet schedule'!$E$6:$E$460,$C46)</f>
        <v>1420000</v>
      </c>
      <c r="H46" s="41">
        <f>SUMIFS('Fleet schedule'!U$6:U$460,'Fleet schedule'!$D$6:$D$460,$B46,'Fleet schedule'!$E$6:$E$460,$C46)</f>
        <v>800000</v>
      </c>
      <c r="I46" s="41">
        <f>SUMIFS('Fleet schedule'!V$6:V$460,'Fleet schedule'!$D$6:$D$460,$B46,'Fleet schedule'!$E$6:$E$460,$C46)</f>
        <v>6960000</v>
      </c>
      <c r="J46" s="30"/>
      <c r="K46" s="41">
        <f t="shared" si="7"/>
        <v>12690000</v>
      </c>
      <c r="M46" s="44">
        <f>COUNTIFS('Fleet schedule'!G$6:G$460,"&gt;0",'Fleet schedule'!$D$6:$D$460,$B46,'Fleet schedule'!$E$6:$E$460,$C46)</f>
        <v>2</v>
      </c>
      <c r="N46" s="44">
        <f>COUNTIFS('Fleet schedule'!H$6:H$460,"&gt;0",'Fleet schedule'!$D$6:$D$460,$B46,'Fleet schedule'!$E$6:$E$460,$C46)</f>
        <v>6</v>
      </c>
      <c r="O46" s="44">
        <f>COUNTIFS('Fleet schedule'!I$6:I$460,"&gt;0",'Fleet schedule'!$D$6:$D$460,$B46,'Fleet schedule'!$E$6:$E$460,$C46)</f>
        <v>6</v>
      </c>
      <c r="P46" s="44">
        <f>COUNTIFS('Fleet schedule'!J$6:J$460,"&gt;0",'Fleet schedule'!$D$6:$D$460,$B46,'Fleet schedule'!$E$6:$E$460,$C46)</f>
        <v>2</v>
      </c>
      <c r="Q46" s="44">
        <f>COUNTIFS('Fleet schedule'!K$6:K$460,"&gt;0",'Fleet schedule'!$D$6:$D$460,$B46,'Fleet schedule'!$E$6:$E$460,$C46)</f>
        <v>23</v>
      </c>
      <c r="S46" s="44">
        <f t="shared" si="8"/>
        <v>39</v>
      </c>
      <c r="U46" s="44">
        <f>COUNTIFS('Fleet schedule'!O$6:O$460,"",'Fleet schedule'!$D$6:$D$460,$B46,'Fleet schedule'!$E$6:$E$460,$C46)</f>
        <v>25</v>
      </c>
      <c r="W46" s="44">
        <f t="shared" si="9"/>
        <v>64</v>
      </c>
    </row>
    <row r="47" spans="2:23" x14ac:dyDescent="0.35">
      <c r="B47" s="37" t="s">
        <v>72</v>
      </c>
      <c r="C47" s="37" t="s">
        <v>20</v>
      </c>
      <c r="D47" s="30"/>
      <c r="E47" s="41">
        <f>SUMIFS('Fleet schedule'!R$6:R$460,'Fleet schedule'!$D$6:$D$460,$B47,'Fleet schedule'!$E$6:$E$460,$C47)</f>
        <v>0</v>
      </c>
      <c r="F47" s="41">
        <f>SUMIFS('Fleet schedule'!S$6:S$460,'Fleet schedule'!$D$6:$D$460,$B47,'Fleet schedule'!$E$6:$E$460,$C47)</f>
        <v>0</v>
      </c>
      <c r="G47" s="41">
        <f>SUMIFS('Fleet schedule'!T$6:T$460,'Fleet schedule'!$D$6:$D$460,$B47,'Fleet schedule'!$E$6:$E$460,$C47)</f>
        <v>0</v>
      </c>
      <c r="H47" s="41">
        <f>SUMIFS('Fleet schedule'!U$6:U$460,'Fleet schedule'!$D$6:$D$460,$B47,'Fleet schedule'!$E$6:$E$460,$C47)</f>
        <v>0</v>
      </c>
      <c r="I47" s="41">
        <f>SUMIFS('Fleet schedule'!V$6:V$460,'Fleet schedule'!$D$6:$D$460,$B47,'Fleet schedule'!$E$6:$E$460,$C47)</f>
        <v>0</v>
      </c>
      <c r="J47" s="30"/>
      <c r="K47" s="41">
        <f t="shared" si="7"/>
        <v>0</v>
      </c>
      <c r="M47" s="44">
        <f>COUNTIFS('Fleet schedule'!G$6:G$460,"&gt;0",'Fleet schedule'!$D$6:$D$460,$B47,'Fleet schedule'!$E$6:$E$460,$C47)</f>
        <v>0</v>
      </c>
      <c r="N47" s="44">
        <f>COUNTIFS('Fleet schedule'!H$6:H$460,"&gt;0",'Fleet schedule'!$D$6:$D$460,$B47,'Fleet schedule'!$E$6:$E$460,$C47)</f>
        <v>0</v>
      </c>
      <c r="O47" s="44">
        <f>COUNTIFS('Fleet schedule'!I$6:I$460,"&gt;0",'Fleet schedule'!$D$6:$D$460,$B47,'Fleet schedule'!$E$6:$E$460,$C47)</f>
        <v>0</v>
      </c>
      <c r="P47" s="44">
        <f>COUNTIFS('Fleet schedule'!J$6:J$460,"&gt;0",'Fleet schedule'!$D$6:$D$460,$B47,'Fleet schedule'!$E$6:$E$460,$C47)</f>
        <v>0</v>
      </c>
      <c r="Q47" s="44">
        <f>COUNTIFS('Fleet schedule'!K$6:K$460,"&gt;0",'Fleet schedule'!$D$6:$D$460,$B47,'Fleet schedule'!$E$6:$E$460,$C47)</f>
        <v>0</v>
      </c>
      <c r="S47" s="44">
        <f t="shared" si="8"/>
        <v>0</v>
      </c>
      <c r="U47" s="44">
        <f>COUNTIFS('Fleet schedule'!O$6:O$460,"",'Fleet schedule'!$D$6:$D$460,$B47,'Fleet schedule'!$E$6:$E$460,$C47)</f>
        <v>0</v>
      </c>
      <c r="W47" s="44">
        <f t="shared" si="9"/>
        <v>0</v>
      </c>
    </row>
    <row r="48" spans="2:23" x14ac:dyDescent="0.35">
      <c r="B48" s="37" t="s">
        <v>72</v>
      </c>
      <c r="C48" s="37" t="s">
        <v>193</v>
      </c>
      <c r="D48" s="30"/>
      <c r="E48" s="41">
        <f>SUMIFS('Fleet schedule'!R$6:R$460,'Fleet schedule'!$D$6:$D$460,$B48,'Fleet schedule'!$E$6:$E$460,$C48)</f>
        <v>0</v>
      </c>
      <c r="F48" s="41">
        <f>SUMIFS('Fleet schedule'!S$6:S$460,'Fleet schedule'!$D$6:$D$460,$B48,'Fleet schedule'!$E$6:$E$460,$C48)</f>
        <v>0</v>
      </c>
      <c r="G48" s="41">
        <f>SUMIFS('Fleet schedule'!T$6:T$460,'Fleet schedule'!$D$6:$D$460,$B48,'Fleet schedule'!$E$6:$E$460,$C48)</f>
        <v>0</v>
      </c>
      <c r="H48" s="41">
        <f>SUMIFS('Fleet schedule'!U$6:U$460,'Fleet schedule'!$D$6:$D$460,$B48,'Fleet schedule'!$E$6:$E$460,$C48)</f>
        <v>0</v>
      </c>
      <c r="I48" s="41">
        <f>SUMIFS('Fleet schedule'!V$6:V$460,'Fleet schedule'!$D$6:$D$460,$B48,'Fleet schedule'!$E$6:$E$460,$C48)</f>
        <v>0</v>
      </c>
      <c r="J48" s="30"/>
      <c r="K48" s="41">
        <f t="shared" si="7"/>
        <v>0</v>
      </c>
      <c r="M48" s="44">
        <f>COUNTIFS('Fleet schedule'!G$6:G$460,"&gt;0",'Fleet schedule'!$D$6:$D$460,$B48,'Fleet schedule'!$E$6:$E$460,$C48)</f>
        <v>0</v>
      </c>
      <c r="N48" s="44">
        <f>COUNTIFS('Fleet schedule'!H$6:H$460,"&gt;0",'Fleet schedule'!$D$6:$D$460,$B48,'Fleet schedule'!$E$6:$E$460,$C48)</f>
        <v>0</v>
      </c>
      <c r="O48" s="44">
        <f>COUNTIFS('Fleet schedule'!I$6:I$460,"&gt;0",'Fleet schedule'!$D$6:$D$460,$B48,'Fleet schedule'!$E$6:$E$460,$C48)</f>
        <v>0</v>
      </c>
      <c r="P48" s="44">
        <f>COUNTIFS('Fleet schedule'!J$6:J$460,"&gt;0",'Fleet schedule'!$D$6:$D$460,$B48,'Fleet schedule'!$E$6:$E$460,$C48)</f>
        <v>0</v>
      </c>
      <c r="Q48" s="44">
        <f>COUNTIFS('Fleet schedule'!K$6:K$460,"&gt;0",'Fleet schedule'!$D$6:$D$460,$B48,'Fleet schedule'!$E$6:$E$460,$C48)</f>
        <v>0</v>
      </c>
      <c r="S48" s="44">
        <f t="shared" si="8"/>
        <v>0</v>
      </c>
      <c r="U48" s="44">
        <f>COUNTIFS('Fleet schedule'!O$6:O$460,"",'Fleet schedule'!$D$6:$D$460,$B48,'Fleet schedule'!$E$6:$E$460,$C48)</f>
        <v>0</v>
      </c>
      <c r="W48" s="44">
        <f t="shared" si="9"/>
        <v>0</v>
      </c>
    </row>
    <row r="49" spans="1:23" x14ac:dyDescent="0.35">
      <c r="B49" t="s">
        <v>99</v>
      </c>
      <c r="C49" t="s">
        <v>100</v>
      </c>
      <c r="D49" s="30"/>
      <c r="E49" s="42">
        <f>SUMIFS('Fleet schedule'!R$6:R$460,'Fleet schedule'!$D$6:$D$460,$B49,'Fleet schedule'!$E$6:$E$460,$C49)</f>
        <v>711000</v>
      </c>
      <c r="F49" s="42">
        <f>SUMIFS('Fleet schedule'!S$6:S$460,'Fleet schedule'!$D$6:$D$460,$B49,'Fleet schedule'!$E$6:$E$460,$C49)</f>
        <v>332000</v>
      </c>
      <c r="G49" s="42">
        <f>SUMIFS('Fleet schedule'!T$6:T$460,'Fleet schedule'!$D$6:$D$460,$B49,'Fleet schedule'!$E$6:$E$460,$C49)</f>
        <v>83000</v>
      </c>
      <c r="H49" s="42">
        <f>SUMIFS('Fleet schedule'!U$6:U$460,'Fleet schedule'!$D$6:$D$460,$B49,'Fleet schedule'!$E$6:$E$460,$C49)</f>
        <v>127000</v>
      </c>
      <c r="I49" s="42">
        <f>SUMIFS('Fleet schedule'!V$6:V$460,'Fleet schedule'!$D$6:$D$460,$B49,'Fleet schedule'!$E$6:$E$460,$C49)</f>
        <v>1187000</v>
      </c>
      <c r="J49" s="30"/>
      <c r="K49" s="42">
        <f t="shared" si="7"/>
        <v>2440000</v>
      </c>
      <c r="M49" s="45">
        <f>COUNTIFS('Fleet schedule'!G$6:G$460,"&gt;0",'Fleet schedule'!$D$6:$D$460,$B49,'Fleet schedule'!$E$6:$E$460,$C49)</f>
        <v>14</v>
      </c>
      <c r="N49" s="45">
        <f>COUNTIFS('Fleet schedule'!H$6:H$460,"&gt;0",'Fleet schedule'!$D$6:$D$460,$B49,'Fleet schedule'!$E$6:$E$460,$C49)</f>
        <v>7</v>
      </c>
      <c r="O49" s="45">
        <f>COUNTIFS('Fleet schedule'!I$6:I$460,"&gt;0",'Fleet schedule'!$D$6:$D$460,$B49,'Fleet schedule'!$E$6:$E$460,$C49)</f>
        <v>2</v>
      </c>
      <c r="P49" s="45">
        <f>COUNTIFS('Fleet schedule'!J$6:J$460,"&gt;0",'Fleet schedule'!$D$6:$D$460,$B49,'Fleet schedule'!$E$6:$E$460,$C49)</f>
        <v>3</v>
      </c>
      <c r="Q49" s="45">
        <f>COUNTIFS('Fleet schedule'!K$6:K$460,"&gt;0",'Fleet schedule'!$D$6:$D$460,$B49,'Fleet schedule'!$E$6:$E$460,$C49)</f>
        <v>36</v>
      </c>
      <c r="S49" s="45">
        <f t="shared" si="8"/>
        <v>62</v>
      </c>
      <c r="U49" s="45">
        <f>COUNTIFS('Fleet schedule'!O$6:O$460,"",'Fleet schedule'!$D$6:$D$460,$B49,'Fleet schedule'!$E$6:$E$460,$C49)</f>
        <v>32</v>
      </c>
      <c r="W49" s="45">
        <f t="shared" si="9"/>
        <v>94</v>
      </c>
    </row>
    <row r="50" spans="1:23" x14ac:dyDescent="0.35">
      <c r="B50" s="39" t="s">
        <v>347</v>
      </c>
      <c r="C50" s="40"/>
      <c r="D50" s="30"/>
      <c r="E50" s="43">
        <f>SUM(E34:E49)</f>
        <v>7854000</v>
      </c>
      <c r="F50" s="43">
        <f t="shared" ref="F50" si="10">SUM(F34:F49)</f>
        <v>9930000</v>
      </c>
      <c r="G50" s="43">
        <f t="shared" ref="G50" si="11">SUM(G34:G49)</f>
        <v>5623000</v>
      </c>
      <c r="H50" s="43">
        <f t="shared" ref="H50" si="12">SUM(H34:H49)</f>
        <v>7669000</v>
      </c>
      <c r="I50" s="43">
        <f t="shared" ref="I50" si="13">SUM(I34:I49)</f>
        <v>24260000</v>
      </c>
      <c r="J50" s="30"/>
      <c r="K50" s="43">
        <f t="shared" ref="K50" si="14">SUM(K34:K49)</f>
        <v>55336000</v>
      </c>
      <c r="M50" s="46">
        <f>SUM(M34:M49)</f>
        <v>63</v>
      </c>
      <c r="N50" s="46">
        <f t="shared" ref="N50" si="15">SUM(N34:N49)</f>
        <v>31</v>
      </c>
      <c r="O50" s="46">
        <f t="shared" ref="O50" si="16">SUM(O34:O49)</f>
        <v>27</v>
      </c>
      <c r="P50" s="46">
        <f t="shared" ref="P50" si="17">SUM(P34:P49)</f>
        <v>74</v>
      </c>
      <c r="Q50" s="46">
        <f t="shared" ref="Q50" si="18">SUM(Q34:Q49)</f>
        <v>166</v>
      </c>
      <c r="S50" s="46">
        <f t="shared" ref="S50:W50" si="19">SUM(S34:S49)</f>
        <v>361</v>
      </c>
      <c r="U50" s="46">
        <f t="shared" si="19"/>
        <v>94</v>
      </c>
      <c r="W50" s="46">
        <f t="shared" si="19"/>
        <v>455</v>
      </c>
    </row>
    <row r="53" spans="1:23" x14ac:dyDescent="0.35">
      <c r="K53" s="30"/>
    </row>
    <row r="56" spans="1:23" s="32" customFormat="1" x14ac:dyDescent="0.35">
      <c r="A56" s="33" t="s">
        <v>350</v>
      </c>
    </row>
    <row r="58" spans="1:23" x14ac:dyDescent="0.35">
      <c r="E58" s="140" t="s">
        <v>380</v>
      </c>
      <c r="F58" s="140"/>
      <c r="G58" s="140"/>
      <c r="H58" s="140"/>
      <c r="I58" s="140"/>
      <c r="J58" s="140"/>
      <c r="K58" s="140"/>
      <c r="M58" s="141" t="s">
        <v>388</v>
      </c>
      <c r="N58" s="141"/>
      <c r="O58" s="141"/>
      <c r="P58" s="141"/>
      <c r="Q58" s="141"/>
      <c r="R58" s="141"/>
      <c r="S58" s="141"/>
      <c r="U58" s="108" t="s">
        <v>100</v>
      </c>
      <c r="W58" s="108" t="s">
        <v>392</v>
      </c>
    </row>
    <row r="59" spans="1:23" x14ac:dyDescent="0.35">
      <c r="B59" s="139" t="s">
        <v>381</v>
      </c>
      <c r="C59" s="139"/>
      <c r="D59" s="58"/>
      <c r="E59" s="52" t="s">
        <v>0</v>
      </c>
      <c r="F59" s="52" t="s">
        <v>1</v>
      </c>
      <c r="G59" s="52" t="s">
        <v>2</v>
      </c>
      <c r="H59" s="52" t="s">
        <v>3</v>
      </c>
      <c r="I59" s="52" t="s">
        <v>4</v>
      </c>
      <c r="J59" s="58"/>
      <c r="K59" s="59" t="s">
        <v>347</v>
      </c>
      <c r="M59" s="52" t="s">
        <v>0</v>
      </c>
      <c r="N59" s="52" t="s">
        <v>1</v>
      </c>
      <c r="O59" s="52" t="s">
        <v>2</v>
      </c>
      <c r="P59" s="52" t="s">
        <v>3</v>
      </c>
      <c r="Q59" s="52" t="s">
        <v>4</v>
      </c>
      <c r="S59" s="59" t="s">
        <v>347</v>
      </c>
      <c r="U59" s="59" t="s">
        <v>393</v>
      </c>
      <c r="W59" s="59" t="s">
        <v>347</v>
      </c>
    </row>
    <row r="60" spans="1:23" x14ac:dyDescent="0.35">
      <c r="B60" s="37" t="s">
        <v>74</v>
      </c>
      <c r="C60" s="37" t="s">
        <v>95</v>
      </c>
      <c r="D60" s="30"/>
      <c r="E60" s="41">
        <f ca="1">E34-(Benefits!F71/Benefits!$F$52)-(Benefits!F70/Benefits!$F$51)</f>
        <v>462000</v>
      </c>
      <c r="F60" s="41">
        <f ca="1">F34-(Benefits!G71/Benefits!$F$52)-(Benefits!G70/Benefits!$F$51)</f>
        <v>0</v>
      </c>
      <c r="G60" s="41">
        <f ca="1">G34-(Benefits!H71/Benefits!$F$52)-(Benefits!H70/Benefits!$F$51)</f>
        <v>0</v>
      </c>
      <c r="H60" s="41">
        <f ca="1">H34-(Benefits!I71/Benefits!$F$52)-(Benefits!I70/Benefits!$F$51)</f>
        <v>0</v>
      </c>
      <c r="I60" s="41">
        <f ca="1">I34-(Benefits!J71/Benefits!$F$52)-(Benefits!J70/Benefits!$F$51)</f>
        <v>163000</v>
      </c>
      <c r="J60" s="30"/>
      <c r="K60" s="41">
        <f ca="1">SUM(E60:I60)</f>
        <v>625000</v>
      </c>
      <c r="M60" s="44">
        <f ca="1">M34-Benefits!F64-Benefits!F65</f>
        <v>0</v>
      </c>
      <c r="N60" s="44">
        <f ca="1">N34-Benefits!G64-Benefits!G65</f>
        <v>0</v>
      </c>
      <c r="O60" s="44">
        <f ca="1">O34-Benefits!H64-Benefits!H65</f>
        <v>0</v>
      </c>
      <c r="P60" s="44">
        <f ca="1">P34-Benefits!I64-Benefits!I65</f>
        <v>0</v>
      </c>
      <c r="Q60" s="44">
        <f ca="1">Q34-Benefits!J64-Benefits!J65</f>
        <v>0</v>
      </c>
      <c r="S60" s="44">
        <f ca="1">SUM(M60:Q60)</f>
        <v>0</v>
      </c>
      <c r="U60" s="44">
        <f>COUNTIFS('Fleet schedule'!O$6:O$460,"",'Fleet schedule'!$D$6:$D$460,$B60,'Fleet schedule'!$E$6:$E$460,$C60)</f>
        <v>1</v>
      </c>
      <c r="W60" s="44">
        <f ca="1">S60+U60</f>
        <v>1</v>
      </c>
    </row>
    <row r="61" spans="1:23" x14ac:dyDescent="0.35">
      <c r="B61" s="37" t="s">
        <v>74</v>
      </c>
      <c r="C61" s="37" t="s">
        <v>20</v>
      </c>
      <c r="D61" s="30"/>
      <c r="E61" s="41">
        <f ca="1">E35+(Benefits!F71/Benefits!$F$52)*(1+Benefits!$F$52)</f>
        <v>1239700</v>
      </c>
      <c r="F61" s="41">
        <f ca="1">F35+(Benefits!G71/Benefits!$F$52)*(1+Benefits!$F$52)</f>
        <v>138000</v>
      </c>
      <c r="G61" s="41">
        <f ca="1">G35+(Benefits!H71/Benefits!$F$52)*(1+Benefits!$F$52)</f>
        <v>204750</v>
      </c>
      <c r="H61" s="41">
        <f ca="1">H35+(Benefits!I71/Benefits!$F$52)*(1+Benefits!$F$52)</f>
        <v>229999.99999999997</v>
      </c>
      <c r="I61" s="41">
        <f ca="1">I35+(Benefits!J71/Benefits!$F$52)*(1+Benefits!$F$52)</f>
        <v>72450</v>
      </c>
      <c r="J61" s="30"/>
      <c r="K61" s="41">
        <f t="shared" ref="K61:K75" ca="1" si="20">SUM(E61:I61)</f>
        <v>1884900</v>
      </c>
      <c r="M61" s="44">
        <f ca="1">M35+Benefits!F65</f>
        <v>17</v>
      </c>
      <c r="N61" s="44">
        <f ca="1">N35+Benefits!G65</f>
        <v>2</v>
      </c>
      <c r="O61" s="44">
        <f ca="1">O35+Benefits!H65</f>
        <v>2</v>
      </c>
      <c r="P61" s="44">
        <f ca="1">P35+Benefits!I65</f>
        <v>3</v>
      </c>
      <c r="Q61" s="44">
        <f ca="1">Q35+Benefits!J65</f>
        <v>1</v>
      </c>
      <c r="S61" s="44">
        <f t="shared" ref="S61:S75" ca="1" si="21">SUM(M61:Q61)</f>
        <v>25</v>
      </c>
      <c r="U61" s="44">
        <f>COUNTIFS('Fleet schedule'!O$6:O$460,"",'Fleet schedule'!$D$6:$D$460,$B61,'Fleet schedule'!$E$6:$E$460,$C61)</f>
        <v>0</v>
      </c>
      <c r="W61" s="44">
        <f t="shared" ref="W61:W75" ca="1" si="22">S61+U61</f>
        <v>25</v>
      </c>
    </row>
    <row r="62" spans="1:23" x14ac:dyDescent="0.35">
      <c r="B62" s="37" t="s">
        <v>74</v>
      </c>
      <c r="C62" s="37" t="s">
        <v>193</v>
      </c>
      <c r="D62" s="30"/>
      <c r="E62" s="41">
        <f ca="1">E36+(Benefits!F70/Benefits!$F$51)*(1+Benefits!$F$51)</f>
        <v>64800</v>
      </c>
      <c r="F62" s="41">
        <f ca="1">F36+(Benefits!G70/Benefits!$F$51)*(1+Benefits!$F$51)</f>
        <v>40320</v>
      </c>
      <c r="G62" s="41">
        <f ca="1">G36+(Benefits!H70/Benefits!$F$51)*(1+Benefits!$F$51)</f>
        <v>417360</v>
      </c>
      <c r="H62" s="41">
        <f ca="1">H36+(Benefits!I70/Benefits!$F$51)*(1+Benefits!$F$51)</f>
        <v>269280</v>
      </c>
      <c r="I62" s="41">
        <f ca="1">I36+(Benefits!J70/Benefits!$F$51)*(1+Benefits!$F$51)</f>
        <v>574560</v>
      </c>
      <c r="J62" s="30"/>
      <c r="K62" s="41">
        <f t="shared" ca="1" si="20"/>
        <v>1366320</v>
      </c>
      <c r="M62" s="44">
        <f ca="1">M36+Benefits!F64</f>
        <v>1</v>
      </c>
      <c r="N62" s="44">
        <f ca="1">N36+Benefits!G64</f>
        <v>1</v>
      </c>
      <c r="O62" s="44">
        <f ca="1">O36+Benefits!H64</f>
        <v>6</v>
      </c>
      <c r="P62" s="44">
        <f ca="1">P36+Benefits!I64</f>
        <v>4</v>
      </c>
      <c r="Q62" s="44">
        <f ca="1">Q36+Benefits!J64</f>
        <v>9</v>
      </c>
      <c r="S62" s="44">
        <f t="shared" ca="1" si="21"/>
        <v>21</v>
      </c>
      <c r="U62" s="44">
        <f>COUNTIFS('Fleet schedule'!O$6:O$460,"",'Fleet schedule'!$D$6:$D$460,$B62,'Fleet schedule'!$E$6:$E$460,$C62)</f>
        <v>0</v>
      </c>
      <c r="W62" s="44">
        <f t="shared" ca="1" si="22"/>
        <v>21</v>
      </c>
    </row>
    <row r="63" spans="1:23" x14ac:dyDescent="0.35">
      <c r="B63" t="s">
        <v>99</v>
      </c>
      <c r="C63" t="s">
        <v>95</v>
      </c>
      <c r="D63" s="30"/>
      <c r="E63" s="42">
        <f>E37-(Benefits!F72/Benefits!$F$53)</f>
        <v>1328000</v>
      </c>
      <c r="F63" s="42">
        <f>F37-(Benefits!G72/Benefits!$F$53)</f>
        <v>240000</v>
      </c>
      <c r="G63" s="42">
        <f>G37-(Benefits!H72/Benefits!$F$53)</f>
        <v>470000</v>
      </c>
      <c r="H63" s="42">
        <f>H37-(Benefits!I72/Benefits!$F$53)</f>
        <v>4105000</v>
      </c>
      <c r="I63" s="42">
        <f>I37-(Benefits!J72/Benefits!$F$53)</f>
        <v>6138000</v>
      </c>
      <c r="J63" s="30"/>
      <c r="K63" s="42">
        <f t="shared" si="20"/>
        <v>12281000</v>
      </c>
      <c r="M63" s="45">
        <f>M37-Benefits!F66</f>
        <v>17</v>
      </c>
      <c r="N63" s="45">
        <f>N37-Benefits!G66</f>
        <v>3</v>
      </c>
      <c r="O63" s="45">
        <f>O37-Benefits!H66</f>
        <v>5</v>
      </c>
      <c r="P63" s="45">
        <f>P37-Benefits!I66</f>
        <v>57</v>
      </c>
      <c r="Q63" s="45">
        <f>Q37-Benefits!J66</f>
        <v>77</v>
      </c>
      <c r="S63" s="45">
        <f t="shared" si="21"/>
        <v>159</v>
      </c>
      <c r="U63" s="45">
        <f>COUNTIFS('Fleet schedule'!O$6:O$460,"",'Fleet schedule'!$D$6:$D$460,$B63,'Fleet schedule'!$E$6:$E$460,$C63)</f>
        <v>4</v>
      </c>
      <c r="W63" s="45">
        <f t="shared" si="22"/>
        <v>163</v>
      </c>
    </row>
    <row r="64" spans="1:23" x14ac:dyDescent="0.35">
      <c r="B64" t="s">
        <v>99</v>
      </c>
      <c r="C64" t="s">
        <v>20</v>
      </c>
      <c r="D64" s="30"/>
      <c r="E64" s="42">
        <f>E38+(Benefits!F72/Benefits!$F$53)*(1+Benefits!$F$53)</f>
        <v>448499.99999999994</v>
      </c>
      <c r="F64" s="42">
        <f>F38+(Benefits!G72/Benefits!$F$53)*(1+Benefits!$F$53)</f>
        <v>0</v>
      </c>
      <c r="G64" s="42">
        <f>G38+(Benefits!H72/Benefits!$F$53)*(1+Benefits!$F$53)</f>
        <v>0</v>
      </c>
      <c r="H64" s="42">
        <f>H38+(Benefits!I72/Benefits!$F$53)*(1+Benefits!$F$53)</f>
        <v>0</v>
      </c>
      <c r="I64" s="42">
        <f>I38+(Benefits!J72/Benefits!$F$53)*(1+Benefits!$F$53)</f>
        <v>299000</v>
      </c>
      <c r="J64" s="30"/>
      <c r="K64" s="42">
        <f>SUM(E64:I64)</f>
        <v>747500</v>
      </c>
      <c r="M64" s="45">
        <f>M38+Benefits!F66</f>
        <v>6</v>
      </c>
      <c r="N64" s="45">
        <f>N38+Benefits!G66</f>
        <v>0</v>
      </c>
      <c r="O64" s="45">
        <f>O38+Benefits!H66</f>
        <v>0</v>
      </c>
      <c r="P64" s="45">
        <f>P38+Benefits!I66</f>
        <v>0</v>
      </c>
      <c r="Q64" s="45">
        <f>Q38+Benefits!J66</f>
        <v>4</v>
      </c>
      <c r="S64" s="45">
        <f t="shared" si="21"/>
        <v>10</v>
      </c>
      <c r="U64" s="45">
        <f>COUNTIFS('Fleet schedule'!O$6:O$460,"",'Fleet schedule'!$D$6:$D$460,$B64,'Fleet schedule'!$E$6:$E$460,$C64)</f>
        <v>0</v>
      </c>
      <c r="W64" s="45">
        <f t="shared" si="22"/>
        <v>10</v>
      </c>
    </row>
    <row r="65" spans="2:23" x14ac:dyDescent="0.35">
      <c r="B65" t="s">
        <v>99</v>
      </c>
      <c r="C65" t="s">
        <v>193</v>
      </c>
      <c r="D65" s="30"/>
      <c r="E65" s="42">
        <f t="shared" ref="E65:I75" si="23">E39</f>
        <v>0</v>
      </c>
      <c r="F65" s="42">
        <f>F39</f>
        <v>30000</v>
      </c>
      <c r="G65" s="42">
        <f t="shared" si="23"/>
        <v>0</v>
      </c>
      <c r="H65" s="42">
        <f t="shared" si="23"/>
        <v>0</v>
      </c>
      <c r="I65" s="42">
        <f t="shared" si="23"/>
        <v>0</v>
      </c>
      <c r="J65" s="30"/>
      <c r="K65" s="42">
        <f t="shared" si="20"/>
        <v>30000</v>
      </c>
      <c r="M65" s="45">
        <f>M39</f>
        <v>0</v>
      </c>
      <c r="N65" s="45">
        <f t="shared" ref="N65:Q65" si="24">N39</f>
        <v>1</v>
      </c>
      <c r="O65" s="45">
        <f t="shared" si="24"/>
        <v>0</v>
      </c>
      <c r="P65" s="45">
        <f t="shared" si="24"/>
        <v>0</v>
      </c>
      <c r="Q65" s="45">
        <f t="shared" si="24"/>
        <v>0</v>
      </c>
      <c r="S65" s="45">
        <f t="shared" si="21"/>
        <v>1</v>
      </c>
      <c r="U65" s="45">
        <f>COUNTIFS('Fleet schedule'!O$6:O$460,"",'Fleet schedule'!$D$6:$D$460,$B65,'Fleet schedule'!$E$6:$E$460,$C65)</f>
        <v>2</v>
      </c>
      <c r="W65" s="45">
        <f t="shared" si="22"/>
        <v>3</v>
      </c>
    </row>
    <row r="66" spans="2:23" x14ac:dyDescent="0.35">
      <c r="B66" s="37" t="s">
        <v>21</v>
      </c>
      <c r="C66" s="37" t="s">
        <v>95</v>
      </c>
      <c r="D66" s="30"/>
      <c r="E66" s="41">
        <f t="shared" si="23"/>
        <v>0</v>
      </c>
      <c r="F66" s="41">
        <f t="shared" si="23"/>
        <v>0</v>
      </c>
      <c r="G66" s="41">
        <f t="shared" si="23"/>
        <v>0</v>
      </c>
      <c r="H66" s="41">
        <f t="shared" si="23"/>
        <v>0</v>
      </c>
      <c r="I66" s="41">
        <f t="shared" si="23"/>
        <v>0</v>
      </c>
      <c r="J66" s="30"/>
      <c r="K66" s="41">
        <f t="shared" si="20"/>
        <v>0</v>
      </c>
      <c r="M66" s="44">
        <f t="shared" ref="M66" si="25">M40</f>
        <v>0</v>
      </c>
      <c r="N66" s="44">
        <f t="shared" ref="N66:Q66" si="26">N40</f>
        <v>0</v>
      </c>
      <c r="O66" s="44">
        <f t="shared" si="26"/>
        <v>0</v>
      </c>
      <c r="P66" s="44">
        <f t="shared" si="26"/>
        <v>0</v>
      </c>
      <c r="Q66" s="44">
        <f t="shared" si="26"/>
        <v>0</v>
      </c>
      <c r="S66" s="44">
        <f t="shared" si="21"/>
        <v>0</v>
      </c>
      <c r="U66" s="44">
        <f>COUNTIFS('Fleet schedule'!O$6:O$460,"",'Fleet schedule'!$D$6:$D$460,$B66,'Fleet schedule'!$E$6:$E$460,$C66)</f>
        <v>0</v>
      </c>
      <c r="W66" s="44">
        <f t="shared" si="22"/>
        <v>0</v>
      </c>
    </row>
    <row r="67" spans="2:23" x14ac:dyDescent="0.35">
      <c r="B67" s="37" t="s">
        <v>21</v>
      </c>
      <c r="C67" s="37" t="s">
        <v>20</v>
      </c>
      <c r="D67" s="30"/>
      <c r="E67" s="41">
        <f t="shared" si="23"/>
        <v>0</v>
      </c>
      <c r="F67" s="41">
        <f t="shared" si="23"/>
        <v>0</v>
      </c>
      <c r="G67" s="41">
        <f t="shared" si="23"/>
        <v>0</v>
      </c>
      <c r="H67" s="41">
        <f t="shared" si="23"/>
        <v>0</v>
      </c>
      <c r="I67" s="41">
        <f t="shared" si="23"/>
        <v>0</v>
      </c>
      <c r="J67" s="30"/>
      <c r="K67" s="41">
        <f t="shared" si="20"/>
        <v>0</v>
      </c>
      <c r="M67" s="44">
        <f t="shared" ref="M67" si="27">M41</f>
        <v>0</v>
      </c>
      <c r="N67" s="44">
        <f t="shared" ref="N67:Q67" si="28">N41</f>
        <v>0</v>
      </c>
      <c r="O67" s="44">
        <f t="shared" si="28"/>
        <v>0</v>
      </c>
      <c r="P67" s="44">
        <f t="shared" si="28"/>
        <v>0</v>
      </c>
      <c r="Q67" s="44">
        <f t="shared" si="28"/>
        <v>0</v>
      </c>
      <c r="S67" s="44">
        <f t="shared" si="21"/>
        <v>0</v>
      </c>
      <c r="U67" s="44">
        <f>COUNTIFS('Fleet schedule'!O$6:O$460,"",'Fleet schedule'!$D$6:$D$460,$B67,'Fleet schedule'!$E$6:$E$460,$C67)</f>
        <v>0</v>
      </c>
      <c r="W67" s="44">
        <f t="shared" si="22"/>
        <v>0</v>
      </c>
    </row>
    <row r="68" spans="2:23" x14ac:dyDescent="0.35">
      <c r="B68" s="37" t="s">
        <v>21</v>
      </c>
      <c r="C68" s="37" t="s">
        <v>193</v>
      </c>
      <c r="D68" s="30"/>
      <c r="E68" s="41">
        <f t="shared" si="23"/>
        <v>0</v>
      </c>
      <c r="F68" s="41">
        <f t="shared" si="23"/>
        <v>0</v>
      </c>
      <c r="G68" s="41">
        <f t="shared" si="23"/>
        <v>0</v>
      </c>
      <c r="H68" s="41">
        <f t="shared" si="23"/>
        <v>0</v>
      </c>
      <c r="I68" s="41">
        <f t="shared" si="23"/>
        <v>0</v>
      </c>
      <c r="J68" s="30"/>
      <c r="K68" s="41">
        <f t="shared" si="20"/>
        <v>0</v>
      </c>
      <c r="M68" s="44">
        <f t="shared" ref="M68" si="29">M42</f>
        <v>0</v>
      </c>
      <c r="N68" s="44">
        <f t="shared" ref="N68:Q68" si="30">N42</f>
        <v>0</v>
      </c>
      <c r="O68" s="44">
        <f t="shared" si="30"/>
        <v>0</v>
      </c>
      <c r="P68" s="44">
        <f t="shared" si="30"/>
        <v>0</v>
      </c>
      <c r="Q68" s="44">
        <f t="shared" si="30"/>
        <v>0</v>
      </c>
      <c r="S68" s="44">
        <f t="shared" si="21"/>
        <v>0</v>
      </c>
      <c r="U68" s="44">
        <f>COUNTIFS('Fleet schedule'!O$6:O$460,"",'Fleet schedule'!$D$6:$D$460,$B68,'Fleet schedule'!$E$6:$E$460,$C68)</f>
        <v>0</v>
      </c>
      <c r="W68" s="44">
        <f t="shared" si="22"/>
        <v>0</v>
      </c>
    </row>
    <row r="69" spans="2:23" x14ac:dyDescent="0.35">
      <c r="B69" t="s">
        <v>22</v>
      </c>
      <c r="C69" t="s">
        <v>95</v>
      </c>
      <c r="D69" s="30"/>
      <c r="E69" s="42">
        <f t="shared" si="23"/>
        <v>3200000</v>
      </c>
      <c r="F69" s="42">
        <f t="shared" si="23"/>
        <v>6310000</v>
      </c>
      <c r="G69" s="42">
        <f t="shared" si="23"/>
        <v>3145000</v>
      </c>
      <c r="H69" s="42">
        <f t="shared" si="23"/>
        <v>2250000</v>
      </c>
      <c r="I69" s="42">
        <f t="shared" si="23"/>
        <v>9090000</v>
      </c>
      <c r="J69" s="30"/>
      <c r="K69" s="42">
        <f t="shared" si="20"/>
        <v>23995000</v>
      </c>
      <c r="M69" s="45">
        <f t="shared" ref="M69" si="31">M43</f>
        <v>6</v>
      </c>
      <c r="N69" s="45">
        <f t="shared" ref="N69:Q69" si="32">N43</f>
        <v>11</v>
      </c>
      <c r="O69" s="45">
        <f t="shared" si="32"/>
        <v>6</v>
      </c>
      <c r="P69" s="45">
        <f t="shared" si="32"/>
        <v>5</v>
      </c>
      <c r="Q69" s="45">
        <f t="shared" si="32"/>
        <v>16</v>
      </c>
      <c r="S69" s="45">
        <f t="shared" si="21"/>
        <v>44</v>
      </c>
      <c r="U69" s="45">
        <f>COUNTIFS('Fleet schedule'!O$6:O$460,"",'Fleet schedule'!$D$6:$D$460,$B69,'Fleet schedule'!$E$6:$E$460,$C69)</f>
        <v>30</v>
      </c>
      <c r="W69" s="45">
        <f t="shared" si="22"/>
        <v>74</v>
      </c>
    </row>
    <row r="70" spans="2:23" x14ac:dyDescent="0.35">
      <c r="B70" t="s">
        <v>22</v>
      </c>
      <c r="C70" t="s">
        <v>20</v>
      </c>
      <c r="D70" s="30"/>
      <c r="E70" s="42">
        <f t="shared" si="23"/>
        <v>0</v>
      </c>
      <c r="F70" s="42">
        <f t="shared" si="23"/>
        <v>0</v>
      </c>
      <c r="G70" s="42">
        <f t="shared" si="23"/>
        <v>0</v>
      </c>
      <c r="H70" s="42">
        <f t="shared" si="23"/>
        <v>0</v>
      </c>
      <c r="I70" s="42">
        <f t="shared" si="23"/>
        <v>0</v>
      </c>
      <c r="J70" s="30"/>
      <c r="K70" s="42">
        <f t="shared" si="20"/>
        <v>0</v>
      </c>
      <c r="M70" s="45">
        <f t="shared" ref="M70" si="33">M44</f>
        <v>0</v>
      </c>
      <c r="N70" s="45">
        <f t="shared" ref="N70:Q70" si="34">N44</f>
        <v>0</v>
      </c>
      <c r="O70" s="45">
        <f t="shared" si="34"/>
        <v>0</v>
      </c>
      <c r="P70" s="45">
        <f t="shared" si="34"/>
        <v>0</v>
      </c>
      <c r="Q70" s="45">
        <f t="shared" si="34"/>
        <v>0</v>
      </c>
      <c r="S70" s="45">
        <f t="shared" si="21"/>
        <v>0</v>
      </c>
      <c r="U70" s="45">
        <f>COUNTIFS('Fleet schedule'!O$6:O$460,"",'Fleet schedule'!$D$6:$D$460,$B70,'Fleet schedule'!$E$6:$E$460,$C70)</f>
        <v>0</v>
      </c>
      <c r="W70" s="45">
        <f t="shared" si="22"/>
        <v>0</v>
      </c>
    </row>
    <row r="71" spans="2:23" x14ac:dyDescent="0.35">
      <c r="B71" t="s">
        <v>22</v>
      </c>
      <c r="C71" t="s">
        <v>193</v>
      </c>
      <c r="D71" s="30"/>
      <c r="E71" s="42">
        <f t="shared" si="23"/>
        <v>0</v>
      </c>
      <c r="F71" s="42">
        <f t="shared" si="23"/>
        <v>0</v>
      </c>
      <c r="G71" s="42">
        <f t="shared" si="23"/>
        <v>0</v>
      </c>
      <c r="H71" s="42">
        <f t="shared" si="23"/>
        <v>0</v>
      </c>
      <c r="I71" s="42">
        <f t="shared" si="23"/>
        <v>0</v>
      </c>
      <c r="J71" s="30"/>
      <c r="K71" s="42">
        <f t="shared" si="20"/>
        <v>0</v>
      </c>
      <c r="M71" s="45">
        <f t="shared" ref="M71" si="35">M45</f>
        <v>0</v>
      </c>
      <c r="N71" s="45">
        <f t="shared" ref="N71:Q71" si="36">N45</f>
        <v>0</v>
      </c>
      <c r="O71" s="45">
        <f t="shared" si="36"/>
        <v>0</v>
      </c>
      <c r="P71" s="45">
        <f t="shared" si="36"/>
        <v>0</v>
      </c>
      <c r="Q71" s="45">
        <f t="shared" si="36"/>
        <v>0</v>
      </c>
      <c r="S71" s="45">
        <f t="shared" si="21"/>
        <v>0</v>
      </c>
      <c r="U71" s="45">
        <f>COUNTIFS('Fleet schedule'!O$6:O$460,"",'Fleet schedule'!$D$6:$D$460,$B71,'Fleet schedule'!$E$6:$E$460,$C71)</f>
        <v>0</v>
      </c>
      <c r="W71" s="45">
        <f t="shared" si="22"/>
        <v>0</v>
      </c>
    </row>
    <row r="72" spans="2:23" x14ac:dyDescent="0.35">
      <c r="B72" s="37" t="s">
        <v>72</v>
      </c>
      <c r="C72" s="37" t="s">
        <v>95</v>
      </c>
      <c r="D72" s="30"/>
      <c r="E72" s="41">
        <f t="shared" si="23"/>
        <v>640000</v>
      </c>
      <c r="F72" s="41">
        <f t="shared" si="23"/>
        <v>2870000</v>
      </c>
      <c r="G72" s="41">
        <f t="shared" si="23"/>
        <v>1420000</v>
      </c>
      <c r="H72" s="41">
        <f t="shared" si="23"/>
        <v>800000</v>
      </c>
      <c r="I72" s="41">
        <f t="shared" si="23"/>
        <v>6960000</v>
      </c>
      <c r="J72" s="30"/>
      <c r="K72" s="41">
        <f t="shared" si="20"/>
        <v>12690000</v>
      </c>
      <c r="M72" s="44">
        <f t="shared" ref="M72" si="37">M46</f>
        <v>2</v>
      </c>
      <c r="N72" s="44">
        <f t="shared" ref="N72:Q72" si="38">N46</f>
        <v>6</v>
      </c>
      <c r="O72" s="44">
        <f t="shared" si="38"/>
        <v>6</v>
      </c>
      <c r="P72" s="44">
        <f t="shared" si="38"/>
        <v>2</v>
      </c>
      <c r="Q72" s="44">
        <f t="shared" si="38"/>
        <v>23</v>
      </c>
      <c r="S72" s="44">
        <f t="shared" si="21"/>
        <v>39</v>
      </c>
      <c r="U72" s="44">
        <f>COUNTIFS('Fleet schedule'!O$6:O$460,"",'Fleet schedule'!$D$6:$D$460,$B72,'Fleet schedule'!$E$6:$E$460,$C72)</f>
        <v>25</v>
      </c>
      <c r="W72" s="44">
        <f t="shared" si="22"/>
        <v>64</v>
      </c>
    </row>
    <row r="73" spans="2:23" x14ac:dyDescent="0.35">
      <c r="B73" s="37" t="s">
        <v>72</v>
      </c>
      <c r="C73" s="37" t="s">
        <v>20</v>
      </c>
      <c r="D73" s="30"/>
      <c r="E73" s="41">
        <f t="shared" si="23"/>
        <v>0</v>
      </c>
      <c r="F73" s="41">
        <f t="shared" si="23"/>
        <v>0</v>
      </c>
      <c r="G73" s="41">
        <f t="shared" si="23"/>
        <v>0</v>
      </c>
      <c r="H73" s="41">
        <f t="shared" si="23"/>
        <v>0</v>
      </c>
      <c r="I73" s="41">
        <f t="shared" si="23"/>
        <v>0</v>
      </c>
      <c r="J73" s="30"/>
      <c r="K73" s="41">
        <f t="shared" si="20"/>
        <v>0</v>
      </c>
      <c r="M73" s="44">
        <f t="shared" ref="M73" si="39">M47</f>
        <v>0</v>
      </c>
      <c r="N73" s="44">
        <f t="shared" ref="N73:Q73" si="40">N47</f>
        <v>0</v>
      </c>
      <c r="O73" s="44">
        <f t="shared" si="40"/>
        <v>0</v>
      </c>
      <c r="P73" s="44">
        <f t="shared" si="40"/>
        <v>0</v>
      </c>
      <c r="Q73" s="44">
        <f t="shared" si="40"/>
        <v>0</v>
      </c>
      <c r="S73" s="44">
        <f t="shared" si="21"/>
        <v>0</v>
      </c>
      <c r="U73" s="44">
        <f>COUNTIFS('Fleet schedule'!O$6:O$460,"",'Fleet schedule'!$D$6:$D$460,$B73,'Fleet schedule'!$E$6:$E$460,$C73)</f>
        <v>0</v>
      </c>
      <c r="W73" s="44">
        <f t="shared" si="22"/>
        <v>0</v>
      </c>
    </row>
    <row r="74" spans="2:23" x14ac:dyDescent="0.35">
      <c r="B74" s="37" t="s">
        <v>72</v>
      </c>
      <c r="C74" s="37" t="s">
        <v>193</v>
      </c>
      <c r="D74" s="30"/>
      <c r="E74" s="41">
        <f t="shared" si="23"/>
        <v>0</v>
      </c>
      <c r="F74" s="41">
        <f t="shared" si="23"/>
        <v>0</v>
      </c>
      <c r="G74" s="41">
        <f t="shared" si="23"/>
        <v>0</v>
      </c>
      <c r="H74" s="41">
        <f t="shared" si="23"/>
        <v>0</v>
      </c>
      <c r="I74" s="41">
        <f t="shared" si="23"/>
        <v>0</v>
      </c>
      <c r="J74" s="30"/>
      <c r="K74" s="41">
        <f t="shared" si="20"/>
        <v>0</v>
      </c>
      <c r="M74" s="44">
        <f t="shared" ref="M74" si="41">M48</f>
        <v>0</v>
      </c>
      <c r="N74" s="44">
        <f t="shared" ref="N74:Q74" si="42">N48</f>
        <v>0</v>
      </c>
      <c r="O74" s="44">
        <f t="shared" si="42"/>
        <v>0</v>
      </c>
      <c r="P74" s="44">
        <f t="shared" si="42"/>
        <v>0</v>
      </c>
      <c r="Q74" s="44">
        <f t="shared" si="42"/>
        <v>0</v>
      </c>
      <c r="S74" s="44">
        <f t="shared" si="21"/>
        <v>0</v>
      </c>
      <c r="U74" s="44">
        <f>COUNTIFS('Fleet schedule'!O$6:O$460,"",'Fleet schedule'!$D$6:$D$460,$B74,'Fleet schedule'!$E$6:$E$460,$C74)</f>
        <v>0</v>
      </c>
      <c r="W74" s="44">
        <f t="shared" si="22"/>
        <v>0</v>
      </c>
    </row>
    <row r="75" spans="2:23" x14ac:dyDescent="0.35">
      <c r="B75" t="s">
        <v>99</v>
      </c>
      <c r="C75" t="s">
        <v>100</v>
      </c>
      <c r="D75" s="30"/>
      <c r="E75" s="42">
        <f t="shared" si="23"/>
        <v>711000</v>
      </c>
      <c r="F75" s="42">
        <f t="shared" si="23"/>
        <v>332000</v>
      </c>
      <c r="G75" s="42">
        <f t="shared" si="23"/>
        <v>83000</v>
      </c>
      <c r="H75" s="42">
        <f t="shared" si="23"/>
        <v>127000</v>
      </c>
      <c r="I75" s="42">
        <f t="shared" si="23"/>
        <v>1187000</v>
      </c>
      <c r="J75" s="30"/>
      <c r="K75" s="42">
        <f t="shared" si="20"/>
        <v>2440000</v>
      </c>
      <c r="M75" s="45">
        <f t="shared" ref="M75" si="43">M49</f>
        <v>14</v>
      </c>
      <c r="N75" s="45">
        <f t="shared" ref="N75:Q75" si="44">N49</f>
        <v>7</v>
      </c>
      <c r="O75" s="45">
        <f t="shared" si="44"/>
        <v>2</v>
      </c>
      <c r="P75" s="45">
        <f t="shared" si="44"/>
        <v>3</v>
      </c>
      <c r="Q75" s="45">
        <f t="shared" si="44"/>
        <v>36</v>
      </c>
      <c r="S75" s="45">
        <f t="shared" si="21"/>
        <v>62</v>
      </c>
      <c r="U75" s="45">
        <f>COUNTIFS('Fleet schedule'!O$6:O$460,"",'Fleet schedule'!$D$6:$D$460,$B75,'Fleet schedule'!$E$6:$E$460,$C75)</f>
        <v>32</v>
      </c>
      <c r="W75" s="45">
        <f t="shared" si="22"/>
        <v>94</v>
      </c>
    </row>
    <row r="76" spans="2:23" x14ac:dyDescent="0.35">
      <c r="B76" s="39" t="s">
        <v>347</v>
      </c>
      <c r="C76" s="40"/>
      <c r="D76" s="30"/>
      <c r="E76" s="43">
        <f ca="1">SUM(E60:E75)</f>
        <v>8094000</v>
      </c>
      <c r="F76" s="43">
        <f t="shared" ref="F76:I76" ca="1" si="45">SUM(F60:F75)</f>
        <v>9960320</v>
      </c>
      <c r="G76" s="43">
        <f t="shared" ca="1" si="45"/>
        <v>5740110</v>
      </c>
      <c r="H76" s="43">
        <f t="shared" ca="1" si="45"/>
        <v>7781280</v>
      </c>
      <c r="I76" s="43">
        <f t="shared" ca="1" si="45"/>
        <v>24484010</v>
      </c>
      <c r="J76" s="30"/>
      <c r="K76" s="43">
        <f t="shared" ref="K76" ca="1" si="46">SUM(K60:K75)</f>
        <v>56059720</v>
      </c>
      <c r="M76" s="46">
        <f ca="1">SUM(M60:M75)</f>
        <v>63</v>
      </c>
      <c r="N76" s="46">
        <f t="shared" ref="N76:Q76" ca="1" si="47">SUM(N60:N75)</f>
        <v>31</v>
      </c>
      <c r="O76" s="46">
        <f t="shared" ca="1" si="47"/>
        <v>27</v>
      </c>
      <c r="P76" s="46">
        <f t="shared" ca="1" si="47"/>
        <v>74</v>
      </c>
      <c r="Q76" s="46">
        <f t="shared" ca="1" si="47"/>
        <v>166</v>
      </c>
      <c r="S76" s="46">
        <f t="shared" ref="S76" ca="1" si="48">SUM(S60:S75)</f>
        <v>361</v>
      </c>
      <c r="U76" s="46">
        <f t="shared" ref="U76" si="49">SUM(U60:U75)</f>
        <v>94</v>
      </c>
      <c r="W76" s="46">
        <f t="shared" ref="W76" ca="1" si="50">SUM(W60:W75)</f>
        <v>455</v>
      </c>
    </row>
  </sheetData>
  <mergeCells count="9">
    <mergeCell ref="B59:C59"/>
    <mergeCell ref="B33:C33"/>
    <mergeCell ref="B7:C7"/>
    <mergeCell ref="E6:K6"/>
    <mergeCell ref="M6:S6"/>
    <mergeCell ref="E32:K32"/>
    <mergeCell ref="M32:S32"/>
    <mergeCell ref="E58:K58"/>
    <mergeCell ref="M58:S5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99038-0256-4D35-BB9E-58D12AD7D056}">
  <sheetPr codeName="Sheet7"/>
  <dimension ref="A1:X39"/>
  <sheetViews>
    <sheetView showGridLines="0" zoomScale="105" workbookViewId="0">
      <selection sqref="A1:XFD2"/>
    </sheetView>
  </sheetViews>
  <sheetFormatPr defaultRowHeight="14.5" x14ac:dyDescent="0.35"/>
  <cols>
    <col min="2" max="2" width="10.7265625" bestFit="1" customWidth="1"/>
    <col min="3" max="3" width="26.54296875" bestFit="1" customWidth="1"/>
  </cols>
  <sheetData>
    <row r="1" spans="1:24" ht="23.5" x14ac:dyDescent="0.55000000000000004">
      <c r="A1" s="145" t="s">
        <v>403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2" spans="1:24" ht="21" x14ac:dyDescent="0.5">
      <c r="A2" s="144" t="s">
        <v>413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4" spans="1:24" s="32" customFormat="1" x14ac:dyDescent="0.35">
      <c r="A4" s="33" t="s">
        <v>379</v>
      </c>
    </row>
    <row r="6" spans="1:24" x14ac:dyDescent="0.35">
      <c r="C6" t="s">
        <v>95</v>
      </c>
      <c r="D6" s="80">
        <v>1</v>
      </c>
    </row>
    <row r="7" spans="1:24" x14ac:dyDescent="0.35">
      <c r="C7" t="s">
        <v>20</v>
      </c>
      <c r="D7" s="80">
        <v>1.1499999999999999</v>
      </c>
    </row>
    <row r="8" spans="1:24" x14ac:dyDescent="0.35">
      <c r="C8" t="s">
        <v>193</v>
      </c>
      <c r="D8" s="80">
        <v>1.44</v>
      </c>
    </row>
    <row r="9" spans="1:24" x14ac:dyDescent="0.35">
      <c r="C9" t="s">
        <v>100</v>
      </c>
      <c r="D9" s="80">
        <v>1</v>
      </c>
    </row>
    <row r="13" spans="1:24" s="32" customFormat="1" x14ac:dyDescent="0.35">
      <c r="A13" s="33" t="s">
        <v>23</v>
      </c>
    </row>
    <row r="15" spans="1:24" x14ac:dyDescent="0.35">
      <c r="B15" s="68" t="s">
        <v>24</v>
      </c>
      <c r="C15" s="69" t="s">
        <v>25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x14ac:dyDescent="0.35">
      <c r="B16" s="71" t="s">
        <v>26</v>
      </c>
      <c r="C16" s="72" t="s">
        <v>27</v>
      </c>
      <c r="D16" s="72" t="s">
        <v>28</v>
      </c>
      <c r="E16" s="72" t="s">
        <v>29</v>
      </c>
      <c r="F16" s="72" t="s">
        <v>30</v>
      </c>
      <c r="G16" s="72" t="s">
        <v>31</v>
      </c>
      <c r="H16" s="72" t="s">
        <v>32</v>
      </c>
      <c r="I16" s="72" t="s">
        <v>33</v>
      </c>
      <c r="J16" s="72" t="s">
        <v>34</v>
      </c>
      <c r="K16" s="72" t="s">
        <v>35</v>
      </c>
      <c r="L16" s="72" t="s">
        <v>36</v>
      </c>
      <c r="M16" s="72" t="s">
        <v>37</v>
      </c>
      <c r="N16" s="72" t="s">
        <v>38</v>
      </c>
      <c r="O16" s="72" t="s">
        <v>39</v>
      </c>
      <c r="P16" s="72" t="s">
        <v>40</v>
      </c>
      <c r="Q16" s="72" t="s">
        <v>41</v>
      </c>
      <c r="R16" s="72" t="s">
        <v>42</v>
      </c>
      <c r="S16" s="72" t="s">
        <v>43</v>
      </c>
      <c r="T16" s="72" t="s">
        <v>44</v>
      </c>
      <c r="U16" s="72" t="s">
        <v>45</v>
      </c>
      <c r="V16" s="72" t="s">
        <v>46</v>
      </c>
      <c r="W16" s="72" t="s">
        <v>47</v>
      </c>
      <c r="X16" s="72" t="s">
        <v>48</v>
      </c>
    </row>
    <row r="17" spans="2:24" x14ac:dyDescent="0.35">
      <c r="B17" t="s">
        <v>49</v>
      </c>
      <c r="C17" s="73">
        <v>1.0062865459761514</v>
      </c>
      <c r="D17" s="73">
        <v>1.0266297108294467</v>
      </c>
      <c r="E17" s="73">
        <v>1.0590007382644864</v>
      </c>
      <c r="F17" s="73">
        <v>1.0882202902592724</v>
      </c>
      <c r="G17" s="73">
        <v>1.1108827377591914</v>
      </c>
      <c r="H17" s="73">
        <v>1.1357039681379331</v>
      </c>
      <c r="I17" s="73">
        <v>1.1573788442140533</v>
      </c>
      <c r="J17" s="73">
        <v>1.172040103673377</v>
      </c>
      <c r="K17" s="73">
        <v>1.189356500279116</v>
      </c>
      <c r="L17" s="73">
        <v>1.2132110566312491</v>
      </c>
      <c r="M17" s="73">
        <v>1.2354736668822344</v>
      </c>
      <c r="N17" s="73">
        <v>1.2604611242067458</v>
      </c>
      <c r="O17" s="73">
        <v>1.271308466067389</v>
      </c>
      <c r="P17" s="73">
        <v>1.3157825676960264</v>
      </c>
      <c r="Q17" s="73">
        <v>1.4188323153721372</v>
      </c>
      <c r="R17" s="73">
        <v>1.4763232272335463</v>
      </c>
      <c r="S17" s="74">
        <v>1.5206129240505519</v>
      </c>
      <c r="T17" s="73">
        <v>1.5624274670902507</v>
      </c>
      <c r="U17" s="73">
        <v>1.605391846476836</v>
      </c>
      <c r="V17" s="73">
        <v>1.6495376809613096</v>
      </c>
      <c r="W17" s="73">
        <v>1.694897458762243</v>
      </c>
      <c r="X17" s="73">
        <v>1.7415045614748152</v>
      </c>
    </row>
    <row r="18" spans="2:24" x14ac:dyDescent="0.35">
      <c r="B18" t="s">
        <v>50</v>
      </c>
      <c r="C18" s="75">
        <v>0.99375272778783641</v>
      </c>
      <c r="D18" s="73">
        <v>1.0138425080255213</v>
      </c>
      <c r="E18" s="73">
        <v>1.0458103376099466</v>
      </c>
      <c r="F18" s="73">
        <v>1.0746659450069329</v>
      </c>
      <c r="G18" s="73">
        <v>1.0970461200290949</v>
      </c>
      <c r="H18" s="73">
        <v>1.121558189175361</v>
      </c>
      <c r="I18" s="73">
        <v>1.1429630934854085</v>
      </c>
      <c r="J18" s="73">
        <v>1.1574417393927479</v>
      </c>
      <c r="K18" s="73">
        <v>1.1745424513432552</v>
      </c>
      <c r="L18" s="73">
        <v>1.1980998868867319</v>
      </c>
      <c r="M18" s="73">
        <v>1.2200852048392172</v>
      </c>
      <c r="N18" s="73">
        <v>1.2447614304888683</v>
      </c>
      <c r="O18" s="73">
        <v>1.2554736631092545</v>
      </c>
      <c r="P18" s="73">
        <v>1.2993938168528376</v>
      </c>
      <c r="Q18" s="73">
        <v>1.4011600267465059</v>
      </c>
      <c r="R18" s="73">
        <v>1.457934859634552</v>
      </c>
      <c r="S18" s="73">
        <v>1.501672905423588</v>
      </c>
      <c r="T18" s="73">
        <v>1.5429666267528277</v>
      </c>
      <c r="U18" s="73">
        <v>1.585395862623922</v>
      </c>
      <c r="V18" s="73">
        <v>1.6289918379600123</v>
      </c>
      <c r="W18" s="73">
        <v>1.6737866363221439</v>
      </c>
      <c r="X18" s="73">
        <v>1.7198132235205028</v>
      </c>
    </row>
    <row r="19" spans="2:24" x14ac:dyDescent="0.35">
      <c r="B19" t="s">
        <v>51</v>
      </c>
      <c r="C19" s="73">
        <v>0.9668015574439075</v>
      </c>
      <c r="D19" s="75">
        <v>0.98634649078535974</v>
      </c>
      <c r="E19" s="73">
        <v>1.0174473336470684</v>
      </c>
      <c r="F19" s="73">
        <v>1.0455203596547538</v>
      </c>
      <c r="G19" s="73">
        <v>1.067293570899627</v>
      </c>
      <c r="H19" s="73">
        <v>1.0911408580205761</v>
      </c>
      <c r="I19" s="73">
        <v>1.1119652484803222</v>
      </c>
      <c r="J19" s="73">
        <v>1.126051224821796</v>
      </c>
      <c r="K19" s="73">
        <v>1.1426881552018049</v>
      </c>
      <c r="L19" s="73">
        <v>1.1656066989561624</v>
      </c>
      <c r="M19" s="73">
        <v>1.1869957618920484</v>
      </c>
      <c r="N19" s="73">
        <v>1.2110027534934977</v>
      </c>
      <c r="O19" s="73">
        <v>1.2214244639366432</v>
      </c>
      <c r="P19" s="73">
        <v>1.2641534767535394</v>
      </c>
      <c r="Q19" s="73">
        <v>1.3631597259634207</v>
      </c>
      <c r="R19" s="73">
        <v>1.4183947913120913</v>
      </c>
      <c r="S19" s="73">
        <v>1.4609466350514533</v>
      </c>
      <c r="T19" s="73">
        <v>1.5011204458772458</v>
      </c>
      <c r="U19" s="73">
        <v>1.5423989754090777</v>
      </c>
      <c r="V19" s="73">
        <v>1.584812601731437</v>
      </c>
      <c r="W19" s="73">
        <v>1.6283925382799389</v>
      </c>
      <c r="X19" s="73">
        <v>1.6731708568122141</v>
      </c>
    </row>
    <row r="20" spans="2:24" x14ac:dyDescent="0.35">
      <c r="B20" t="s">
        <v>52</v>
      </c>
      <c r="C20" s="73">
        <v>0.93392814885746478</v>
      </c>
      <c r="D20" s="73">
        <v>0.95280851088686092</v>
      </c>
      <c r="E20" s="75">
        <v>0.98285185574714029</v>
      </c>
      <c r="F20" s="73">
        <v>1.0099703362774184</v>
      </c>
      <c r="G20" s="73">
        <v>1.0310032097932296</v>
      </c>
      <c r="H20" s="73">
        <v>1.0540396359808575</v>
      </c>
      <c r="I20" s="73">
        <v>1.0741559507337783</v>
      </c>
      <c r="J20" s="73">
        <v>1.0877629724727829</v>
      </c>
      <c r="K20" s="73">
        <v>1.1038342101252665</v>
      </c>
      <c r="L20" s="73">
        <v>1.1259734722915438</v>
      </c>
      <c r="M20" s="73">
        <v>1.1466352593973914</v>
      </c>
      <c r="N20" s="73">
        <v>1.1698259597570968</v>
      </c>
      <c r="O20" s="73">
        <v>1.1798933088083627</v>
      </c>
      <c r="P20" s="73">
        <v>1.2211694399185529</v>
      </c>
      <c r="Q20" s="73">
        <v>1.3168092559055788</v>
      </c>
      <c r="R20" s="73">
        <v>1.3701662058772879</v>
      </c>
      <c r="S20" s="73">
        <v>1.4112711920536058</v>
      </c>
      <c r="T20" s="73">
        <v>1.450079003737607</v>
      </c>
      <c r="U20" s="73">
        <v>1.4899539712285015</v>
      </c>
      <c r="V20" s="73">
        <v>1.530925439688172</v>
      </c>
      <c r="W20" s="73">
        <v>1.5730235612258272</v>
      </c>
      <c r="X20" s="73">
        <v>1.61627931708783</v>
      </c>
    </row>
    <row r="21" spans="2:24" x14ac:dyDescent="0.35">
      <c r="B21" t="s">
        <v>53</v>
      </c>
      <c r="C21" s="73">
        <v>0.91557985516674834</v>
      </c>
      <c r="D21" s="73">
        <v>0.93408928670440783</v>
      </c>
      <c r="E21" s="73">
        <v>0.96354238903305101</v>
      </c>
      <c r="F21" s="75">
        <v>0.99012808998513113</v>
      </c>
      <c r="G21" s="73">
        <v>1.0107477439819677</v>
      </c>
      <c r="H21" s="73">
        <v>1.0333315881226874</v>
      </c>
      <c r="I21" s="73">
        <v>1.0530526904050206</v>
      </c>
      <c r="J21" s="73">
        <v>1.0663923836226299</v>
      </c>
      <c r="K21" s="73">
        <v>1.0821478798674027</v>
      </c>
      <c r="L21" s="73">
        <v>1.1038521859989792</v>
      </c>
      <c r="M21" s="73">
        <v>1.1241080440850653</v>
      </c>
      <c r="N21" s="73">
        <v>1.1468431314711027</v>
      </c>
      <c r="O21" s="73">
        <v>1.1567126937040726</v>
      </c>
      <c r="P21" s="73">
        <v>1.1971778988592492</v>
      </c>
      <c r="Q21" s="73">
        <v>1.2909387400724632</v>
      </c>
      <c r="R21" s="73">
        <v>1.3432474199072035</v>
      </c>
      <c r="S21" s="73">
        <v>1.383544842504419</v>
      </c>
      <c r="T21" s="73">
        <v>1.421590221738833</v>
      </c>
      <c r="U21" s="73">
        <v>1.460681791047195</v>
      </c>
      <c r="V21" s="73">
        <v>1.5008483190656146</v>
      </c>
      <c r="W21" s="73">
        <v>1.5421193655239447</v>
      </c>
      <c r="X21" s="73">
        <v>1.5845253029996604</v>
      </c>
    </row>
    <row r="22" spans="2:24" x14ac:dyDescent="0.35">
      <c r="B22" t="s">
        <v>54</v>
      </c>
      <c r="C22" s="73">
        <v>0.89621181976899034</v>
      </c>
      <c r="D22" s="73">
        <v>0.914329705639507</v>
      </c>
      <c r="E22" s="73">
        <v>0.94315976157273651</v>
      </c>
      <c r="F22" s="73">
        <v>0.96918307269698423</v>
      </c>
      <c r="G22" s="75">
        <v>0.98936654170542604</v>
      </c>
      <c r="H22" s="73">
        <v>1.0114726506816307</v>
      </c>
      <c r="I22" s="73">
        <v>1.0307765758002989</v>
      </c>
      <c r="J22" s="73">
        <v>1.0438340831998436</v>
      </c>
      <c r="K22" s="73">
        <v>1.059256290100977</v>
      </c>
      <c r="L22" s="73">
        <v>1.0805014666797699</v>
      </c>
      <c r="M22" s="73">
        <v>1.100328835460189</v>
      </c>
      <c r="N22" s="73">
        <v>1.122582988305368</v>
      </c>
      <c r="O22" s="73">
        <v>1.1322437713372557</v>
      </c>
      <c r="P22" s="73">
        <v>1.1718529817679959</v>
      </c>
      <c r="Q22" s="73">
        <v>1.2636304205709306</v>
      </c>
      <c r="R22" s="73">
        <v>1.314832570639936</v>
      </c>
      <c r="S22" s="73">
        <v>1.3542775477591333</v>
      </c>
      <c r="T22" s="73">
        <v>1.3915181208943577</v>
      </c>
      <c r="U22" s="73">
        <v>1.4297827531596583</v>
      </c>
      <c r="V22" s="73">
        <v>1.469099604623842</v>
      </c>
      <c r="W22" s="73">
        <v>1.5094976097147843</v>
      </c>
      <c r="X22" s="73">
        <v>1.5510064985131293</v>
      </c>
    </row>
    <row r="23" spans="2:24" x14ac:dyDescent="0.35">
      <c r="B23" t="s">
        <v>55</v>
      </c>
      <c r="C23" s="73">
        <v>0.87599651556367464</v>
      </c>
      <c r="D23" s="73">
        <v>0.89370572731681119</v>
      </c>
      <c r="E23" s="73">
        <v>0.92188548123650926</v>
      </c>
      <c r="F23" s="73">
        <v>0.94732180038051073</v>
      </c>
      <c r="G23" s="73">
        <v>0.9670500031707171</v>
      </c>
      <c r="H23" s="75">
        <v>0.98865747810986437</v>
      </c>
      <c r="I23" s="73">
        <v>1.0075259763461568</v>
      </c>
      <c r="J23" s="73">
        <v>1.0202889535036064</v>
      </c>
      <c r="K23" s="73">
        <v>1.0353632910761428</v>
      </c>
      <c r="L23" s="73">
        <v>1.0561292531456397</v>
      </c>
      <c r="M23" s="73">
        <v>1.0755093880437936</v>
      </c>
      <c r="N23" s="73">
        <v>1.0972615675165249</v>
      </c>
      <c r="O23" s="73">
        <v>1.1067044381491973</v>
      </c>
      <c r="P23" s="73">
        <v>1.1454202077431537</v>
      </c>
      <c r="Q23" s="73">
        <v>1.2351274787535409</v>
      </c>
      <c r="R23" s="73">
        <v>1.2851746931067041</v>
      </c>
      <c r="S23" s="73">
        <v>1.3237299338999047</v>
      </c>
      <c r="T23" s="73">
        <v>1.3601304941072667</v>
      </c>
      <c r="U23" s="73">
        <v>1.397532014366583</v>
      </c>
      <c r="V23" s="73">
        <v>1.4359620195571385</v>
      </c>
      <c r="W23" s="73">
        <v>1.475448791450541</v>
      </c>
      <c r="X23" s="73">
        <v>1.5160213895241113</v>
      </c>
    </row>
    <row r="24" spans="2:24" x14ac:dyDescent="0.35">
      <c r="B24" t="s">
        <v>56</v>
      </c>
      <c r="C24" s="73">
        <v>0.86295842789016886</v>
      </c>
      <c r="D24" s="73">
        <v>0.8804040606776774</v>
      </c>
      <c r="E24" s="73">
        <v>0.90816439500415203</v>
      </c>
      <c r="F24" s="73">
        <v>0.93322212707252183</v>
      </c>
      <c r="G24" s="73">
        <v>0.95265670079794373</v>
      </c>
      <c r="H24" s="73">
        <v>0.97394257611008983</v>
      </c>
      <c r="I24" s="75">
        <v>0.99253024088426067</v>
      </c>
      <c r="J24" s="73">
        <v>1.0051032574514598</v>
      </c>
      <c r="K24" s="73">
        <v>1.0199532327903584</v>
      </c>
      <c r="L24" s="73">
        <v>1.0404101200755651</v>
      </c>
      <c r="M24" s="73">
        <v>1.0595018064543047</v>
      </c>
      <c r="N24" s="73">
        <v>1.0809302325581396</v>
      </c>
      <c r="O24" s="73">
        <v>1.0902325581395349</v>
      </c>
      <c r="P24" s="73">
        <v>1.1283720930232557</v>
      </c>
      <c r="Q24" s="73">
        <v>1.2167441860465116</v>
      </c>
      <c r="R24" s="73">
        <v>1.2660465116279067</v>
      </c>
      <c r="S24" s="73">
        <v>1.3040279069767433</v>
      </c>
      <c r="T24" s="73">
        <v>1.3398866914042751</v>
      </c>
      <c r="U24" s="73">
        <v>1.3767315378736853</v>
      </c>
      <c r="V24" s="73">
        <v>1.4145895615916373</v>
      </c>
      <c r="W24" s="73">
        <v>1.4534886233917423</v>
      </c>
      <c r="X24" s="73">
        <v>1.4934573502381712</v>
      </c>
    </row>
    <row r="25" spans="2:24" x14ac:dyDescent="0.35">
      <c r="B25" t="s">
        <v>57</v>
      </c>
      <c r="C25" s="73">
        <v>0.85421759666844521</v>
      </c>
      <c r="D25" s="73">
        <v>0.87148652415147621</v>
      </c>
      <c r="E25" s="73">
        <v>0.8989656764543863</v>
      </c>
      <c r="F25" s="73">
        <v>0.92376960092353688</v>
      </c>
      <c r="G25" s="73">
        <v>0.94300732353387617</v>
      </c>
      <c r="H25" s="73">
        <v>0.96407759605740928</v>
      </c>
      <c r="I25" s="73">
        <v>0.98247698798395966</v>
      </c>
      <c r="J25" s="75">
        <v>0.99492265355462184</v>
      </c>
      <c r="K25" s="73">
        <v>1.0096222147786698</v>
      </c>
      <c r="L25" s="73">
        <v>1.0298718960232345</v>
      </c>
      <c r="M25" s="73">
        <v>1.0487702043631471</v>
      </c>
      <c r="N25" s="73">
        <v>1.0699815837937385</v>
      </c>
      <c r="O25" s="73">
        <v>1.0791896869244937</v>
      </c>
      <c r="P25" s="73">
        <v>1.1169429097605894</v>
      </c>
      <c r="Q25" s="73">
        <v>1.2044198895027625</v>
      </c>
      <c r="R25" s="73">
        <v>1.253222836095764</v>
      </c>
      <c r="S25" s="73">
        <v>1.2908195211786364</v>
      </c>
      <c r="T25" s="73">
        <v>1.3263150950825007</v>
      </c>
      <c r="U25" s="73">
        <v>1.3627867432911711</v>
      </c>
      <c r="V25" s="73">
        <v>1.4002613063637293</v>
      </c>
      <c r="W25" s="73">
        <v>1.438766362933815</v>
      </c>
      <c r="X25" s="73">
        <v>1.4783302500055562</v>
      </c>
    </row>
    <row r="26" spans="2:24" x14ac:dyDescent="0.35">
      <c r="B26" t="s">
        <v>58</v>
      </c>
      <c r="C26" s="73">
        <v>0.83801292681294637</v>
      </c>
      <c r="D26" s="73">
        <v>0.85495425946567594</v>
      </c>
      <c r="E26" s="73">
        <v>0.88191212703655242</v>
      </c>
      <c r="F26" s="73">
        <v>0.90624551635317163</v>
      </c>
      <c r="G26" s="73">
        <v>0.92511829571616033</v>
      </c>
      <c r="H26" s="73">
        <v>0.94578886117285144</v>
      </c>
      <c r="I26" s="73">
        <v>0.96383921314415555</v>
      </c>
      <c r="J26" s="73">
        <v>0.97604878207797596</v>
      </c>
      <c r="K26" s="75">
        <v>0.99046948983706895</v>
      </c>
      <c r="L26" s="73">
        <v>1.0103350307870214</v>
      </c>
      <c r="M26" s="73">
        <v>1.0288748346326808</v>
      </c>
      <c r="N26" s="73">
        <v>1.0496838301716351</v>
      </c>
      <c r="O26" s="73">
        <v>1.0587172538392051</v>
      </c>
      <c r="P26" s="73">
        <v>1.0957542908762421</v>
      </c>
      <c r="Q26" s="73">
        <v>1.1815718157181572</v>
      </c>
      <c r="R26" s="73">
        <v>1.229448961156278</v>
      </c>
      <c r="S26" s="73">
        <v>1.266332429990966</v>
      </c>
      <c r="T26" s="73">
        <v>1.301154646124296</v>
      </c>
      <c r="U26" s="73">
        <v>1.3369344202477071</v>
      </c>
      <c r="V26" s="73">
        <v>1.3736980837497832</v>
      </c>
      <c r="W26" s="73">
        <v>1.411472692092252</v>
      </c>
      <c r="X26" s="73">
        <v>1.4502860447208978</v>
      </c>
    </row>
    <row r="27" spans="2:24" x14ac:dyDescent="0.35">
      <c r="B27" t="s">
        <v>59</v>
      </c>
      <c r="C27" s="73">
        <v>0.82095602653268274</v>
      </c>
      <c r="D27" s="73">
        <v>0.83755253560044529</v>
      </c>
      <c r="E27" s="73">
        <v>0.86396170321191457</v>
      </c>
      <c r="F27" s="73">
        <v>0.88779981115306283</v>
      </c>
      <c r="G27" s="73">
        <v>0.90628845429892868</v>
      </c>
      <c r="H27" s="73">
        <v>0.92653829143216504</v>
      </c>
      <c r="I27" s="73">
        <v>0.9442212468589205</v>
      </c>
      <c r="J27" s="73">
        <v>0.95618230244276048</v>
      </c>
      <c r="K27" s="73">
        <v>0.97030949137135858</v>
      </c>
      <c r="L27" s="75">
        <v>0.9897706894524182</v>
      </c>
      <c r="M27" s="73">
        <v>1.0079331344587412</v>
      </c>
      <c r="N27" s="73">
        <v>1.0283185840707965</v>
      </c>
      <c r="O27" s="73">
        <v>1.0371681415929204</v>
      </c>
      <c r="P27" s="73">
        <v>1.0734513274336284</v>
      </c>
      <c r="Q27" s="73">
        <v>1.1575221238938054</v>
      </c>
      <c r="R27" s="73">
        <v>1.2044247787610618</v>
      </c>
      <c r="S27" s="73">
        <v>1.2405575221238929</v>
      </c>
      <c r="T27" s="73">
        <v>1.2746709674863679</v>
      </c>
      <c r="U27" s="73">
        <v>1.3097224807205412</v>
      </c>
      <c r="V27" s="73">
        <v>1.3457378572663805</v>
      </c>
      <c r="W27" s="73">
        <v>1.3827436018992239</v>
      </c>
      <c r="X27" s="73">
        <v>1.4207669482354282</v>
      </c>
    </row>
    <row r="28" spans="2:24" x14ac:dyDescent="0.35">
      <c r="B28" t="s">
        <v>60</v>
      </c>
      <c r="C28" s="73">
        <v>0.8080838937124839</v>
      </c>
      <c r="D28" s="73">
        <v>0.82442017877047313</v>
      </c>
      <c r="E28" s="73">
        <v>0.85041526535667544</v>
      </c>
      <c r="F28" s="73">
        <v>0.87387960505484408</v>
      </c>
      <c r="G28" s="73">
        <v>0.89207835658344026</v>
      </c>
      <c r="H28" s="73">
        <v>0.91201068755953529</v>
      </c>
      <c r="I28" s="73">
        <v>0.92941638410329275</v>
      </c>
      <c r="J28" s="73">
        <v>0.94118989700376254</v>
      </c>
      <c r="K28" s="73">
        <v>0.95509557948574497</v>
      </c>
      <c r="L28" s="73">
        <v>0.97425163683034188</v>
      </c>
      <c r="M28" s="75">
        <v>0.99212930482437067</v>
      </c>
      <c r="N28" s="73">
        <v>1.0121951219512195</v>
      </c>
      <c r="O28" s="73">
        <v>1.0209059233449478</v>
      </c>
      <c r="P28" s="73">
        <v>1.0566202090592334</v>
      </c>
      <c r="Q28" s="73">
        <v>1.1393728222996515</v>
      </c>
      <c r="R28" s="73">
        <v>1.1855400696864109</v>
      </c>
      <c r="S28" s="73">
        <v>1.2211062717770027</v>
      </c>
      <c r="T28" s="73">
        <v>1.2546848373341426</v>
      </c>
      <c r="U28" s="73">
        <v>1.2891867623817175</v>
      </c>
      <c r="V28" s="73">
        <v>1.3246374379015766</v>
      </c>
      <c r="W28" s="73">
        <v>1.3610629530889573</v>
      </c>
      <c r="X28" s="73">
        <v>1.3984901145522943</v>
      </c>
    </row>
    <row r="29" spans="2:24" x14ac:dyDescent="0.35">
      <c r="B29" t="s">
        <v>61</v>
      </c>
      <c r="C29" s="73">
        <v>0.79834794318582747</v>
      </c>
      <c r="D29" s="73">
        <v>0.81448740553227472</v>
      </c>
      <c r="E29" s="73">
        <v>0.84016929830418541</v>
      </c>
      <c r="F29" s="73">
        <v>0.86335093511442429</v>
      </c>
      <c r="G29" s="73">
        <v>0.88133042457641086</v>
      </c>
      <c r="H29" s="73">
        <v>0.90102260698652881</v>
      </c>
      <c r="I29" s="73">
        <v>0.91821859634301217</v>
      </c>
      <c r="J29" s="73">
        <v>0.92985025969046409</v>
      </c>
      <c r="K29" s="73">
        <v>0.94358840382929021</v>
      </c>
      <c r="L29" s="73">
        <v>0.96251366530226556</v>
      </c>
      <c r="M29" s="73">
        <v>0.98017593970600481</v>
      </c>
      <c r="N29" s="75">
        <v>1</v>
      </c>
      <c r="O29" s="73">
        <v>1.0086058519793459</v>
      </c>
      <c r="P29" s="73">
        <v>1.0438898450946643</v>
      </c>
      <c r="Q29" s="73">
        <v>1.1256454388984509</v>
      </c>
      <c r="R29" s="73">
        <v>1.1712564543889843</v>
      </c>
      <c r="S29" s="74">
        <v>1.2063941480206533</v>
      </c>
      <c r="T29" s="73">
        <v>1.2395681525469842</v>
      </c>
      <c r="U29" s="73">
        <v>1.2736543917506125</v>
      </c>
      <c r="V29" s="73">
        <v>1.3086779506979431</v>
      </c>
      <c r="W29" s="73">
        <v>1.3446646042565602</v>
      </c>
      <c r="X29" s="73">
        <v>1.3816408360637125</v>
      </c>
    </row>
    <row r="30" spans="2:24" x14ac:dyDescent="0.35">
      <c r="B30" t="s">
        <v>62</v>
      </c>
      <c r="C30" s="73">
        <v>0.79493472557498135</v>
      </c>
      <c r="D30" s="73">
        <v>0.81100518605628857</v>
      </c>
      <c r="E30" s="73">
        <v>0.83657727972439111</v>
      </c>
      <c r="F30" s="73">
        <v>0.8596598069024397</v>
      </c>
      <c r="G30" s="73">
        <v>0.87756242773767101</v>
      </c>
      <c r="H30" s="73">
        <v>0.8971704191576676</v>
      </c>
      <c r="I30" s="73">
        <v>0.91429288962528987</v>
      </c>
      <c r="J30" s="73">
        <v>0.92587482353018513</v>
      </c>
      <c r="K30" s="73">
        <v>0.93955423228187185</v>
      </c>
      <c r="L30" s="73">
        <v>0.95839858162085745</v>
      </c>
      <c r="M30" s="73">
        <v>0.9759853436035314</v>
      </c>
      <c r="N30" s="73">
        <v>0.99572464908317349</v>
      </c>
      <c r="O30" s="75">
        <v>1.0042937080253695</v>
      </c>
      <c r="P30" s="73">
        <v>1.039426849688373</v>
      </c>
      <c r="Q30" s="73">
        <v>1.1208329096392349</v>
      </c>
      <c r="R30" s="73">
        <v>1.1662489220328733</v>
      </c>
      <c r="S30" s="73">
        <v>1.2012363896938592</v>
      </c>
      <c r="T30" s="73">
        <v>1.2342685637095234</v>
      </c>
      <c r="U30" s="73">
        <v>1.2682090722791215</v>
      </c>
      <c r="V30" s="73">
        <v>1.3030828932215961</v>
      </c>
      <c r="W30" s="73">
        <v>1.3389156912079279</v>
      </c>
      <c r="X30" s="73">
        <v>1.3757338366485226</v>
      </c>
    </row>
    <row r="31" spans="2:24" x14ac:dyDescent="0.35">
      <c r="B31" t="s">
        <v>63</v>
      </c>
      <c r="C31" s="73">
        <v>0.77804395446359109</v>
      </c>
      <c r="D31" s="73">
        <v>0.79377294983976276</v>
      </c>
      <c r="E31" s="73">
        <v>0.81880168772393647</v>
      </c>
      <c r="F31" s="73">
        <v>0.84139375742076883</v>
      </c>
      <c r="G31" s="73">
        <v>0.85891598341213016</v>
      </c>
      <c r="H31" s="73">
        <v>0.87810734427822845</v>
      </c>
      <c r="I31" s="73">
        <v>0.89486599653509025</v>
      </c>
      <c r="J31" s="73">
        <v>0.90620183753660488</v>
      </c>
      <c r="K31" s="73">
        <v>0.91959058624447876</v>
      </c>
      <c r="L31" s="73">
        <v>0.93803453089464206</v>
      </c>
      <c r="M31" s="73">
        <v>0.95524760940157538</v>
      </c>
      <c r="N31" s="73">
        <v>0.9745674941664999</v>
      </c>
      <c r="O31" s="73">
        <v>0.98295447776517886</v>
      </c>
      <c r="P31" s="75">
        <v>1.0173411105197627</v>
      </c>
      <c r="Q31" s="73">
        <v>1.0970174547072133</v>
      </c>
      <c r="R31" s="73">
        <v>1.1414684677802118</v>
      </c>
      <c r="S31" s="74">
        <v>1.1757125218136175</v>
      </c>
      <c r="T31" s="73">
        <v>1.208042828276312</v>
      </c>
      <c r="U31" s="73">
        <v>1.241262169002552</v>
      </c>
      <c r="V31" s="73">
        <v>1.2753949910826448</v>
      </c>
      <c r="W31" s="73">
        <v>1.3104664138647042</v>
      </c>
      <c r="X31" s="73">
        <v>1.34650224744072</v>
      </c>
    </row>
    <row r="32" spans="2:24" x14ac:dyDescent="0.35">
      <c r="B32" t="s">
        <v>64</v>
      </c>
      <c r="C32" s="73">
        <v>0.73648527197346381</v>
      </c>
      <c r="D32" s="73">
        <v>0.75137411388404141</v>
      </c>
      <c r="E32" s="73">
        <v>0.77506595895529684</v>
      </c>
      <c r="F32" s="73">
        <v>0.79645128879387428</v>
      </c>
      <c r="G32" s="73">
        <v>0.81303757714017377</v>
      </c>
      <c r="H32" s="73">
        <v>0.83120384467033381</v>
      </c>
      <c r="I32" s="73">
        <v>0.84706734504778081</v>
      </c>
      <c r="J32" s="73">
        <v>0.85779768990188909</v>
      </c>
      <c r="K32" s="73">
        <v>0.87047128780973626</v>
      </c>
      <c r="L32" s="73">
        <v>0.88793006184687162</v>
      </c>
      <c r="M32" s="73">
        <v>0.90422371560891313</v>
      </c>
      <c r="N32" s="73">
        <v>0.9225116420222752</v>
      </c>
      <c r="O32" s="73">
        <v>0.9304506406627423</v>
      </c>
      <c r="P32" s="73">
        <v>0.96300053508865724</v>
      </c>
      <c r="Q32" s="75">
        <v>1.0384210221730945</v>
      </c>
      <c r="R32" s="73">
        <v>1.0804977149675701</v>
      </c>
      <c r="S32" s="74">
        <v>1.1129126464165966</v>
      </c>
      <c r="T32" s="73">
        <v>1.1435160518046366</v>
      </c>
      <c r="U32" s="73">
        <v>1.1749610043027396</v>
      </c>
      <c r="V32" s="73">
        <v>1.2072706451767057</v>
      </c>
      <c r="W32" s="73">
        <v>1.2404687520419522</v>
      </c>
      <c r="X32" s="73">
        <v>1.2745797563621646</v>
      </c>
    </row>
    <row r="33" spans="2:24" x14ac:dyDescent="0.35">
      <c r="B33" t="s">
        <v>65</v>
      </c>
      <c r="C33" s="73">
        <v>0.69528907304557175</v>
      </c>
      <c r="D33" s="73">
        <v>0.70934508948564068</v>
      </c>
      <c r="E33" s="73">
        <v>0.73171170240403993</v>
      </c>
      <c r="F33" s="73">
        <v>0.75190081782300255</v>
      </c>
      <c r="G33" s="73">
        <v>0.76755933196906767</v>
      </c>
      <c r="H33" s="73">
        <v>0.78470944724278902</v>
      </c>
      <c r="I33" s="73">
        <v>0.7996856034436296</v>
      </c>
      <c r="J33" s="73">
        <v>0.80981573341497415</v>
      </c>
      <c r="K33" s="73">
        <v>0.82178041821836134</v>
      </c>
      <c r="L33" s="73">
        <v>0.8382626145075891</v>
      </c>
      <c r="M33" s="73">
        <v>0.85364486294058084</v>
      </c>
      <c r="N33" s="73">
        <v>0.87090983195998894</v>
      </c>
      <c r="O33" s="73">
        <v>0.87840475306119359</v>
      </c>
      <c r="P33" s="73">
        <v>0.90913392957613293</v>
      </c>
      <c r="Q33" s="73">
        <v>0.98033568003757787</v>
      </c>
      <c r="R33" s="75">
        <v>1.0200587618739627</v>
      </c>
      <c r="S33" s="73">
        <v>1.050660524730181</v>
      </c>
      <c r="T33" s="73">
        <v>1.079552091437648</v>
      </c>
      <c r="U33" s="73">
        <v>1.1092381322946279</v>
      </c>
      <c r="V33" s="73">
        <v>1.1397404941320883</v>
      </c>
      <c r="W33" s="73">
        <v>1.1710816245356259</v>
      </c>
      <c r="X33" s="73">
        <v>1.2032845883653065</v>
      </c>
    </row>
    <row r="34" spans="2:24" x14ac:dyDescent="0.35">
      <c r="B34" t="s">
        <v>66</v>
      </c>
      <c r="C34" s="73">
        <v>0.67161687744432397</v>
      </c>
      <c r="D34" s="73">
        <v>0.68519433498933335</v>
      </c>
      <c r="E34" s="73">
        <v>0.70679944185727428</v>
      </c>
      <c r="F34" s="73">
        <v>0.72630118750768802</v>
      </c>
      <c r="G34" s="73">
        <v>0.7414265832371687</v>
      </c>
      <c r="H34" s="73">
        <v>0.75799279621890492</v>
      </c>
      <c r="I34" s="73">
        <v>0.77245906593844615</v>
      </c>
      <c r="J34" s="73">
        <v>0.78224429991265199</v>
      </c>
      <c r="K34" s="73">
        <v>0.79380162845235958</v>
      </c>
      <c r="L34" s="73">
        <v>0.8097226627880596</v>
      </c>
      <c r="M34" s="73">
        <v>0.82458119869944113</v>
      </c>
      <c r="N34" s="73">
        <v>0.84125835505283575</v>
      </c>
      <c r="O34" s="73">
        <v>0.84849809993280856</v>
      </c>
      <c r="P34" s="73">
        <v>0.87818105394069679</v>
      </c>
      <c r="Q34" s="73">
        <v>0.94695863030043814</v>
      </c>
      <c r="R34" s="73">
        <v>0.98532927816429372</v>
      </c>
      <c r="S34" s="75">
        <v>1.014889156509222</v>
      </c>
      <c r="T34" s="73">
        <v>1.0427970649875584</v>
      </c>
      <c r="U34" s="73">
        <v>1.0714723985099404</v>
      </c>
      <c r="V34" s="73">
        <v>1.1009362600980677</v>
      </c>
      <c r="W34" s="73">
        <v>1.1312103330746461</v>
      </c>
      <c r="X34" s="73">
        <v>1.1623168970207836</v>
      </c>
    </row>
    <row r="35" spans="2:24" x14ac:dyDescent="0.35">
      <c r="B35" t="s">
        <v>67</v>
      </c>
      <c r="C35" s="73">
        <v>0.65284847652042532</v>
      </c>
      <c r="D35" s="73">
        <v>0.66604651065412668</v>
      </c>
      <c r="E35" s="73">
        <v>0.68704786064620682</v>
      </c>
      <c r="F35" s="73">
        <v>0.70600462806070186</v>
      </c>
      <c r="G35" s="73">
        <v>0.72070734309123441</v>
      </c>
      <c r="H35" s="73">
        <v>0.73681061159156469</v>
      </c>
      <c r="I35" s="73">
        <v>0.75087261995453802</v>
      </c>
      <c r="J35" s="73">
        <v>0.76038440458503331</v>
      </c>
      <c r="K35" s="73">
        <v>0.77161876242086602</v>
      </c>
      <c r="L35" s="73">
        <v>0.78709488185705867</v>
      </c>
      <c r="M35" s="73">
        <v>0.80153819449384334</v>
      </c>
      <c r="N35" s="73">
        <v>0.81774930604219653</v>
      </c>
      <c r="O35" s="73">
        <v>0.82478673552620851</v>
      </c>
      <c r="P35" s="73">
        <v>0.8536401964106578</v>
      </c>
      <c r="Q35" s="73">
        <v>0.92049577650877201</v>
      </c>
      <c r="R35" s="73">
        <v>0.95779415277403557</v>
      </c>
      <c r="S35" s="73">
        <v>0.98652797735725617</v>
      </c>
      <c r="T35" s="75">
        <v>1.013655996537304</v>
      </c>
      <c r="U35" s="73">
        <v>1.0415299949916592</v>
      </c>
      <c r="V35" s="73">
        <v>1.0701704860159669</v>
      </c>
      <c r="W35" s="73">
        <v>1.0995985469903069</v>
      </c>
      <c r="X35" s="73">
        <v>1.1298358348906612</v>
      </c>
    </row>
    <row r="36" spans="2:24" x14ac:dyDescent="0.35">
      <c r="B36" t="s">
        <v>68</v>
      </c>
      <c r="C36" s="73">
        <v>0.63537658659602225</v>
      </c>
      <c r="D36" s="73">
        <v>0.64822140768275194</v>
      </c>
      <c r="E36" s="73">
        <v>0.66866070799788224</v>
      </c>
      <c r="F36" s="73">
        <v>0.68711014397866721</v>
      </c>
      <c r="G36" s="73">
        <v>0.70141937686465605</v>
      </c>
      <c r="H36" s="73">
        <v>0.71709168083833164</v>
      </c>
      <c r="I36" s="73">
        <v>0.73077735400091748</v>
      </c>
      <c r="J36" s="73">
        <v>0.74003457902068293</v>
      </c>
      <c r="K36" s="73">
        <v>0.75096827679443634</v>
      </c>
      <c r="L36" s="73">
        <v>0.76603021581209263</v>
      </c>
      <c r="M36" s="73">
        <v>0.78008698857383818</v>
      </c>
      <c r="N36" s="73">
        <v>0.79586424944058354</v>
      </c>
      <c r="O36" s="73">
        <v>0.80271333936692235</v>
      </c>
      <c r="P36" s="73">
        <v>0.83079460806491201</v>
      </c>
      <c r="Q36" s="73">
        <v>0.8958609623651318</v>
      </c>
      <c r="R36" s="73">
        <v>0.93216113897472797</v>
      </c>
      <c r="S36" s="73">
        <v>0.96012597314396941</v>
      </c>
      <c r="T36" s="73">
        <v>0.98652797735725628</v>
      </c>
      <c r="U36" s="75">
        <v>1.013655996537304</v>
      </c>
      <c r="V36" s="73">
        <v>1.0415299949916594</v>
      </c>
      <c r="W36" s="73">
        <v>1.0701704860159664</v>
      </c>
      <c r="X36" s="73">
        <v>1.0995985469903067</v>
      </c>
    </row>
    <row r="37" spans="2:24" x14ac:dyDescent="0.35">
      <c r="B37" t="s">
        <v>69</v>
      </c>
      <c r="C37" s="73">
        <v>0.61837228899741792</v>
      </c>
      <c r="D37" s="73">
        <v>0.63087334991896793</v>
      </c>
      <c r="E37" s="73">
        <v>0.65076564243966928</v>
      </c>
      <c r="F37" s="73">
        <v>0.66872132446955024</v>
      </c>
      <c r="G37" s="73">
        <v>0.68264760579652017</v>
      </c>
      <c r="H37" s="73">
        <v>0.69790047895318708</v>
      </c>
      <c r="I37" s="73">
        <v>0.71121988860496177</v>
      </c>
      <c r="J37" s="73">
        <v>0.72022936667827975</v>
      </c>
      <c r="K37" s="73">
        <v>0.73087045081986557</v>
      </c>
      <c r="L37" s="73">
        <v>0.74552929394310063</v>
      </c>
      <c r="M37" s="73">
        <v>0.75920987162249787</v>
      </c>
      <c r="N37" s="73">
        <v>0.77456489275814733</v>
      </c>
      <c r="O37" s="73">
        <v>0.78123068357362191</v>
      </c>
      <c r="P37" s="73">
        <v>0.80856042591706767</v>
      </c>
      <c r="Q37" s="73">
        <v>0.87188543866407631</v>
      </c>
      <c r="R37" s="73">
        <v>0.90721412998609141</v>
      </c>
      <c r="S37" s="73">
        <v>0.93443055388567375</v>
      </c>
      <c r="T37" s="73">
        <v>0.96012597314396952</v>
      </c>
      <c r="U37" s="73">
        <v>0.9865279773572565</v>
      </c>
      <c r="V37" s="75">
        <v>1.0136559965373042</v>
      </c>
      <c r="W37" s="73">
        <v>1.0415299949916592</v>
      </c>
      <c r="X37" s="73">
        <v>1.0701704860159664</v>
      </c>
    </row>
    <row r="38" spans="2:24" x14ac:dyDescent="0.35">
      <c r="B38" t="s">
        <v>70</v>
      </c>
      <c r="C38" s="73">
        <v>0.60182306976166455</v>
      </c>
      <c r="D38" s="73">
        <v>0.61398957041660618</v>
      </c>
      <c r="E38" s="73">
        <v>0.63334949446626787</v>
      </c>
      <c r="F38" s="73">
        <v>0.65082463665999002</v>
      </c>
      <c r="G38" s="73">
        <v>0.66437821518814522</v>
      </c>
      <c r="H38" s="73">
        <v>0.67922288256596952</v>
      </c>
      <c r="I38" s="73">
        <v>0.6921858308524147</v>
      </c>
      <c r="J38" s="73">
        <v>0.70095419231930001</v>
      </c>
      <c r="K38" s="73">
        <v>0.71131049391564805</v>
      </c>
      <c r="L38" s="73">
        <v>0.72557702901844723</v>
      </c>
      <c r="M38" s="73">
        <v>0.73889147955515644</v>
      </c>
      <c r="N38" s="73">
        <v>0.75383556117157957</v>
      </c>
      <c r="O38" s="73">
        <v>0.76032295842778941</v>
      </c>
      <c r="P38" s="73">
        <v>0.78692128717824961</v>
      </c>
      <c r="Q38" s="73">
        <v>0.84855156111224272</v>
      </c>
      <c r="R38" s="73">
        <v>0.88293476657015457</v>
      </c>
      <c r="S38" s="73">
        <v>0.90942280956725885</v>
      </c>
      <c r="T38" s="73">
        <v>0.93443055388567398</v>
      </c>
      <c r="U38" s="73">
        <v>0.96012597314396986</v>
      </c>
      <c r="V38" s="73">
        <v>0.98652797735725672</v>
      </c>
      <c r="W38" s="75">
        <v>1.013655996537304</v>
      </c>
      <c r="X38" s="73">
        <v>1.041529994991659</v>
      </c>
    </row>
    <row r="39" spans="2:24" x14ac:dyDescent="0.35">
      <c r="B39" t="s">
        <v>71</v>
      </c>
      <c r="C39" s="73">
        <v>0.58571674983137179</v>
      </c>
      <c r="D39" s="73">
        <v>0.59755764390553179</v>
      </c>
      <c r="E39" s="73">
        <v>0.61639944702192062</v>
      </c>
      <c r="F39" s="73">
        <v>0.63340690985082393</v>
      </c>
      <c r="G39" s="73">
        <v>0.64659776005741232</v>
      </c>
      <c r="H39" s="73">
        <v>0.66104514628391642</v>
      </c>
      <c r="I39" s="73">
        <v>0.67366117302010597</v>
      </c>
      <c r="J39" s="73">
        <v>0.6821948707757679</v>
      </c>
      <c r="K39" s="73">
        <v>0.69227401133395328</v>
      </c>
      <c r="L39" s="73">
        <v>0.70615873757928638</v>
      </c>
      <c r="M39" s="73">
        <v>0.71911685946923032</v>
      </c>
      <c r="N39" s="73">
        <v>0.73366099935581275</v>
      </c>
      <c r="O39" s="73">
        <v>0.73997477731928796</v>
      </c>
      <c r="P39" s="73">
        <v>0.76586126696953605</v>
      </c>
      <c r="Q39" s="73">
        <v>0.82584215762254998</v>
      </c>
      <c r="R39" s="73">
        <v>0.85930518082896823</v>
      </c>
      <c r="S39" s="73">
        <v>0.88508433625383687</v>
      </c>
      <c r="T39" s="73">
        <v>0.90942280956725896</v>
      </c>
      <c r="U39" s="73">
        <v>0.9344305538856742</v>
      </c>
      <c r="V39" s="73">
        <v>0.96012597314397008</v>
      </c>
      <c r="W39" s="73">
        <v>0.9865279773572565</v>
      </c>
      <c r="X39" s="75">
        <v>1.013655996537304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575D-9A9F-4710-A548-510038CA81A5}">
  <sheetPr codeName="Sheet5"/>
  <dimension ref="A1:W57"/>
  <sheetViews>
    <sheetView showGridLines="0" zoomScale="80" zoomScaleNormal="80" workbookViewId="0">
      <selection activeCell="A3" sqref="A3"/>
    </sheetView>
  </sheetViews>
  <sheetFormatPr defaultRowHeight="14.5" x14ac:dyDescent="0.35"/>
  <cols>
    <col min="2" max="2" width="14.08984375" customWidth="1"/>
    <col min="3" max="3" width="26.54296875" bestFit="1" customWidth="1"/>
    <col min="4" max="4" width="5.54296875" customWidth="1"/>
    <col min="5" max="8" width="13.6328125" bestFit="1" customWidth="1"/>
    <col min="9" max="9" width="14.6328125" bestFit="1" customWidth="1"/>
  </cols>
  <sheetData>
    <row r="1" spans="1:23" ht="23.5" x14ac:dyDescent="0.55000000000000004">
      <c r="A1" s="145" t="s">
        <v>403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2" spans="1:23" ht="21" x14ac:dyDescent="0.5">
      <c r="A2" s="144" t="s">
        <v>413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pans="1:23" x14ac:dyDescent="0.35">
      <c r="A3" s="81" t="s">
        <v>406</v>
      </c>
    </row>
    <row r="5" spans="1:23" x14ac:dyDescent="0.35">
      <c r="B5" s="67"/>
      <c r="C5" s="67" t="s">
        <v>382</v>
      </c>
      <c r="D5" s="67"/>
      <c r="E5" s="67" t="s">
        <v>0</v>
      </c>
      <c r="F5" s="67" t="s">
        <v>1</v>
      </c>
      <c r="G5" s="67" t="s">
        <v>2</v>
      </c>
      <c r="H5" s="67" t="s">
        <v>3</v>
      </c>
      <c r="I5" s="67" t="s">
        <v>4</v>
      </c>
      <c r="J5" s="67"/>
      <c r="K5" s="67" t="s">
        <v>347</v>
      </c>
    </row>
    <row r="6" spans="1:23" x14ac:dyDescent="0.35">
      <c r="B6" s="142" t="s">
        <v>383</v>
      </c>
      <c r="C6" s="40" t="s">
        <v>74</v>
      </c>
      <c r="D6" s="40"/>
      <c r="E6" s="40">
        <f>COUNTIFS('Fleet schedule'!$D$5:$D$460,'Reset RIN'!$C6,'Fleet schedule'!$F$5:$F$460,"UE",'Fleet schedule'!G$5:G$460,"&gt;0")</f>
        <v>17</v>
      </c>
      <c r="F6" s="40">
        <f>COUNTIFS('Fleet schedule'!$D$5:$D$460,'Reset RIN'!$C6,'Fleet schedule'!$F$5:$F$460,"UE",'Fleet schedule'!H$5:H$460,"&gt;0")</f>
        <v>3</v>
      </c>
      <c r="G6" s="40">
        <f>COUNTIFS('Fleet schedule'!$D$5:$D$460,'Reset RIN'!$C6,'Fleet schedule'!$F$5:$F$460,"UE",'Fleet schedule'!I$5:I$460,"&gt;0")</f>
        <v>7</v>
      </c>
      <c r="H6" s="40">
        <f>COUNTIFS('Fleet schedule'!$D$5:$D$460,'Reset RIN'!$C6,'Fleet schedule'!$F$5:$F$460,"UE",'Fleet schedule'!J$5:J$460,"&gt;0")</f>
        <v>4</v>
      </c>
      <c r="I6" s="40">
        <f>COUNTIFS('Fleet schedule'!$D$5:$D$460,'Reset RIN'!$C6,'Fleet schedule'!$F$5:$F$460,"UE",'Fleet schedule'!K$5:K$460,"&gt;0")</f>
        <v>3</v>
      </c>
      <c r="J6" s="40"/>
      <c r="K6" s="40">
        <f>SUM(E6:I6)</f>
        <v>34</v>
      </c>
    </row>
    <row r="7" spans="1:23" x14ac:dyDescent="0.35">
      <c r="B7" s="143"/>
      <c r="C7" s="101" t="s">
        <v>99</v>
      </c>
      <c r="D7" s="101"/>
      <c r="E7" s="101">
        <f>COUNTIFS('Fleet schedule'!$D$5:$D$460,'Reset RIN'!$C7,'Fleet schedule'!$F$5:$F$460,"UE",'Fleet schedule'!G$5:G$460,"&gt;0")</f>
        <v>16</v>
      </c>
      <c r="F7" s="101">
        <f>COUNTIFS('Fleet schedule'!$D$5:$D$460,'Reset RIN'!$C7,'Fleet schedule'!$F$5:$F$460,"UE",'Fleet schedule'!H$5:H$460,"&gt;0")</f>
        <v>8</v>
      </c>
      <c r="G7" s="101">
        <f>COUNTIFS('Fleet schedule'!$D$5:$D$460,'Reset RIN'!$C7,'Fleet schedule'!$F$5:$F$460,"UE",'Fleet schedule'!I$5:I$460,"&gt;0")</f>
        <v>3</v>
      </c>
      <c r="H7" s="101">
        <f>COUNTIFS('Fleet schedule'!$D$5:$D$460,'Reset RIN'!$C7,'Fleet schedule'!$F$5:$F$460,"UE",'Fleet schedule'!J$5:J$460,"&gt;0")</f>
        <v>1</v>
      </c>
      <c r="I7" s="101">
        <f>COUNTIFS('Fleet schedule'!$D$5:$D$460,'Reset RIN'!$C7,'Fleet schedule'!$F$5:$F$460,"UE",'Fleet schedule'!K$5:K$460,"&gt;0")</f>
        <v>14</v>
      </c>
      <c r="K7" s="101">
        <f t="shared" ref="K7:K10" si="0">SUM(E7:I7)</f>
        <v>42</v>
      </c>
    </row>
    <row r="8" spans="1:23" x14ac:dyDescent="0.35">
      <c r="B8" s="143"/>
      <c r="C8" s="101" t="s">
        <v>21</v>
      </c>
      <c r="D8" s="101"/>
      <c r="E8" s="101">
        <f>COUNTIFS('Fleet schedule'!$D$5:$D$460,'Reset RIN'!$C8,'Fleet schedule'!$F$5:$F$460,"UE",'Fleet schedule'!G$5:G$460,"&gt;0")</f>
        <v>0</v>
      </c>
      <c r="F8" s="101">
        <f>COUNTIFS('Fleet schedule'!$D$5:$D$460,'Reset RIN'!$C8,'Fleet schedule'!$F$5:$F$460,"UE",'Fleet schedule'!H$5:H$460,"&gt;0")</f>
        <v>0</v>
      </c>
      <c r="G8" s="101">
        <f>COUNTIFS('Fleet schedule'!$D$5:$D$460,'Reset RIN'!$C8,'Fleet schedule'!$F$5:$F$460,"UE",'Fleet schedule'!I$5:I$460,"&gt;0")</f>
        <v>0</v>
      </c>
      <c r="H8" s="101">
        <f>COUNTIFS('Fleet schedule'!$D$5:$D$460,'Reset RIN'!$C8,'Fleet schedule'!$F$5:$F$460,"UE",'Fleet schedule'!J$5:J$460,"&gt;0")</f>
        <v>0</v>
      </c>
      <c r="I8" s="101">
        <f>COUNTIFS('Fleet schedule'!$D$5:$D$460,'Reset RIN'!$C8,'Fleet schedule'!$F$5:$F$460,"UE",'Fleet schedule'!K$5:K$460,"&gt;0")</f>
        <v>0</v>
      </c>
      <c r="K8" s="101">
        <f t="shared" si="0"/>
        <v>0</v>
      </c>
    </row>
    <row r="9" spans="1:23" x14ac:dyDescent="0.35">
      <c r="B9" s="143"/>
      <c r="C9" s="101" t="s">
        <v>22</v>
      </c>
      <c r="D9" s="101"/>
      <c r="E9" s="101">
        <f>COUNTIFS('Fleet schedule'!$D$5:$D$460,'Reset RIN'!$C9,'Fleet schedule'!$F$5:$F$460,"UE",'Fleet schedule'!G$5:G$460,"&gt;0")</f>
        <v>4</v>
      </c>
      <c r="F9" s="101">
        <f>COUNTIFS('Fleet schedule'!$D$5:$D$460,'Reset RIN'!$C9,'Fleet schedule'!$F$5:$F$460,"UE",'Fleet schedule'!H$5:H$460,"&gt;0")</f>
        <v>4</v>
      </c>
      <c r="G9" s="101">
        <f>COUNTIFS('Fleet schedule'!$D$5:$D$460,'Reset RIN'!$C9,'Fleet schedule'!$F$5:$F$460,"UE",'Fleet schedule'!I$5:I$460,"&gt;0")</f>
        <v>3</v>
      </c>
      <c r="H9" s="101">
        <f>COUNTIFS('Fleet schedule'!$D$5:$D$460,'Reset RIN'!$C9,'Fleet schedule'!$F$5:$F$460,"UE",'Fleet schedule'!J$5:J$460,"&gt;0")</f>
        <v>5</v>
      </c>
      <c r="I9" s="101">
        <f>COUNTIFS('Fleet schedule'!$D$5:$D$460,'Reset RIN'!$C9,'Fleet schedule'!$F$5:$F$460,"UE",'Fleet schedule'!K$5:K$460,"&gt;0")</f>
        <v>1</v>
      </c>
      <c r="K9" s="101">
        <f t="shared" si="0"/>
        <v>17</v>
      </c>
    </row>
    <row r="10" spans="1:23" x14ac:dyDescent="0.35">
      <c r="B10" s="143"/>
      <c r="C10" s="101" t="s">
        <v>72</v>
      </c>
      <c r="D10" s="101"/>
      <c r="E10" s="101">
        <f>COUNTIFS('Fleet schedule'!$D$5:$D$460,'Reset RIN'!$C10,'Fleet schedule'!$F$5:$F$460,"UE",'Fleet schedule'!G$5:G$460,"&gt;0")</f>
        <v>1</v>
      </c>
      <c r="F10" s="101">
        <f>COUNTIFS('Fleet schedule'!$D$5:$D$460,'Reset RIN'!$C10,'Fleet schedule'!$F$5:$F$460,"UE",'Fleet schedule'!H$5:H$460,"&gt;0")</f>
        <v>4</v>
      </c>
      <c r="G10" s="101">
        <f>COUNTIFS('Fleet schedule'!$D$5:$D$460,'Reset RIN'!$C10,'Fleet schedule'!$F$5:$F$460,"UE",'Fleet schedule'!I$5:I$460,"&gt;0")</f>
        <v>1</v>
      </c>
      <c r="H10" s="101">
        <f>COUNTIFS('Fleet schedule'!$D$5:$D$460,'Reset RIN'!$C10,'Fleet schedule'!$F$5:$F$460,"UE",'Fleet schedule'!J$5:J$460,"&gt;0")</f>
        <v>0</v>
      </c>
      <c r="I10" s="101">
        <f>COUNTIFS('Fleet schedule'!$D$5:$D$460,'Reset RIN'!$C10,'Fleet schedule'!$F$5:$F$460,"UE",'Fleet schedule'!K$5:K$460,"&gt;0")</f>
        <v>3</v>
      </c>
      <c r="K10" s="101">
        <f t="shared" si="0"/>
        <v>9</v>
      </c>
    </row>
    <row r="11" spans="1:23" x14ac:dyDescent="0.35">
      <c r="B11" s="102"/>
      <c r="C11" s="103" t="s">
        <v>387</v>
      </c>
      <c r="D11" s="40"/>
      <c r="E11" s="40">
        <f>SUM(E6:E10)</f>
        <v>38</v>
      </c>
      <c r="F11" s="40">
        <f t="shared" ref="F11:K11" si="1">SUM(F6:F10)</f>
        <v>19</v>
      </c>
      <c r="G11" s="40">
        <f t="shared" si="1"/>
        <v>14</v>
      </c>
      <c r="H11" s="40">
        <f t="shared" si="1"/>
        <v>10</v>
      </c>
      <c r="I11" s="40">
        <f t="shared" si="1"/>
        <v>21</v>
      </c>
      <c r="J11" s="40"/>
      <c r="K11" s="40">
        <f t="shared" si="1"/>
        <v>102</v>
      </c>
    </row>
    <row r="13" spans="1:23" x14ac:dyDescent="0.35">
      <c r="B13" s="142" t="s">
        <v>384</v>
      </c>
      <c r="C13" s="40" t="s">
        <v>74</v>
      </c>
      <c r="D13" s="40"/>
      <c r="E13" s="40">
        <f>COUNTIFS('Fleet schedule'!$D$5:$D$460,'Reset RIN'!$C13,'Fleet schedule'!$F$5:$F$460,"Zinfra",'Fleet schedule'!G$5:G$460,"&gt;0")</f>
        <v>1</v>
      </c>
      <c r="F13" s="40">
        <f>COUNTIFS('Fleet schedule'!$D$5:$D$460,'Reset RIN'!$C13,'Fleet schedule'!$F$5:$F$460,"Zinfra",'Fleet schedule'!H$5:H$460,"&gt;0")</f>
        <v>0</v>
      </c>
      <c r="G13" s="40">
        <f>COUNTIFS('Fleet schedule'!$D$5:$D$460,'Reset RIN'!$C13,'Fleet schedule'!$F$5:$F$460,"Zinfra",'Fleet schedule'!I$5:I$460,"&gt;0")</f>
        <v>1</v>
      </c>
      <c r="H13" s="40">
        <f>COUNTIFS('Fleet schedule'!$D$5:$D$460,'Reset RIN'!$C13,'Fleet schedule'!$F$5:$F$460,"Zinfra",'Fleet schedule'!J$5:J$460,"&gt;0")</f>
        <v>3</v>
      </c>
      <c r="I13" s="40">
        <f>COUNTIFS('Fleet schedule'!$D$5:$D$460,'Reset RIN'!$C13,'Fleet schedule'!$F$5:$F$460,"Zinfra",'Fleet schedule'!K$5:K$460,"&gt;0")</f>
        <v>7</v>
      </c>
      <c r="J13" s="40"/>
      <c r="K13" s="40">
        <f>SUM(E13:I13)</f>
        <v>12</v>
      </c>
    </row>
    <row r="14" spans="1:23" x14ac:dyDescent="0.35">
      <c r="B14" s="143"/>
      <c r="C14" s="101" t="s">
        <v>99</v>
      </c>
      <c r="D14" s="101"/>
      <c r="E14" s="101">
        <f>COUNTIFS('Fleet schedule'!$D$5:$D$460,'Reset RIN'!$C14,'Fleet schedule'!$F$5:$F$460,"Zinfra",'Fleet schedule'!G$5:G$460,"&gt;0")</f>
        <v>21</v>
      </c>
      <c r="F14" s="101">
        <f>COUNTIFS('Fleet schedule'!$D$5:$D$460,'Reset RIN'!$C14,'Fleet schedule'!$F$5:$F$460,"Zinfra",'Fleet schedule'!H$5:H$460,"&gt;0")</f>
        <v>3</v>
      </c>
      <c r="G14" s="101">
        <f>COUNTIFS('Fleet schedule'!$D$5:$D$460,'Reset RIN'!$C14,'Fleet schedule'!$F$5:$F$460,"Zinfra",'Fleet schedule'!I$5:I$460,"&gt;0")</f>
        <v>4</v>
      </c>
      <c r="H14" s="101">
        <f>COUNTIFS('Fleet schedule'!$D$5:$D$460,'Reset RIN'!$C14,'Fleet schedule'!$F$5:$F$460,"Zinfra",'Fleet schedule'!J$5:J$460,"&gt;0")</f>
        <v>59</v>
      </c>
      <c r="I14" s="101">
        <f>COUNTIFS('Fleet schedule'!$D$5:$D$460,'Reset RIN'!$C14,'Fleet schedule'!$F$5:$F$460,"Zinfra",'Fleet schedule'!K$5:K$460,"&gt;0")</f>
        <v>103</v>
      </c>
      <c r="K14" s="101">
        <f t="shared" ref="K14:K17" si="2">SUM(E14:I14)</f>
        <v>190</v>
      </c>
    </row>
    <row r="15" spans="1:23" x14ac:dyDescent="0.35">
      <c r="B15" s="143"/>
      <c r="C15" s="101" t="s">
        <v>21</v>
      </c>
      <c r="D15" s="101"/>
      <c r="E15" s="101">
        <f>COUNTIFS('Fleet schedule'!$D$5:$D$460,'Reset RIN'!$C15,'Fleet schedule'!$F$5:$F$460,"Zinfra",'Fleet schedule'!G$5:G$460,"&gt;0")</f>
        <v>0</v>
      </c>
      <c r="F15" s="101">
        <f>COUNTIFS('Fleet schedule'!$D$5:$D$460,'Reset RIN'!$C15,'Fleet schedule'!$F$5:$F$460,"Zinfra",'Fleet schedule'!H$5:H$460,"&gt;0")</f>
        <v>0</v>
      </c>
      <c r="G15" s="101">
        <f>COUNTIFS('Fleet schedule'!$D$5:$D$460,'Reset RIN'!$C15,'Fleet schedule'!$F$5:$F$460,"Zinfra",'Fleet schedule'!I$5:I$460,"&gt;0")</f>
        <v>0</v>
      </c>
      <c r="H15" s="101">
        <f>COUNTIFS('Fleet schedule'!$D$5:$D$460,'Reset RIN'!$C15,'Fleet schedule'!$F$5:$F$460,"Zinfra",'Fleet schedule'!J$5:J$460,"&gt;0")</f>
        <v>0</v>
      </c>
      <c r="I15" s="101">
        <f>COUNTIFS('Fleet schedule'!$D$5:$D$460,'Reset RIN'!$C15,'Fleet schedule'!$F$5:$F$460,"Zinfra",'Fleet schedule'!K$5:K$460,"&gt;0")</f>
        <v>0</v>
      </c>
      <c r="K15" s="101">
        <f t="shared" ref="K15" si="3">SUM(E15:I15)</f>
        <v>0</v>
      </c>
    </row>
    <row r="16" spans="1:23" x14ac:dyDescent="0.35">
      <c r="B16" s="143"/>
      <c r="C16" s="101" t="s">
        <v>22</v>
      </c>
      <c r="D16" s="101"/>
      <c r="E16" s="101">
        <f>COUNTIFS('Fleet schedule'!$D$5:$D$460,'Reset RIN'!$C16,'Fleet schedule'!$F$5:$F$460,"Zinfra",'Fleet schedule'!G$5:G$460,"&gt;0")</f>
        <v>2</v>
      </c>
      <c r="F16" s="101">
        <f>COUNTIFS('Fleet schedule'!$D$5:$D$460,'Reset RIN'!$C16,'Fleet schedule'!$F$5:$F$460,"Zinfra",'Fleet schedule'!H$5:H$460,"&gt;0")</f>
        <v>7</v>
      </c>
      <c r="G16" s="101">
        <f>COUNTIFS('Fleet schedule'!$D$5:$D$460,'Reset RIN'!$C16,'Fleet schedule'!$F$5:$F$460,"Zinfra",'Fleet schedule'!I$5:I$460,"&gt;0")</f>
        <v>3</v>
      </c>
      <c r="H16" s="101">
        <f>COUNTIFS('Fleet schedule'!$D$5:$D$460,'Reset RIN'!$C16,'Fleet schedule'!$F$5:$F$460,"Zinfra",'Fleet schedule'!J$5:J$460,"&gt;0")</f>
        <v>0</v>
      </c>
      <c r="I16" s="101">
        <f>COUNTIFS('Fleet schedule'!$D$5:$D$460,'Reset RIN'!$C16,'Fleet schedule'!$F$5:$F$460,"Zinfra",'Fleet schedule'!K$5:K$460,"&gt;0")</f>
        <v>15</v>
      </c>
      <c r="K16" s="101">
        <f t="shared" si="2"/>
        <v>27</v>
      </c>
    </row>
    <row r="17" spans="2:11" x14ac:dyDescent="0.35">
      <c r="B17" s="143"/>
      <c r="C17" s="101" t="s">
        <v>72</v>
      </c>
      <c r="D17" s="101"/>
      <c r="E17" s="101">
        <f>COUNTIFS('Fleet schedule'!$D$5:$D$460,'Reset RIN'!$C17,'Fleet schedule'!$F$5:$F$460,"Zinfra",'Fleet schedule'!G$5:G$460,"&gt;0")</f>
        <v>1</v>
      </c>
      <c r="F17" s="101">
        <f>COUNTIFS('Fleet schedule'!$D$5:$D$460,'Reset RIN'!$C17,'Fleet schedule'!$F$5:$F$460,"Zinfra",'Fleet schedule'!H$5:H$460,"&gt;0")</f>
        <v>2</v>
      </c>
      <c r="G17" s="101">
        <f>COUNTIFS('Fleet schedule'!$D$5:$D$460,'Reset RIN'!$C17,'Fleet schedule'!$F$5:$F$460,"Zinfra",'Fleet schedule'!I$5:I$460,"&gt;0")</f>
        <v>5</v>
      </c>
      <c r="H17" s="101">
        <f>COUNTIFS('Fleet schedule'!$D$5:$D$460,'Reset RIN'!$C17,'Fleet schedule'!$F$5:$F$460,"Zinfra",'Fleet schedule'!J$5:J$460,"&gt;0")</f>
        <v>2</v>
      </c>
      <c r="I17" s="101">
        <f>COUNTIFS('Fleet schedule'!$D$5:$D$460,'Reset RIN'!$C17,'Fleet schedule'!$F$5:$F$460,"Zinfra",'Fleet schedule'!K$5:K$460,"&gt;0")</f>
        <v>20</v>
      </c>
      <c r="K17" s="101">
        <f t="shared" si="2"/>
        <v>30</v>
      </c>
    </row>
    <row r="18" spans="2:11" x14ac:dyDescent="0.35">
      <c r="B18" s="102"/>
      <c r="C18" s="103" t="s">
        <v>387</v>
      </c>
      <c r="D18" s="40"/>
      <c r="E18" s="40">
        <f>SUM(E13:E17)</f>
        <v>25</v>
      </c>
      <c r="F18" s="40">
        <f t="shared" ref="F18" si="4">SUM(F13:F17)</f>
        <v>12</v>
      </c>
      <c r="G18" s="40">
        <f t="shared" ref="G18" si="5">SUM(G13:G17)</f>
        <v>13</v>
      </c>
      <c r="H18" s="40">
        <f t="shared" ref="H18" si="6">SUM(H13:H17)</f>
        <v>64</v>
      </c>
      <c r="I18" s="40">
        <f t="shared" ref="I18" si="7">SUM(I13:I17)</f>
        <v>145</v>
      </c>
      <c r="J18" s="40"/>
      <c r="K18" s="40">
        <f t="shared" ref="K18" si="8">SUM(K13:K17)</f>
        <v>259</v>
      </c>
    </row>
    <row r="20" spans="2:11" x14ac:dyDescent="0.35">
      <c r="B20" s="142" t="s">
        <v>385</v>
      </c>
      <c r="C20" s="40" t="s">
        <v>74</v>
      </c>
      <c r="D20" s="40"/>
      <c r="E20" s="40">
        <f>E6+E13</f>
        <v>18</v>
      </c>
      <c r="F20" s="40">
        <f t="shared" ref="F20:I20" si="9">F6+F13</f>
        <v>3</v>
      </c>
      <c r="G20" s="40">
        <f t="shared" si="9"/>
        <v>8</v>
      </c>
      <c r="H20" s="40">
        <f t="shared" si="9"/>
        <v>7</v>
      </c>
      <c r="I20" s="40">
        <f t="shared" si="9"/>
        <v>10</v>
      </c>
      <c r="J20" s="40"/>
      <c r="K20" s="40">
        <f>SUM(E20:I20)</f>
        <v>46</v>
      </c>
    </row>
    <row r="21" spans="2:11" x14ac:dyDescent="0.35">
      <c r="B21" s="143"/>
      <c r="C21" s="101" t="s">
        <v>99</v>
      </c>
      <c r="D21" s="101"/>
      <c r="E21" s="101">
        <f t="shared" ref="E21:I22" si="10">E7+E14</f>
        <v>37</v>
      </c>
      <c r="F21" s="101">
        <f t="shared" si="10"/>
        <v>11</v>
      </c>
      <c r="G21" s="101">
        <f t="shared" si="10"/>
        <v>7</v>
      </c>
      <c r="H21" s="101">
        <f t="shared" si="10"/>
        <v>60</v>
      </c>
      <c r="I21" s="101">
        <f t="shared" si="10"/>
        <v>117</v>
      </c>
      <c r="K21" s="101">
        <f t="shared" ref="K21:K24" si="11">SUM(E21:I21)</f>
        <v>232</v>
      </c>
    </row>
    <row r="22" spans="2:11" x14ac:dyDescent="0.35">
      <c r="B22" s="143"/>
      <c r="C22" s="101" t="s">
        <v>21</v>
      </c>
      <c r="D22" s="101"/>
      <c r="E22" s="101">
        <f t="shared" si="10"/>
        <v>0</v>
      </c>
      <c r="F22" s="101">
        <f t="shared" si="10"/>
        <v>0</v>
      </c>
      <c r="G22" s="101">
        <f t="shared" si="10"/>
        <v>0</v>
      </c>
      <c r="H22" s="101">
        <f t="shared" si="10"/>
        <v>0</v>
      </c>
      <c r="I22" s="101">
        <f t="shared" si="10"/>
        <v>0</v>
      </c>
      <c r="K22" s="101">
        <f t="shared" ref="K22" si="12">SUM(E22:I22)</f>
        <v>0</v>
      </c>
    </row>
    <row r="23" spans="2:11" x14ac:dyDescent="0.35">
      <c r="B23" s="143"/>
      <c r="C23" s="101" t="s">
        <v>22</v>
      </c>
      <c r="D23" s="101"/>
      <c r="E23" s="101">
        <f t="shared" ref="E23:I23" si="13">E9+E16</f>
        <v>6</v>
      </c>
      <c r="F23" s="101">
        <f t="shared" si="13"/>
        <v>11</v>
      </c>
      <c r="G23" s="101">
        <f t="shared" si="13"/>
        <v>6</v>
      </c>
      <c r="H23" s="101">
        <f t="shared" si="13"/>
        <v>5</v>
      </c>
      <c r="I23" s="101">
        <f t="shared" si="13"/>
        <v>16</v>
      </c>
      <c r="K23" s="101">
        <f t="shared" si="11"/>
        <v>44</v>
      </c>
    </row>
    <row r="24" spans="2:11" x14ac:dyDescent="0.35">
      <c r="B24" s="143"/>
      <c r="C24" s="101" t="s">
        <v>72</v>
      </c>
      <c r="D24" s="101"/>
      <c r="E24" s="101">
        <f t="shared" ref="E24:I24" si="14">E10+E17</f>
        <v>2</v>
      </c>
      <c r="F24" s="101">
        <f t="shared" si="14"/>
        <v>6</v>
      </c>
      <c r="G24" s="101">
        <f t="shared" si="14"/>
        <v>6</v>
      </c>
      <c r="H24" s="101">
        <f t="shared" si="14"/>
        <v>2</v>
      </c>
      <c r="I24" s="101">
        <f t="shared" si="14"/>
        <v>23</v>
      </c>
      <c r="K24" s="101">
        <f t="shared" si="11"/>
        <v>39</v>
      </c>
    </row>
    <row r="25" spans="2:11" x14ac:dyDescent="0.35">
      <c r="B25" s="102"/>
      <c r="C25" s="103" t="s">
        <v>387</v>
      </c>
      <c r="D25" s="40"/>
      <c r="E25" s="40">
        <f>SUM(E20:E24)</f>
        <v>63</v>
      </c>
      <c r="F25" s="40">
        <f t="shared" ref="F25" si="15">SUM(F20:F24)</f>
        <v>31</v>
      </c>
      <c r="G25" s="40">
        <f t="shared" ref="G25" si="16">SUM(G20:G24)</f>
        <v>27</v>
      </c>
      <c r="H25" s="40">
        <f t="shared" ref="H25" si="17">SUM(H20:H24)</f>
        <v>74</v>
      </c>
      <c r="I25" s="40">
        <f t="shared" ref="I25" si="18">SUM(I20:I24)</f>
        <v>166</v>
      </c>
      <c r="J25" s="40"/>
      <c r="K25" s="40">
        <f t="shared" ref="K25" si="19">SUM(K20:K24)</f>
        <v>361</v>
      </c>
    </row>
    <row r="27" spans="2:11" x14ac:dyDescent="0.35">
      <c r="B27" s="142" t="s">
        <v>386</v>
      </c>
      <c r="C27" s="40" t="s">
        <v>74</v>
      </c>
      <c r="D27" s="40"/>
      <c r="E27" s="40">
        <f>COUNTIFS('Fleet schedule'!$D$5:$D$460,'Reset RIN'!$C27,'Fleet schedule'!$F$5:$F$460,"UE")+'Reset RIN'!E13</f>
        <v>36</v>
      </c>
      <c r="F27" s="40">
        <f>E27+F13</f>
        <v>36</v>
      </c>
      <c r="G27" s="40">
        <f t="shared" ref="G27:I27" si="20">F27+G13</f>
        <v>37</v>
      </c>
      <c r="H27" s="40">
        <f t="shared" si="20"/>
        <v>40</v>
      </c>
      <c r="I27" s="40">
        <f t="shared" si="20"/>
        <v>47</v>
      </c>
    </row>
    <row r="28" spans="2:11" x14ac:dyDescent="0.35">
      <c r="B28" s="143"/>
      <c r="C28" s="101" t="s">
        <v>99</v>
      </c>
      <c r="D28" s="101"/>
      <c r="E28" s="101">
        <f>COUNTIFS('Fleet schedule'!$D$5:$D$460,'Reset RIN'!$C28,'Fleet schedule'!$F$5:$F$460,"UE")+'Reset RIN'!E14</f>
        <v>101</v>
      </c>
      <c r="F28" s="101">
        <f t="shared" ref="F28:I29" si="21">E28+F14</f>
        <v>104</v>
      </c>
      <c r="G28" s="101">
        <f t="shared" si="21"/>
        <v>108</v>
      </c>
      <c r="H28" s="101">
        <f t="shared" si="21"/>
        <v>167</v>
      </c>
      <c r="I28" s="101">
        <f t="shared" si="21"/>
        <v>270</v>
      </c>
    </row>
    <row r="29" spans="2:11" x14ac:dyDescent="0.35">
      <c r="B29" s="143"/>
      <c r="C29" s="101" t="s">
        <v>21</v>
      </c>
      <c r="D29" s="101"/>
      <c r="E29" s="101">
        <f>COUNTIFS('Fleet schedule'!$D$5:$D$460,'Reset RIN'!$C29,'Fleet schedule'!$F$5:$F$460,"UE")+'Reset RIN'!E15</f>
        <v>0</v>
      </c>
      <c r="F29" s="101">
        <f t="shared" si="21"/>
        <v>0</v>
      </c>
      <c r="G29" s="101">
        <f t="shared" si="21"/>
        <v>0</v>
      </c>
      <c r="H29" s="101">
        <f t="shared" si="21"/>
        <v>0</v>
      </c>
      <c r="I29" s="101">
        <f t="shared" si="21"/>
        <v>0</v>
      </c>
    </row>
    <row r="30" spans="2:11" x14ac:dyDescent="0.35">
      <c r="B30" s="143"/>
      <c r="C30" s="101" t="s">
        <v>22</v>
      </c>
      <c r="D30" s="101"/>
      <c r="E30" s="101">
        <f>COUNTIFS('Fleet schedule'!$D$5:$D$460,'Reset RIN'!$C30,'Fleet schedule'!$F$5:$F$460,"UE")+'Reset RIN'!E16</f>
        <v>49</v>
      </c>
      <c r="F30" s="101">
        <f t="shared" ref="F30:I30" si="22">E30+F16</f>
        <v>56</v>
      </c>
      <c r="G30" s="101">
        <f t="shared" si="22"/>
        <v>59</v>
      </c>
      <c r="H30" s="101">
        <f t="shared" si="22"/>
        <v>59</v>
      </c>
      <c r="I30" s="101">
        <f t="shared" si="22"/>
        <v>74</v>
      </c>
    </row>
    <row r="31" spans="2:11" x14ac:dyDescent="0.35">
      <c r="B31" s="143"/>
      <c r="C31" s="101" t="s">
        <v>72</v>
      </c>
      <c r="D31" s="101"/>
      <c r="E31" s="101">
        <f>COUNTIFS('Fleet schedule'!$D$5:$D$460,'Reset RIN'!$C31,'Fleet schedule'!$F$5:$F$460,"UE")+'Reset RIN'!E17</f>
        <v>35</v>
      </c>
      <c r="F31" s="101">
        <f t="shared" ref="F31:I31" si="23">E31+F17</f>
        <v>37</v>
      </c>
      <c r="G31" s="101">
        <f t="shared" si="23"/>
        <v>42</v>
      </c>
      <c r="H31" s="101">
        <f t="shared" si="23"/>
        <v>44</v>
      </c>
      <c r="I31" s="101">
        <f t="shared" si="23"/>
        <v>64</v>
      </c>
    </row>
    <row r="32" spans="2:11" x14ac:dyDescent="0.35">
      <c r="C32" s="103" t="s">
        <v>387</v>
      </c>
      <c r="D32" s="40"/>
      <c r="E32" s="40">
        <f>SUM(E27:E31)</f>
        <v>221</v>
      </c>
      <c r="F32" s="40">
        <f t="shared" ref="F32" si="24">SUM(F27:F31)</f>
        <v>233</v>
      </c>
      <c r="G32" s="40">
        <f t="shared" ref="G32" si="25">SUM(G27:G31)</f>
        <v>246</v>
      </c>
      <c r="H32" s="40">
        <f t="shared" ref="H32" si="26">SUM(H27:H31)</f>
        <v>310</v>
      </c>
      <c r="I32" s="40">
        <f t="shared" ref="I32" si="27">SUM(I27:I31)</f>
        <v>455</v>
      </c>
    </row>
    <row r="34" spans="2:10" x14ac:dyDescent="0.35">
      <c r="B34" s="142" t="s">
        <v>389</v>
      </c>
      <c r="C34" s="40" t="s">
        <v>74</v>
      </c>
      <c r="D34" s="40"/>
      <c r="E34" s="40">
        <f>COUNTIFS('Fleet schedule'!$D$5:$D$460,'Reset RIN'!$C27,'Fleet schedule'!$F$5:$F$460,"Zinfra")-E13</f>
        <v>11</v>
      </c>
      <c r="F34" s="40">
        <f>E34-F13</f>
        <v>11</v>
      </c>
      <c r="G34" s="40">
        <f t="shared" ref="G34:I34" si="28">F34-G13</f>
        <v>10</v>
      </c>
      <c r="H34" s="40">
        <f t="shared" si="28"/>
        <v>7</v>
      </c>
      <c r="I34" s="40">
        <f t="shared" si="28"/>
        <v>0</v>
      </c>
    </row>
    <row r="35" spans="2:10" x14ac:dyDescent="0.35">
      <c r="B35" s="143"/>
      <c r="C35" s="101" t="s">
        <v>99</v>
      </c>
      <c r="D35" s="101"/>
      <c r="E35" s="101">
        <f>COUNTIFS('Fleet schedule'!$D$5:$D$460,'Reset RIN'!$C28,'Fleet schedule'!$F$5:$F$460,"Zinfra")-E14</f>
        <v>169</v>
      </c>
      <c r="F35" s="101">
        <f t="shared" ref="F35:I36" si="29">E35-F14</f>
        <v>166</v>
      </c>
      <c r="G35" s="101">
        <f t="shared" si="29"/>
        <v>162</v>
      </c>
      <c r="H35" s="101">
        <f t="shared" si="29"/>
        <v>103</v>
      </c>
      <c r="I35" s="101">
        <f t="shared" si="29"/>
        <v>0</v>
      </c>
    </row>
    <row r="36" spans="2:10" x14ac:dyDescent="0.35">
      <c r="B36" s="143"/>
      <c r="C36" s="101" t="s">
        <v>21</v>
      </c>
      <c r="D36" s="101"/>
      <c r="E36" s="101">
        <f>COUNTIFS('Fleet schedule'!$D$5:$D$460,'Reset RIN'!$C29,'Fleet schedule'!$F$5:$F$460,"Zinfra")-E15</f>
        <v>0</v>
      </c>
      <c r="F36" s="101">
        <f t="shared" si="29"/>
        <v>0</v>
      </c>
      <c r="G36" s="101">
        <f t="shared" si="29"/>
        <v>0</v>
      </c>
      <c r="H36" s="101">
        <f t="shared" si="29"/>
        <v>0</v>
      </c>
      <c r="I36" s="101">
        <f t="shared" si="29"/>
        <v>0</v>
      </c>
    </row>
    <row r="37" spans="2:10" x14ac:dyDescent="0.35">
      <c r="B37" s="143"/>
      <c r="C37" s="101" t="s">
        <v>22</v>
      </c>
      <c r="D37" s="101"/>
      <c r="E37" s="101">
        <f>COUNTIFS('Fleet schedule'!$D$5:$D$460,'Reset RIN'!$C30,'Fleet schedule'!$F$5:$F$460,"Zinfra")-E16</f>
        <v>25</v>
      </c>
      <c r="F37" s="101">
        <f t="shared" ref="F37:I37" si="30">E37-F16</f>
        <v>18</v>
      </c>
      <c r="G37" s="101">
        <f t="shared" si="30"/>
        <v>15</v>
      </c>
      <c r="H37" s="101">
        <f t="shared" si="30"/>
        <v>15</v>
      </c>
      <c r="I37" s="101">
        <f t="shared" si="30"/>
        <v>0</v>
      </c>
    </row>
    <row r="38" spans="2:10" x14ac:dyDescent="0.35">
      <c r="B38" s="143"/>
      <c r="C38" s="101" t="s">
        <v>72</v>
      </c>
      <c r="D38" s="101"/>
      <c r="E38" s="101">
        <f>COUNTIFS('Fleet schedule'!$D$5:$D$460,'Reset RIN'!$C31,'Fleet schedule'!$F$5:$F$460,"Zinfra")-E17</f>
        <v>29</v>
      </c>
      <c r="F38" s="101">
        <f t="shared" ref="F38:I38" si="31">E38-F17</f>
        <v>27</v>
      </c>
      <c r="G38" s="101">
        <f t="shared" si="31"/>
        <v>22</v>
      </c>
      <c r="H38" s="101">
        <f t="shared" si="31"/>
        <v>20</v>
      </c>
      <c r="I38" s="101">
        <f t="shared" si="31"/>
        <v>0</v>
      </c>
    </row>
    <row r="39" spans="2:10" x14ac:dyDescent="0.35">
      <c r="C39" s="103" t="s">
        <v>387</v>
      </c>
      <c r="D39" s="40"/>
      <c r="E39" s="40">
        <f>SUM(E34:E38)</f>
        <v>234</v>
      </c>
      <c r="F39" s="40">
        <f t="shared" ref="F39" si="32">SUM(F34:F38)</f>
        <v>222</v>
      </c>
      <c r="G39" s="40">
        <f t="shared" ref="G39" si="33">SUM(G34:G38)</f>
        <v>209</v>
      </c>
      <c r="H39" s="40">
        <f t="shared" ref="H39" si="34">SUM(H34:H38)</f>
        <v>145</v>
      </c>
      <c r="I39" s="40">
        <f t="shared" ref="I39" si="35">SUM(I34:I38)</f>
        <v>0</v>
      </c>
    </row>
    <row r="40" spans="2:10" x14ac:dyDescent="0.35">
      <c r="C40" s="104" t="s">
        <v>390</v>
      </c>
      <c r="D40" s="105"/>
      <c r="E40" s="105" t="b">
        <f>E39+E32=$I$32</f>
        <v>1</v>
      </c>
      <c r="F40" s="105" t="b">
        <f t="shared" ref="F40:I40" si="36">F39+F32=$I$32</f>
        <v>1</v>
      </c>
      <c r="G40" s="105" t="b">
        <f t="shared" si="36"/>
        <v>1</v>
      </c>
      <c r="H40" s="105" t="b">
        <f t="shared" si="36"/>
        <v>1</v>
      </c>
      <c r="I40" s="105" t="b">
        <f t="shared" si="36"/>
        <v>1</v>
      </c>
    </row>
    <row r="42" spans="2:10" x14ac:dyDescent="0.35">
      <c r="B42" s="142" t="s">
        <v>391</v>
      </c>
      <c r="C42" s="40" t="s">
        <v>74</v>
      </c>
      <c r="D42" s="40"/>
      <c r="E42" s="106">
        <f ca="1">SUM(Costs!E60:E62)*Assumptions!$S32</f>
        <v>1965960.1898949179</v>
      </c>
      <c r="F42" s="106">
        <f ca="1">SUM(Costs!F60:F62)*Assumptions!$S32</f>
        <v>198454.58310900751</v>
      </c>
      <c r="G42" s="106">
        <f ca="1">SUM(Costs!G60:G62)*Assumptions!$S32</f>
        <v>692354.08646222891</v>
      </c>
      <c r="H42" s="106">
        <f ca="1">SUM(Costs!H60:H62)*Assumptions!$S32</f>
        <v>555655.02610287839</v>
      </c>
      <c r="I42" s="106">
        <f ca="1">SUM(Costs!I60:I62)*Assumptions!$S32</f>
        <v>901470.37272390747</v>
      </c>
    </row>
    <row r="43" spans="2:10" x14ac:dyDescent="0.35">
      <c r="B43" s="143"/>
      <c r="C43" s="101" t="s">
        <v>99</v>
      </c>
      <c r="D43" s="101"/>
      <c r="E43" s="107">
        <f>SUM(Costs!E63:E65,Costs!E75)*Assumptions!$S32</f>
        <v>2768370.2079612841</v>
      </c>
      <c r="F43" s="107">
        <f>SUM(Costs!F63:F65,Costs!F75)*Assumptions!$S32</f>
        <v>669973.41314279113</v>
      </c>
      <c r="G43" s="107">
        <f>SUM(Costs!G63:G65,Costs!G75)*Assumptions!$S32</f>
        <v>615440.69346837793</v>
      </c>
      <c r="H43" s="107">
        <f>SUM(Costs!H63:H65,Costs!H75)*Assumptions!$S32</f>
        <v>4709846.3196350364</v>
      </c>
      <c r="I43" s="107">
        <f>SUM(Costs!I63:I65,Costs!I75)*Assumptions!$S32</f>
        <v>8484846.0162801333</v>
      </c>
    </row>
    <row r="44" spans="2:10" x14ac:dyDescent="0.35">
      <c r="B44" s="143"/>
      <c r="C44" s="101" t="s">
        <v>21</v>
      </c>
      <c r="D44" s="101"/>
      <c r="E44" s="107">
        <f>0*Assumptions!$S32</f>
        <v>0</v>
      </c>
      <c r="F44" s="107">
        <f>0*Assumptions!$S32</f>
        <v>0</v>
      </c>
      <c r="G44" s="107">
        <f>0*Assumptions!$S32</f>
        <v>0</v>
      </c>
      <c r="H44" s="107">
        <f>0*Assumptions!$S32</f>
        <v>0</v>
      </c>
      <c r="I44" s="107">
        <f>0*Assumptions!$S32</f>
        <v>0</v>
      </c>
    </row>
    <row r="45" spans="2:10" x14ac:dyDescent="0.35">
      <c r="B45" s="143"/>
      <c r="C45" s="101" t="s">
        <v>22</v>
      </c>
      <c r="D45" s="101"/>
      <c r="E45" s="107">
        <f>SUM(Costs!E69:E71)*Assumptions!$S32</f>
        <v>3561320.4685331089</v>
      </c>
      <c r="F45" s="107">
        <f>SUM(Costs!F69:F71)*Assumptions!$S32</f>
        <v>7022478.7988887243</v>
      </c>
      <c r="G45" s="107">
        <f>SUM(Costs!G69:G71)*Assumptions!$S32</f>
        <v>3500110.2729801964</v>
      </c>
      <c r="H45" s="107">
        <f>SUM(Costs!H69:H71)*Assumptions!$S32</f>
        <v>2504053.4544373425</v>
      </c>
      <c r="I45" s="107">
        <f>SUM(Costs!I69:I71)*Assumptions!$S32</f>
        <v>10116375.955926863</v>
      </c>
    </row>
    <row r="46" spans="2:10" x14ac:dyDescent="0.35">
      <c r="B46" s="143"/>
      <c r="C46" s="101" t="s">
        <v>72</v>
      </c>
      <c r="D46" s="101"/>
      <c r="E46" s="107">
        <f>SUM(Costs!E72:E74)*Assumptions!$S32</f>
        <v>712264.09370662179</v>
      </c>
      <c r="F46" s="107">
        <f>SUM(Costs!F72:F74)*Assumptions!$S32</f>
        <v>3194059.2952156323</v>
      </c>
      <c r="G46" s="107">
        <f>SUM(Costs!G72:G74)*Assumptions!$S32</f>
        <v>1580335.9579115671</v>
      </c>
      <c r="H46" s="107">
        <f>SUM(Costs!H72:H74)*Assumptions!$S32</f>
        <v>890330.11713327724</v>
      </c>
      <c r="I46" s="107">
        <f>SUM(Costs!I72:I74)*Assumptions!$S32</f>
        <v>7745872.0190595128</v>
      </c>
    </row>
    <row r="47" spans="2:10" x14ac:dyDescent="0.35">
      <c r="C47" s="103" t="s">
        <v>387</v>
      </c>
      <c r="D47" s="40"/>
      <c r="E47" s="106">
        <f ca="1">SUM(E42:E46)</f>
        <v>9007914.9600959327</v>
      </c>
      <c r="F47" s="106">
        <f t="shared" ref="F47" ca="1" si="37">SUM(F42:F46)</f>
        <v>11084966.090356156</v>
      </c>
      <c r="G47" s="106">
        <f t="shared" ref="G47" ca="1" si="38">SUM(G42:G46)</f>
        <v>6388241.0108223697</v>
      </c>
      <c r="H47" s="106">
        <f t="shared" ref="H47" ca="1" si="39">SUM(H42:H46)</f>
        <v>8659884.9173085336</v>
      </c>
      <c r="I47" s="106">
        <f t="shared" ref="I47" ca="1" si="40">SUM(I42:I46)</f>
        <v>27248564.363990415</v>
      </c>
      <c r="J47" s="138" t="b">
        <f ca="1">SUM(E47:I47)=Summary!K36*10^6</f>
        <v>1</v>
      </c>
    </row>
    <row r="53" spans="2:9" x14ac:dyDescent="0.35">
      <c r="D53" s="67" t="s">
        <v>412</v>
      </c>
      <c r="E53" s="67" t="s">
        <v>0</v>
      </c>
      <c r="F53" s="67" t="s">
        <v>1</v>
      </c>
      <c r="G53" s="67" t="s">
        <v>2</v>
      </c>
      <c r="H53" s="67" t="s">
        <v>3</v>
      </c>
      <c r="I53" s="67" t="s">
        <v>4</v>
      </c>
    </row>
    <row r="54" spans="2:9" x14ac:dyDescent="0.35">
      <c r="B54" s="49" t="s">
        <v>411</v>
      </c>
      <c r="C54" s="49"/>
      <c r="D54" s="49">
        <v>35</v>
      </c>
      <c r="E54" s="49">
        <f>E27</f>
        <v>36</v>
      </c>
      <c r="F54" s="49">
        <f t="shared" ref="F54:I54" si="41">F27</f>
        <v>36</v>
      </c>
      <c r="G54" s="49">
        <f t="shared" si="41"/>
        <v>37</v>
      </c>
      <c r="H54" s="49">
        <f t="shared" si="41"/>
        <v>40</v>
      </c>
      <c r="I54" s="49">
        <f t="shared" si="41"/>
        <v>47</v>
      </c>
    </row>
    <row r="55" spans="2:9" x14ac:dyDescent="0.35">
      <c r="B55" t="s">
        <v>408</v>
      </c>
      <c r="C55" t="s">
        <v>409</v>
      </c>
      <c r="D55">
        <v>1</v>
      </c>
      <c r="E55">
        <f ca="1">D55+Benefits!F64</f>
        <v>2</v>
      </c>
      <c r="F55">
        <f ca="1">E55+Benefits!G64</f>
        <v>3</v>
      </c>
      <c r="G55">
        <f ca="1">F55+Benefits!H64</f>
        <v>8</v>
      </c>
      <c r="H55">
        <f ca="1">G55+Benefits!I64</f>
        <v>12</v>
      </c>
      <c r="I55">
        <f ca="1">H55+Benefits!J64</f>
        <v>21</v>
      </c>
    </row>
    <row r="56" spans="2:9" x14ac:dyDescent="0.35">
      <c r="C56" t="s">
        <v>20</v>
      </c>
      <c r="D56">
        <v>1</v>
      </c>
      <c r="E56">
        <f ca="1">D56+Benefits!F65</f>
        <v>18</v>
      </c>
      <c r="F56">
        <f ca="1">E56+Benefits!G65</f>
        <v>20</v>
      </c>
      <c r="G56">
        <f ca="1">F56+Benefits!H65</f>
        <v>21</v>
      </c>
      <c r="H56">
        <f ca="1">G56+Benefits!I65</f>
        <v>24</v>
      </c>
      <c r="I56">
        <f ca="1">H56+Benefits!J65</f>
        <v>25</v>
      </c>
    </row>
    <row r="57" spans="2:9" x14ac:dyDescent="0.35">
      <c r="C57" t="s">
        <v>410</v>
      </c>
      <c r="D57">
        <v>33</v>
      </c>
      <c r="E57">
        <f ca="1">E54-E55-E56</f>
        <v>16</v>
      </c>
      <c r="F57">
        <f t="shared" ref="F57:I57" ca="1" si="42">F54-F55-F56</f>
        <v>13</v>
      </c>
      <c r="G57">
        <f t="shared" ca="1" si="42"/>
        <v>8</v>
      </c>
      <c r="H57">
        <f t="shared" ca="1" si="42"/>
        <v>4</v>
      </c>
      <c r="I57">
        <f t="shared" ca="1" si="42"/>
        <v>1</v>
      </c>
    </row>
  </sheetData>
  <mergeCells count="6">
    <mergeCell ref="B42:B46"/>
    <mergeCell ref="B6:B10"/>
    <mergeCell ref="B13:B17"/>
    <mergeCell ref="B20:B24"/>
    <mergeCell ref="B27:B31"/>
    <mergeCell ref="B34:B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Summary</vt:lpstr>
      <vt:lpstr>Fleet schedule</vt:lpstr>
      <vt:lpstr>Benefits</vt:lpstr>
      <vt:lpstr>Costs</vt:lpstr>
      <vt:lpstr>Assumptions</vt:lpstr>
      <vt:lpstr>Reset RIN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2025-01-17T05:38:01Z</dcterms:created>
  <dcterms:modified xsi:type="dcterms:W3CDTF">2025-01-31T01:01:00Z</dcterms:modified>
  <cp:category/>
  <cp:contentStatus/>
</cp:coreProperties>
</file>