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4D930CC0-53EA-47D0-A997-C870185FEC3A}" xr6:coauthVersionLast="47" xr6:coauthVersionMax="47" xr10:uidLastSave="{00000000-0000-0000-0000-000000000000}"/>
  <bookViews>
    <workbookView xWindow="28680" yWindow="-105" windowWidth="29040" windowHeight="15720" tabRatio="896" xr2:uid="{00000000-000D-0000-FFFF-FFFF00000000}"/>
  </bookViews>
  <sheets>
    <sheet name="Cover" sheetId="92" r:id="rId1"/>
    <sheet name="UE Summary" sheetId="82" r:id="rId2"/>
    <sheet name="Assumptions" sheetId="74" r:id="rId3"/>
    <sheet name="Option 1" sheetId="79" r:id="rId4"/>
    <sheet name="Option 2" sheetId="90" r:id="rId5"/>
    <sheet name="Option 3" sheetId="89" r:id="rId6"/>
  </sheets>
  <definedNames>
    <definedName name="Business">Assumptions!$B$8</definedName>
    <definedName name="business_case_dollars">Assumptions!$C$37</definedName>
    <definedName name="_xlnm.Print_Area" localSheetId="1">'UE Summary'!$A$1:$J$45</definedName>
    <definedName name="Project_name">Assumptions!$B$6</definedName>
    <definedName name="Real_Discount_rate">Assumptions!$B$10</definedName>
    <definedName name="years" localSheetId="3">'Option 1'!$R$8:$V$8</definedName>
    <definedName name="years" localSheetId="4">'Option 2'!$R$8:$V$8</definedName>
    <definedName name="years" localSheetId="5">'Option 3'!$T$8:$X$8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90" l="1"/>
  <c r="O20" i="90"/>
  <c r="N20" i="90"/>
  <c r="M20" i="90"/>
  <c r="L20" i="90"/>
  <c r="P19" i="90"/>
  <c r="O19" i="90"/>
  <c r="N19" i="90"/>
  <c r="M19" i="90"/>
  <c r="L19" i="90"/>
  <c r="P18" i="90"/>
  <c r="O18" i="90"/>
  <c r="N18" i="90"/>
  <c r="M18" i="90"/>
  <c r="L18" i="90"/>
  <c r="P17" i="90"/>
  <c r="O17" i="90"/>
  <c r="N17" i="90"/>
  <c r="M17" i="90"/>
  <c r="L17" i="90"/>
  <c r="P16" i="90"/>
  <c r="O16" i="90"/>
  <c r="N16" i="90"/>
  <c r="M16" i="90"/>
  <c r="L16" i="90"/>
  <c r="P13" i="90"/>
  <c r="O13" i="90"/>
  <c r="N13" i="90"/>
  <c r="M13" i="90"/>
  <c r="L13" i="90"/>
  <c r="D6" i="92" a="1"/>
  <c r="D6" i="92" s="1"/>
  <c r="C5" i="92" a="1"/>
  <c r="C5" i="92" s="1"/>
  <c r="V36" i="90" l="1"/>
  <c r="U36" i="90"/>
  <c r="T36" i="90"/>
  <c r="S36" i="90"/>
  <c r="R36" i="90"/>
  <c r="V35" i="90"/>
  <c r="U35" i="90"/>
  <c r="T35" i="90"/>
  <c r="S35" i="90"/>
  <c r="R35" i="90"/>
  <c r="V34" i="90"/>
  <c r="U34" i="90"/>
  <c r="T34" i="90"/>
  <c r="S34" i="90"/>
  <c r="R34" i="90"/>
  <c r="V33" i="90"/>
  <c r="U33" i="90"/>
  <c r="T33" i="90"/>
  <c r="S33" i="90"/>
  <c r="R33" i="90"/>
  <c r="V32" i="90"/>
  <c r="U32" i="90"/>
  <c r="T32" i="90"/>
  <c r="S32" i="90"/>
  <c r="R32" i="90"/>
  <c r="V31" i="90"/>
  <c r="U31" i="90"/>
  <c r="T31" i="90"/>
  <c r="S31" i="90"/>
  <c r="R31" i="90"/>
  <c r="V30" i="90"/>
  <c r="U30" i="90"/>
  <c r="T30" i="90"/>
  <c r="S30" i="90"/>
  <c r="R30" i="90"/>
  <c r="V75" i="79" l="1"/>
  <c r="U75" i="79"/>
  <c r="T75" i="79"/>
  <c r="S75" i="79"/>
  <c r="R75" i="79"/>
  <c r="V74" i="79"/>
  <c r="U74" i="79"/>
  <c r="T74" i="79"/>
  <c r="S74" i="79"/>
  <c r="R74" i="79"/>
  <c r="V73" i="79"/>
  <c r="U73" i="79"/>
  <c r="T73" i="79"/>
  <c r="S73" i="79"/>
  <c r="R73" i="79"/>
  <c r="V72" i="79"/>
  <c r="U72" i="79"/>
  <c r="T72" i="79"/>
  <c r="S72" i="79"/>
  <c r="R72" i="79"/>
  <c r="C44" i="82"/>
  <c r="C101" i="90"/>
  <c r="W73" i="79" l="1"/>
  <c r="S76" i="79"/>
  <c r="U76" i="79"/>
  <c r="T76" i="79"/>
  <c r="W75" i="79"/>
  <c r="V76" i="79"/>
  <c r="W74" i="79"/>
  <c r="R76" i="79"/>
  <c r="V39" i="90" l="1"/>
  <c r="U39" i="90"/>
  <c r="T39" i="90"/>
  <c r="S39" i="90"/>
  <c r="R39" i="90"/>
  <c r="V38" i="90"/>
  <c r="U38" i="90"/>
  <c r="T38" i="90"/>
  <c r="S38" i="90"/>
  <c r="R38" i="90"/>
  <c r="V52" i="90"/>
  <c r="U52" i="90"/>
  <c r="T52" i="90"/>
  <c r="S52" i="90"/>
  <c r="R52" i="90"/>
  <c r="V51" i="90"/>
  <c r="U51" i="90"/>
  <c r="T51" i="90"/>
  <c r="S51" i="90"/>
  <c r="R51" i="90"/>
  <c r="V50" i="90"/>
  <c r="U50" i="90"/>
  <c r="T50" i="90"/>
  <c r="S50" i="90"/>
  <c r="R50" i="90"/>
  <c r="V49" i="90"/>
  <c r="U49" i="90"/>
  <c r="T49" i="90"/>
  <c r="S49" i="90"/>
  <c r="R49" i="90"/>
  <c r="V48" i="90"/>
  <c r="U48" i="90"/>
  <c r="T48" i="90"/>
  <c r="S48" i="90"/>
  <c r="R48" i="90"/>
  <c r="V47" i="90"/>
  <c r="U47" i="90"/>
  <c r="T47" i="90"/>
  <c r="S47" i="90"/>
  <c r="R47" i="90"/>
  <c r="V46" i="90"/>
  <c r="U46" i="90"/>
  <c r="T46" i="90"/>
  <c r="S46" i="90"/>
  <c r="R46" i="90"/>
  <c r="V45" i="90"/>
  <c r="U45" i="90"/>
  <c r="T45" i="90"/>
  <c r="S45" i="90"/>
  <c r="R45" i="90"/>
  <c r="V44" i="90"/>
  <c r="U44" i="90"/>
  <c r="T44" i="90"/>
  <c r="S44" i="90"/>
  <c r="R44" i="90"/>
  <c r="V43" i="90"/>
  <c r="U43" i="90"/>
  <c r="T43" i="90"/>
  <c r="S43" i="90"/>
  <c r="R43" i="90"/>
  <c r="V42" i="90"/>
  <c r="U42" i="90"/>
  <c r="T42" i="90"/>
  <c r="S42" i="90"/>
  <c r="R42" i="90"/>
  <c r="V41" i="90"/>
  <c r="U41" i="90"/>
  <c r="T41" i="90"/>
  <c r="S41" i="90"/>
  <c r="R41" i="90"/>
  <c r="V40" i="90"/>
  <c r="U40" i="90"/>
  <c r="T40" i="90"/>
  <c r="S40" i="90"/>
  <c r="R40" i="90"/>
  <c r="R74" i="90" l="1"/>
  <c r="S74" i="90"/>
  <c r="V74" i="90"/>
  <c r="R75" i="90"/>
  <c r="S75" i="90"/>
  <c r="T74" i="90"/>
  <c r="T75" i="90"/>
  <c r="U74" i="90"/>
  <c r="U75" i="90"/>
  <c r="V75" i="90"/>
  <c r="X52" i="89"/>
  <c r="W52" i="89"/>
  <c r="V52" i="89"/>
  <c r="U52" i="89"/>
  <c r="T52" i="89"/>
  <c r="X51" i="89"/>
  <c r="W51" i="89"/>
  <c r="V51" i="89"/>
  <c r="U51" i="89"/>
  <c r="T51" i="89"/>
  <c r="X50" i="89"/>
  <c r="W50" i="89"/>
  <c r="V50" i="89"/>
  <c r="U50" i="89"/>
  <c r="T50" i="89"/>
  <c r="X49" i="89"/>
  <c r="W49" i="89"/>
  <c r="V49" i="89"/>
  <c r="U49" i="89"/>
  <c r="T49" i="89"/>
  <c r="X48" i="89"/>
  <c r="W48" i="89"/>
  <c r="V48" i="89"/>
  <c r="U48" i="89"/>
  <c r="T48" i="89"/>
  <c r="X47" i="89"/>
  <c r="W47" i="89"/>
  <c r="V47" i="89"/>
  <c r="U47" i="89"/>
  <c r="T47" i="89"/>
  <c r="X46" i="89"/>
  <c r="W46" i="89"/>
  <c r="V46" i="89"/>
  <c r="U46" i="89"/>
  <c r="T46" i="89"/>
  <c r="X45" i="89"/>
  <c r="W45" i="89"/>
  <c r="V45" i="89"/>
  <c r="U45" i="89"/>
  <c r="T45" i="89"/>
  <c r="X44" i="89"/>
  <c r="W44" i="89"/>
  <c r="V44" i="89"/>
  <c r="U44" i="89"/>
  <c r="T44" i="89"/>
  <c r="X43" i="89"/>
  <c r="W43" i="89"/>
  <c r="V43" i="89"/>
  <c r="U43" i="89"/>
  <c r="T43" i="89"/>
  <c r="X42" i="89"/>
  <c r="W42" i="89"/>
  <c r="V42" i="89"/>
  <c r="U42" i="89"/>
  <c r="T42" i="89"/>
  <c r="X41" i="89"/>
  <c r="W41" i="89"/>
  <c r="V41" i="89"/>
  <c r="U41" i="89"/>
  <c r="T41" i="89"/>
  <c r="X40" i="89"/>
  <c r="W40" i="89"/>
  <c r="V40" i="89"/>
  <c r="U40" i="89"/>
  <c r="T40" i="89"/>
  <c r="T19" i="89"/>
  <c r="V74" i="89" l="1"/>
  <c r="W75" i="89"/>
  <c r="W74" i="89"/>
  <c r="X75" i="89"/>
  <c r="X74" i="89"/>
  <c r="T75" i="89"/>
  <c r="U75" i="89"/>
  <c r="U74" i="89"/>
  <c r="V75" i="89"/>
  <c r="T74" i="89"/>
  <c r="W74" i="90"/>
  <c r="W75" i="90"/>
  <c r="Y75" i="89" l="1"/>
  <c r="Y74" i="89"/>
  <c r="X38" i="89" l="1"/>
  <c r="W38" i="89"/>
  <c r="V38" i="89"/>
  <c r="U38" i="89"/>
  <c r="T38" i="89"/>
  <c r="X37" i="89"/>
  <c r="W37" i="89"/>
  <c r="V37" i="89"/>
  <c r="U37" i="89"/>
  <c r="T37" i="89"/>
  <c r="X36" i="89"/>
  <c r="W36" i="89"/>
  <c r="V36" i="89"/>
  <c r="U36" i="89"/>
  <c r="T36" i="89"/>
  <c r="X35" i="89"/>
  <c r="W35" i="89"/>
  <c r="V35" i="89"/>
  <c r="U35" i="89"/>
  <c r="T35" i="89"/>
  <c r="X34" i="89"/>
  <c r="W34" i="89"/>
  <c r="V34" i="89"/>
  <c r="U34" i="89"/>
  <c r="T34" i="89"/>
  <c r="X33" i="89"/>
  <c r="W33" i="89"/>
  <c r="V33" i="89"/>
  <c r="U33" i="89"/>
  <c r="T33" i="89"/>
  <c r="X27" i="89"/>
  <c r="W27" i="89"/>
  <c r="V27" i="89"/>
  <c r="U27" i="89"/>
  <c r="T27" i="89"/>
  <c r="X26" i="89"/>
  <c r="W26" i="89"/>
  <c r="V26" i="89"/>
  <c r="U26" i="89"/>
  <c r="T26" i="89"/>
  <c r="X25" i="89"/>
  <c r="W25" i="89"/>
  <c r="V25" i="89"/>
  <c r="U25" i="89"/>
  <c r="T25" i="89"/>
  <c r="X19" i="89"/>
  <c r="W19" i="89"/>
  <c r="V19" i="89"/>
  <c r="U19" i="89"/>
  <c r="X18" i="89"/>
  <c r="W18" i="89"/>
  <c r="V18" i="89"/>
  <c r="U18" i="89"/>
  <c r="T18" i="89"/>
  <c r="X17" i="89"/>
  <c r="W17" i="89"/>
  <c r="V17" i="89"/>
  <c r="U17" i="89"/>
  <c r="T17" i="89"/>
  <c r="X15" i="89"/>
  <c r="W15" i="89"/>
  <c r="V15" i="89"/>
  <c r="U15" i="89"/>
  <c r="T15" i="89"/>
  <c r="X14" i="89"/>
  <c r="W14" i="89"/>
  <c r="V14" i="89"/>
  <c r="U14" i="89"/>
  <c r="T14" i="89"/>
  <c r="X12" i="89"/>
  <c r="W12" i="89"/>
  <c r="V12" i="89"/>
  <c r="U12" i="89"/>
  <c r="T12" i="89"/>
  <c r="X10" i="89"/>
  <c r="W10" i="89"/>
  <c r="V10" i="89"/>
  <c r="U10" i="89"/>
  <c r="T10" i="89"/>
  <c r="C101" i="79"/>
  <c r="C101" i="89"/>
  <c r="T20" i="79" l="1"/>
  <c r="V39" i="79"/>
  <c r="U39" i="79"/>
  <c r="T39" i="79"/>
  <c r="S39" i="79"/>
  <c r="R39" i="79"/>
  <c r="J39" i="79"/>
  <c r="I39" i="79"/>
  <c r="V38" i="79"/>
  <c r="U38" i="79"/>
  <c r="T38" i="79"/>
  <c r="S38" i="79"/>
  <c r="R38" i="79"/>
  <c r="J38" i="79"/>
  <c r="I38" i="79"/>
  <c r="V37" i="79"/>
  <c r="U37" i="79"/>
  <c r="T37" i="79"/>
  <c r="S37" i="79"/>
  <c r="R37" i="79"/>
  <c r="J37" i="79"/>
  <c r="I37" i="79"/>
  <c r="V36" i="79"/>
  <c r="U36" i="79"/>
  <c r="T36" i="79"/>
  <c r="S36" i="79"/>
  <c r="R36" i="79"/>
  <c r="J36" i="79"/>
  <c r="I36" i="79"/>
  <c r="V35" i="79"/>
  <c r="U35" i="79"/>
  <c r="T35" i="79"/>
  <c r="S35" i="79"/>
  <c r="R35" i="79"/>
  <c r="J35" i="79"/>
  <c r="I35" i="79"/>
  <c r="V34" i="79"/>
  <c r="U34" i="79"/>
  <c r="T34" i="79"/>
  <c r="S34" i="79"/>
  <c r="R34" i="79"/>
  <c r="J34" i="79"/>
  <c r="I34" i="79"/>
  <c r="V33" i="79"/>
  <c r="U33" i="79"/>
  <c r="T33" i="79"/>
  <c r="S33" i="79"/>
  <c r="R33" i="79"/>
  <c r="J33" i="79"/>
  <c r="I33" i="79"/>
  <c r="V32" i="79"/>
  <c r="U32" i="79"/>
  <c r="T32" i="79"/>
  <c r="S32" i="79"/>
  <c r="R32" i="79"/>
  <c r="J32" i="79"/>
  <c r="I32" i="79"/>
  <c r="V31" i="79"/>
  <c r="U31" i="79"/>
  <c r="T31" i="79"/>
  <c r="S31" i="79"/>
  <c r="R31" i="79"/>
  <c r="J31" i="79"/>
  <c r="I31" i="79"/>
  <c r="V30" i="79"/>
  <c r="U30" i="79"/>
  <c r="T30" i="79"/>
  <c r="S30" i="79"/>
  <c r="R30" i="79"/>
  <c r="J30" i="79"/>
  <c r="I30" i="79"/>
  <c r="J29" i="79"/>
  <c r="V28" i="79"/>
  <c r="U28" i="79"/>
  <c r="T28" i="79"/>
  <c r="S28" i="79"/>
  <c r="R28" i="79"/>
  <c r="J28" i="79"/>
  <c r="I28" i="79"/>
  <c r="V27" i="79"/>
  <c r="U27" i="79"/>
  <c r="T27" i="79"/>
  <c r="S27" i="79"/>
  <c r="R27" i="79"/>
  <c r="J27" i="79"/>
  <c r="I27" i="79"/>
  <c r="J26" i="79"/>
  <c r="I26" i="79"/>
  <c r="T26" i="79" s="1"/>
  <c r="J25" i="79"/>
  <c r="J24" i="79"/>
  <c r="I24" i="79"/>
  <c r="U24" i="79" s="1"/>
  <c r="J23" i="79"/>
  <c r="J22" i="79"/>
  <c r="J21" i="79"/>
  <c r="I21" i="79"/>
  <c r="U21" i="79" s="1"/>
  <c r="J20" i="79"/>
  <c r="I20" i="79"/>
  <c r="U20" i="79" s="1"/>
  <c r="J19" i="79"/>
  <c r="I19" i="79"/>
  <c r="S19" i="79" s="1"/>
  <c r="J18" i="79"/>
  <c r="J17" i="79"/>
  <c r="J16" i="79"/>
  <c r="I16" i="79"/>
  <c r="J37" i="90"/>
  <c r="I37" i="90"/>
  <c r="V37" i="90" s="1"/>
  <c r="J29" i="90"/>
  <c r="J28" i="90"/>
  <c r="J27" i="90"/>
  <c r="J26" i="90"/>
  <c r="J25" i="90"/>
  <c r="I25" i="90"/>
  <c r="T25" i="90" s="1"/>
  <c r="J24" i="90"/>
  <c r="I24" i="90"/>
  <c r="J23" i="90"/>
  <c r="J22" i="90"/>
  <c r="J21" i="90"/>
  <c r="J20" i="90"/>
  <c r="J19" i="90"/>
  <c r="I19" i="90"/>
  <c r="J18" i="90"/>
  <c r="I18" i="90"/>
  <c r="J17" i="90"/>
  <c r="J16" i="90"/>
  <c r="L39" i="89"/>
  <c r="L38" i="89"/>
  <c r="K38" i="89"/>
  <c r="L37" i="89"/>
  <c r="K37" i="89"/>
  <c r="L36" i="89"/>
  <c r="K36" i="89"/>
  <c r="L35" i="89"/>
  <c r="K35" i="89"/>
  <c r="L34" i="89"/>
  <c r="K34" i="89"/>
  <c r="L33" i="89"/>
  <c r="K33" i="89"/>
  <c r="L32" i="89"/>
  <c r="L31" i="89"/>
  <c r="L30" i="89"/>
  <c r="L29" i="89"/>
  <c r="L28" i="89"/>
  <c r="L27" i="89"/>
  <c r="K27" i="89"/>
  <c r="L26" i="89"/>
  <c r="K26" i="89"/>
  <c r="L25" i="89"/>
  <c r="K25" i="89"/>
  <c r="L24" i="89"/>
  <c r="L23" i="89"/>
  <c r="L22" i="89"/>
  <c r="L21" i="89"/>
  <c r="L20" i="89"/>
  <c r="L19" i="89"/>
  <c r="K19" i="89"/>
  <c r="L18" i="89"/>
  <c r="K18" i="89"/>
  <c r="L17" i="89"/>
  <c r="K17" i="89"/>
  <c r="L16" i="89"/>
  <c r="C93" i="90"/>
  <c r="C91" i="90"/>
  <c r="C76" i="90"/>
  <c r="C68" i="90"/>
  <c r="C65" i="90"/>
  <c r="V61" i="90"/>
  <c r="U61" i="90"/>
  <c r="T61" i="90"/>
  <c r="S61" i="90"/>
  <c r="R61" i="90"/>
  <c r="V15" i="90"/>
  <c r="U15" i="90"/>
  <c r="T15" i="90"/>
  <c r="S15" i="90"/>
  <c r="R15" i="90"/>
  <c r="J15" i="90"/>
  <c r="I15" i="90"/>
  <c r="J14" i="90"/>
  <c r="J13" i="90"/>
  <c r="J12" i="90"/>
  <c r="J11" i="90"/>
  <c r="J10" i="90"/>
  <c r="A5" i="90"/>
  <c r="X3" i="90"/>
  <c r="A2" i="90"/>
  <c r="A1" i="90"/>
  <c r="C93" i="89"/>
  <c r="C91" i="89"/>
  <c r="C76" i="89"/>
  <c r="C68" i="89"/>
  <c r="C65" i="89"/>
  <c r="X61" i="89"/>
  <c r="L15" i="89"/>
  <c r="K15" i="89"/>
  <c r="L14" i="89"/>
  <c r="K14" i="89"/>
  <c r="L13" i="89"/>
  <c r="L12" i="89"/>
  <c r="L11" i="89"/>
  <c r="L10" i="89"/>
  <c r="A5" i="89"/>
  <c r="Z3" i="89"/>
  <c r="A2" i="89"/>
  <c r="A1" i="89"/>
  <c r="C76" i="79"/>
  <c r="V18" i="90" l="1"/>
  <c r="U18" i="90"/>
  <c r="T18" i="90"/>
  <c r="S18" i="90"/>
  <c r="R18" i="90"/>
  <c r="R37" i="90"/>
  <c r="S26" i="79"/>
  <c r="R26" i="79"/>
  <c r="S24" i="79"/>
  <c r="U26" i="79"/>
  <c r="V24" i="79"/>
  <c r="V26" i="79"/>
  <c r="S24" i="90"/>
  <c r="V24" i="90"/>
  <c r="S19" i="90"/>
  <c r="U19" i="90"/>
  <c r="S37" i="90"/>
  <c r="T37" i="90"/>
  <c r="U37" i="90"/>
  <c r="T24" i="90"/>
  <c r="U24" i="90"/>
  <c r="R25" i="90"/>
  <c r="U25" i="90"/>
  <c r="R24" i="79"/>
  <c r="S20" i="79"/>
  <c r="T24" i="79"/>
  <c r="T61" i="89"/>
  <c r="U61" i="89"/>
  <c r="V61" i="89"/>
  <c r="W61" i="89"/>
  <c r="V25" i="90"/>
  <c r="R24" i="90"/>
  <c r="S25" i="90"/>
  <c r="T19" i="90"/>
  <c r="V19" i="90"/>
  <c r="R19" i="90"/>
  <c r="R21" i="79"/>
  <c r="V21" i="79"/>
  <c r="S21" i="79"/>
  <c r="T21" i="79"/>
  <c r="V20" i="79"/>
  <c r="R20" i="79"/>
  <c r="T19" i="79"/>
  <c r="U19" i="79"/>
  <c r="V19" i="79"/>
  <c r="R19" i="79"/>
  <c r="R16" i="79"/>
  <c r="S16" i="79"/>
  <c r="T16" i="79"/>
  <c r="U16" i="79"/>
  <c r="V16" i="79"/>
  <c r="T58" i="89"/>
  <c r="W58" i="89"/>
  <c r="R58" i="90"/>
  <c r="T58" i="90"/>
  <c r="U58" i="89"/>
  <c r="V58" i="89"/>
  <c r="S58" i="90"/>
  <c r="U58" i="90"/>
  <c r="V58" i="90"/>
  <c r="X58" i="89"/>
  <c r="W61" i="90"/>
  <c r="Y61" i="89" l="1"/>
  <c r="W58" i="90"/>
  <c r="Y58" i="89"/>
  <c r="B14" i="74"/>
  <c r="I16" i="90" l="1"/>
  <c r="V16" i="90" s="1"/>
  <c r="K20" i="89"/>
  <c r="I14" i="90"/>
  <c r="K21" i="89"/>
  <c r="I17" i="90"/>
  <c r="I23" i="90"/>
  <c r="K24" i="89"/>
  <c r="I29" i="79"/>
  <c r="I25" i="79"/>
  <c r="I23" i="79"/>
  <c r="I22" i="79"/>
  <c r="I18" i="79"/>
  <c r="I17" i="79"/>
  <c r="I29" i="90"/>
  <c r="I28" i="90"/>
  <c r="I27" i="90"/>
  <c r="I26" i="90"/>
  <c r="I22" i="90"/>
  <c r="I21" i="90"/>
  <c r="I20" i="90"/>
  <c r="K39" i="89"/>
  <c r="K32" i="89"/>
  <c r="K31" i="89"/>
  <c r="K30" i="89"/>
  <c r="K29" i="89"/>
  <c r="K28" i="89"/>
  <c r="K23" i="89"/>
  <c r="K22" i="89"/>
  <c r="K16" i="89"/>
  <c r="I11" i="90"/>
  <c r="I10" i="90"/>
  <c r="K13" i="89"/>
  <c r="K11" i="89"/>
  <c r="K12" i="89"/>
  <c r="K10" i="89"/>
  <c r="I12" i="90"/>
  <c r="I13" i="90"/>
  <c r="C31" i="82"/>
  <c r="C18" i="82"/>
  <c r="A3" i="82"/>
  <c r="T16" i="90" l="1"/>
  <c r="R16" i="90"/>
  <c r="S16" i="90"/>
  <c r="U16" i="90"/>
  <c r="N24" i="89"/>
  <c r="T24" i="89" s="1"/>
  <c r="R24" i="89"/>
  <c r="Q24" i="89"/>
  <c r="P24" i="89"/>
  <c r="O24" i="89"/>
  <c r="U24" i="89" s="1"/>
  <c r="X24" i="89"/>
  <c r="W24" i="89"/>
  <c r="V24" i="89"/>
  <c r="V23" i="90"/>
  <c r="U23" i="90"/>
  <c r="T23" i="90"/>
  <c r="S23" i="90"/>
  <c r="R23" i="90"/>
  <c r="S17" i="90"/>
  <c r="V17" i="90"/>
  <c r="U17" i="90"/>
  <c r="T17" i="90"/>
  <c r="R17" i="90"/>
  <c r="W21" i="89"/>
  <c r="V21" i="89"/>
  <c r="U21" i="89"/>
  <c r="T21" i="89"/>
  <c r="X21" i="89"/>
  <c r="U14" i="90"/>
  <c r="R14" i="90"/>
  <c r="T14" i="90"/>
  <c r="S14" i="90"/>
  <c r="V14" i="90"/>
  <c r="V20" i="89"/>
  <c r="U20" i="89"/>
  <c r="T20" i="89"/>
  <c r="X20" i="89"/>
  <c r="W20" i="89"/>
  <c r="T21" i="90"/>
  <c r="S21" i="90"/>
  <c r="R21" i="90"/>
  <c r="V21" i="90"/>
  <c r="U21" i="90"/>
  <c r="V22" i="90"/>
  <c r="U22" i="90"/>
  <c r="T22" i="90"/>
  <c r="S22" i="90"/>
  <c r="R22" i="90"/>
  <c r="R13" i="89"/>
  <c r="X13" i="89" s="1"/>
  <c r="Q13" i="89"/>
  <c r="W13" i="89" s="1"/>
  <c r="P13" i="89"/>
  <c r="V13" i="89" s="1"/>
  <c r="O13" i="89"/>
  <c r="U13" i="89" s="1"/>
  <c r="N13" i="89"/>
  <c r="T13" i="89" s="1"/>
  <c r="O16" i="89"/>
  <c r="U16" i="89" s="1"/>
  <c r="N16" i="89"/>
  <c r="T16" i="89" s="1"/>
  <c r="R16" i="89"/>
  <c r="X16" i="89" s="1"/>
  <c r="Q16" i="89"/>
  <c r="W16" i="89" s="1"/>
  <c r="P16" i="89"/>
  <c r="V16" i="89" s="1"/>
  <c r="X22" i="89"/>
  <c r="W22" i="89"/>
  <c r="V22" i="89"/>
  <c r="U22" i="89"/>
  <c r="T22" i="89"/>
  <c r="X28" i="89"/>
  <c r="W28" i="89"/>
  <c r="V28" i="89"/>
  <c r="U28" i="89"/>
  <c r="T28" i="89"/>
  <c r="T29" i="89"/>
  <c r="X29" i="89"/>
  <c r="W29" i="89"/>
  <c r="V29" i="89"/>
  <c r="U29" i="89"/>
  <c r="X30" i="89"/>
  <c r="W30" i="89"/>
  <c r="V30" i="89"/>
  <c r="U30" i="89"/>
  <c r="T30" i="89"/>
  <c r="V31" i="89"/>
  <c r="U31" i="89"/>
  <c r="T31" i="89"/>
  <c r="X31" i="89"/>
  <c r="W31" i="89"/>
  <c r="X32" i="89"/>
  <c r="W32" i="89"/>
  <c r="V32" i="89"/>
  <c r="U32" i="89"/>
  <c r="T32" i="89"/>
  <c r="X39" i="89"/>
  <c r="W39" i="89"/>
  <c r="V39" i="89"/>
  <c r="U39" i="89"/>
  <c r="T39" i="89"/>
  <c r="X23" i="89"/>
  <c r="W23" i="89"/>
  <c r="V23" i="89"/>
  <c r="U23" i="89"/>
  <c r="T23" i="89"/>
  <c r="V11" i="90"/>
  <c r="U11" i="90"/>
  <c r="T11" i="90"/>
  <c r="S11" i="90"/>
  <c r="R11" i="90"/>
  <c r="T13" i="90"/>
  <c r="S13" i="90"/>
  <c r="R13" i="90"/>
  <c r="V13" i="90"/>
  <c r="U13" i="90"/>
  <c r="X11" i="89"/>
  <c r="W11" i="89"/>
  <c r="V11" i="89"/>
  <c r="U11" i="89"/>
  <c r="T11" i="89"/>
  <c r="R20" i="90"/>
  <c r="S20" i="90"/>
  <c r="T20" i="90"/>
  <c r="U20" i="90"/>
  <c r="V20" i="90"/>
  <c r="U26" i="90"/>
  <c r="S26" i="90"/>
  <c r="V26" i="90"/>
  <c r="R26" i="90"/>
  <c r="T26" i="90"/>
  <c r="V27" i="90"/>
  <c r="T27" i="90"/>
  <c r="R27" i="90"/>
  <c r="S27" i="90"/>
  <c r="U27" i="90"/>
  <c r="V28" i="90"/>
  <c r="R28" i="90"/>
  <c r="S28" i="90"/>
  <c r="T28" i="90"/>
  <c r="U28" i="90"/>
  <c r="U29" i="90"/>
  <c r="V29" i="90"/>
  <c r="R29" i="90"/>
  <c r="S29" i="90"/>
  <c r="T29" i="90"/>
  <c r="V17" i="79"/>
  <c r="U17" i="79"/>
  <c r="T17" i="79"/>
  <c r="S17" i="79"/>
  <c r="R17" i="79"/>
  <c r="V18" i="79"/>
  <c r="U18" i="79"/>
  <c r="T18" i="79"/>
  <c r="S18" i="79"/>
  <c r="R18" i="79"/>
  <c r="V22" i="79"/>
  <c r="S22" i="79"/>
  <c r="T22" i="79"/>
  <c r="U22" i="79"/>
  <c r="R22" i="79"/>
  <c r="V23" i="79"/>
  <c r="R23" i="79"/>
  <c r="U23" i="79"/>
  <c r="S23" i="79"/>
  <c r="T23" i="79"/>
  <c r="V25" i="79"/>
  <c r="S25" i="79"/>
  <c r="R25" i="79"/>
  <c r="T25" i="79"/>
  <c r="U25" i="79"/>
  <c r="S29" i="79"/>
  <c r="T29" i="79"/>
  <c r="U29" i="79"/>
  <c r="V29" i="79"/>
  <c r="R29" i="79"/>
  <c r="T10" i="90"/>
  <c r="U10" i="90"/>
  <c r="S10" i="90"/>
  <c r="R10" i="90"/>
  <c r="V10" i="90"/>
  <c r="T12" i="90"/>
  <c r="V12" i="90"/>
  <c r="U12" i="90"/>
  <c r="S12" i="90"/>
  <c r="R12" i="90"/>
  <c r="V62" i="89"/>
  <c r="X62" i="89"/>
  <c r="W62" i="89"/>
  <c r="U62" i="89"/>
  <c r="T62" i="89"/>
  <c r="B21" i="74"/>
  <c r="T73" i="89" l="1"/>
  <c r="U73" i="89"/>
  <c r="T72" i="90"/>
  <c r="W73" i="89"/>
  <c r="V73" i="89"/>
  <c r="X73" i="89"/>
  <c r="U72" i="89"/>
  <c r="X72" i="89"/>
  <c r="X76" i="89" s="1"/>
  <c r="V72" i="89"/>
  <c r="V76" i="89" s="1"/>
  <c r="W72" i="89"/>
  <c r="W76" i="89" s="1"/>
  <c r="T72" i="89"/>
  <c r="V73" i="90"/>
  <c r="S72" i="90"/>
  <c r="R73" i="90"/>
  <c r="S73" i="90"/>
  <c r="T73" i="90"/>
  <c r="U73" i="90"/>
  <c r="U72" i="90"/>
  <c r="V72" i="90"/>
  <c r="R72" i="90"/>
  <c r="U62" i="90"/>
  <c r="V62" i="90"/>
  <c r="R62" i="90"/>
  <c r="S62" i="90"/>
  <c r="T62" i="90"/>
  <c r="X57" i="89"/>
  <c r="Y62" i="89"/>
  <c r="W57" i="89"/>
  <c r="T57" i="89"/>
  <c r="V57" i="89"/>
  <c r="U57" i="89"/>
  <c r="U57" i="90"/>
  <c r="T57" i="90"/>
  <c r="V57" i="90"/>
  <c r="R57" i="90"/>
  <c r="S57" i="90"/>
  <c r="V60" i="89"/>
  <c r="T56" i="89"/>
  <c r="W56" i="89"/>
  <c r="T56" i="90"/>
  <c r="U60" i="89"/>
  <c r="S60" i="90"/>
  <c r="X60" i="89"/>
  <c r="R60" i="90"/>
  <c r="W60" i="89"/>
  <c r="V56" i="90"/>
  <c r="V60" i="90"/>
  <c r="R56" i="90"/>
  <c r="U60" i="90"/>
  <c r="V56" i="89"/>
  <c r="X56" i="89"/>
  <c r="T60" i="90"/>
  <c r="U56" i="90"/>
  <c r="S56" i="90"/>
  <c r="T60" i="89"/>
  <c r="U56" i="89"/>
  <c r="J36" i="82"/>
  <c r="I36" i="82"/>
  <c r="H36" i="82"/>
  <c r="G36" i="82"/>
  <c r="F36" i="82"/>
  <c r="J23" i="82"/>
  <c r="I23" i="82"/>
  <c r="H23" i="82"/>
  <c r="G23" i="82"/>
  <c r="F23" i="82"/>
  <c r="A2" i="82"/>
  <c r="A1" i="82"/>
  <c r="C93" i="79"/>
  <c r="C91" i="79"/>
  <c r="C36" i="74"/>
  <c r="C37" i="74" s="1"/>
  <c r="T98" i="89" l="1"/>
  <c r="F42" i="82" s="1"/>
  <c r="U98" i="79"/>
  <c r="I16" i="82" s="1"/>
  <c r="U100" i="79"/>
  <c r="I13" i="82" s="1"/>
  <c r="V98" i="79"/>
  <c r="J16" i="82" s="1"/>
  <c r="T98" i="79"/>
  <c r="H16" i="82" s="1"/>
  <c r="R99" i="79"/>
  <c r="V100" i="79"/>
  <c r="J13" i="82" s="1"/>
  <c r="S99" i="79"/>
  <c r="G12" i="82" s="1"/>
  <c r="T99" i="79"/>
  <c r="H12" i="82" s="1"/>
  <c r="U99" i="79"/>
  <c r="I12" i="82" s="1"/>
  <c r="V99" i="79"/>
  <c r="J12" i="82" s="1"/>
  <c r="R100" i="79"/>
  <c r="S100" i="79"/>
  <c r="G13" i="82" s="1"/>
  <c r="R98" i="79"/>
  <c r="T100" i="79"/>
  <c r="H13" i="82" s="1"/>
  <c r="S98" i="79"/>
  <c r="G16" i="82" s="1"/>
  <c r="V100" i="90"/>
  <c r="J26" i="82" s="1"/>
  <c r="S100" i="90"/>
  <c r="G26" i="82" s="1"/>
  <c r="S99" i="90"/>
  <c r="G25" i="82" s="1"/>
  <c r="U100" i="90"/>
  <c r="I26" i="82" s="1"/>
  <c r="U99" i="90"/>
  <c r="I25" i="82" s="1"/>
  <c r="T100" i="90"/>
  <c r="H26" i="82" s="1"/>
  <c r="T99" i="90"/>
  <c r="H25" i="82" s="1"/>
  <c r="R100" i="90"/>
  <c r="V99" i="90"/>
  <c r="J25" i="82" s="1"/>
  <c r="R99" i="90"/>
  <c r="T99" i="89"/>
  <c r="V100" i="89"/>
  <c r="H39" i="82" s="1"/>
  <c r="U99" i="89"/>
  <c r="G38" i="82" s="1"/>
  <c r="T100" i="89"/>
  <c r="X99" i="89"/>
  <c r="J38" i="82" s="1"/>
  <c r="X100" i="89"/>
  <c r="J39" i="82" s="1"/>
  <c r="W100" i="89"/>
  <c r="I39" i="82" s="1"/>
  <c r="V99" i="89"/>
  <c r="H38" i="82" s="1"/>
  <c r="U100" i="89"/>
  <c r="G39" i="82" s="1"/>
  <c r="W99" i="89"/>
  <c r="I38" i="82" s="1"/>
  <c r="U98" i="90"/>
  <c r="I29" i="82" s="1"/>
  <c r="V98" i="89"/>
  <c r="H42" i="82" s="1"/>
  <c r="W98" i="89"/>
  <c r="I42" i="82" s="1"/>
  <c r="V98" i="90"/>
  <c r="J29" i="82" s="1"/>
  <c r="X98" i="89"/>
  <c r="J42" i="82" s="1"/>
  <c r="R98" i="90"/>
  <c r="F29" i="82" s="1"/>
  <c r="U98" i="89"/>
  <c r="G42" i="82" s="1"/>
  <c r="T76" i="89"/>
  <c r="U76" i="89"/>
  <c r="Y73" i="89"/>
  <c r="R76" i="90"/>
  <c r="V76" i="90"/>
  <c r="T76" i="90"/>
  <c r="T98" i="90"/>
  <c r="S76" i="90"/>
  <c r="S98" i="90"/>
  <c r="U76" i="90"/>
  <c r="W73" i="90"/>
  <c r="W62" i="90"/>
  <c r="Y57" i="89"/>
  <c r="V97" i="89"/>
  <c r="W57" i="90"/>
  <c r="V86" i="90"/>
  <c r="V63" i="90"/>
  <c r="R97" i="90"/>
  <c r="F24" i="82" s="1"/>
  <c r="W72" i="90"/>
  <c r="V82" i="90"/>
  <c r="V59" i="90"/>
  <c r="X86" i="89"/>
  <c r="X63" i="89"/>
  <c r="W82" i="89"/>
  <c r="W59" i="89"/>
  <c r="U86" i="90"/>
  <c r="U63" i="90"/>
  <c r="X97" i="89"/>
  <c r="R82" i="90"/>
  <c r="W56" i="90"/>
  <c r="R59" i="90"/>
  <c r="V97" i="90"/>
  <c r="T97" i="89"/>
  <c r="Y72" i="89"/>
  <c r="X59" i="89"/>
  <c r="X82" i="89"/>
  <c r="U82" i="89"/>
  <c r="U59" i="89"/>
  <c r="T97" i="90"/>
  <c r="H24" i="82" s="1"/>
  <c r="W86" i="89"/>
  <c r="W63" i="89"/>
  <c r="S86" i="90"/>
  <c r="S63" i="90"/>
  <c r="T82" i="89"/>
  <c r="Y56" i="89"/>
  <c r="T59" i="89"/>
  <c r="R86" i="90"/>
  <c r="W60" i="90"/>
  <c r="R63" i="90"/>
  <c r="T63" i="90"/>
  <c r="T86" i="90"/>
  <c r="Y60" i="89"/>
  <c r="T63" i="89"/>
  <c r="T86" i="89"/>
  <c r="V59" i="89"/>
  <c r="V82" i="89"/>
  <c r="U86" i="89"/>
  <c r="U63" i="89"/>
  <c r="V86" i="89"/>
  <c r="V63" i="89"/>
  <c r="V88" i="89"/>
  <c r="W84" i="89"/>
  <c r="T84" i="90"/>
  <c r="R84" i="90"/>
  <c r="T87" i="89"/>
  <c r="V87" i="90"/>
  <c r="V88" i="90"/>
  <c r="V87" i="89"/>
  <c r="R83" i="90"/>
  <c r="U87" i="90"/>
  <c r="X88" i="89"/>
  <c r="R88" i="90"/>
  <c r="T88" i="90"/>
  <c r="V83" i="90"/>
  <c r="U88" i="90"/>
  <c r="W87" i="89"/>
  <c r="S88" i="90"/>
  <c r="S87" i="90"/>
  <c r="W88" i="89"/>
  <c r="U88" i="89"/>
  <c r="R87" i="90"/>
  <c r="T88" i="89"/>
  <c r="U87" i="89"/>
  <c r="X87" i="89"/>
  <c r="T87" i="90"/>
  <c r="T84" i="89"/>
  <c r="U84" i="90"/>
  <c r="S83" i="90"/>
  <c r="U83" i="90"/>
  <c r="V84" i="90"/>
  <c r="V83" i="89"/>
  <c r="S84" i="90"/>
  <c r="X84" i="89"/>
  <c r="X83" i="89"/>
  <c r="W83" i="89"/>
  <c r="T83" i="89"/>
  <c r="T83" i="90"/>
  <c r="V84" i="89"/>
  <c r="U83" i="89"/>
  <c r="U84" i="89"/>
  <c r="U97" i="89"/>
  <c r="T59" i="90"/>
  <c r="T82" i="90"/>
  <c r="U82" i="90"/>
  <c r="U59" i="90"/>
  <c r="S97" i="90"/>
  <c r="G24" i="82" s="1"/>
  <c r="S82" i="90"/>
  <c r="S59" i="90"/>
  <c r="W97" i="89"/>
  <c r="U97" i="90"/>
  <c r="I24" i="82" s="1"/>
  <c r="I27" i="82" s="1"/>
  <c r="G27" i="82" l="1"/>
  <c r="H27" i="82"/>
  <c r="F25" i="82"/>
  <c r="K25" i="82" s="1"/>
  <c r="W99" i="90"/>
  <c r="W100" i="79"/>
  <c r="F13" i="82"/>
  <c r="K13" i="82" s="1"/>
  <c r="Y98" i="89"/>
  <c r="Y100" i="89"/>
  <c r="F39" i="82"/>
  <c r="K39" i="82" s="1"/>
  <c r="W99" i="79"/>
  <c r="F12" i="82"/>
  <c r="K12" i="82" s="1"/>
  <c r="F16" i="82"/>
  <c r="K16" i="82" s="1"/>
  <c r="W98" i="79"/>
  <c r="W100" i="90"/>
  <c r="F26" i="82"/>
  <c r="K26" i="82" s="1"/>
  <c r="K42" i="82"/>
  <c r="Y99" i="89"/>
  <c r="F38" i="82"/>
  <c r="K38" i="82" s="1"/>
  <c r="W98" i="90"/>
  <c r="Y76" i="89"/>
  <c r="U101" i="90"/>
  <c r="I31" i="82"/>
  <c r="J24" i="82"/>
  <c r="J27" i="82" s="1"/>
  <c r="J31" i="82" s="1"/>
  <c r="V101" i="90"/>
  <c r="T101" i="90"/>
  <c r="H29" i="82"/>
  <c r="H31" i="82" s="1"/>
  <c r="R101" i="90"/>
  <c r="G37" i="82"/>
  <c r="G40" i="82" s="1"/>
  <c r="U101" i="89"/>
  <c r="S101" i="90"/>
  <c r="G29" i="82"/>
  <c r="J37" i="82"/>
  <c r="J40" i="82" s="1"/>
  <c r="X101" i="89"/>
  <c r="H37" i="82"/>
  <c r="H40" i="82" s="1"/>
  <c r="V101" i="89"/>
  <c r="I37" i="82"/>
  <c r="I40" i="82" s="1"/>
  <c r="W101" i="89"/>
  <c r="F37" i="82"/>
  <c r="T101" i="89"/>
  <c r="X65" i="89"/>
  <c r="X66" i="89" s="1"/>
  <c r="Y59" i="89"/>
  <c r="S65" i="90"/>
  <c r="S66" i="90" s="1"/>
  <c r="W59" i="90"/>
  <c r="U77" i="90"/>
  <c r="R77" i="90"/>
  <c r="S77" i="90"/>
  <c r="V77" i="89"/>
  <c r="U77" i="89"/>
  <c r="V65" i="90"/>
  <c r="V66" i="90" s="1"/>
  <c r="V65" i="89"/>
  <c r="V66" i="89" s="1"/>
  <c r="Y63" i="89"/>
  <c r="W65" i="89"/>
  <c r="W66" i="89" s="1"/>
  <c r="U65" i="90"/>
  <c r="U66" i="90" s="1"/>
  <c r="T77" i="89"/>
  <c r="R65" i="90"/>
  <c r="U65" i="89"/>
  <c r="U66" i="89" s="1"/>
  <c r="W84" i="90"/>
  <c r="W89" i="89"/>
  <c r="U85" i="89"/>
  <c r="W97" i="90"/>
  <c r="T89" i="89"/>
  <c r="Y86" i="89"/>
  <c r="Y82" i="89"/>
  <c r="T85" i="89"/>
  <c r="W86" i="90"/>
  <c r="R89" i="90"/>
  <c r="Y84" i="89"/>
  <c r="W77" i="89"/>
  <c r="T89" i="90"/>
  <c r="X85" i="89"/>
  <c r="R85" i="90"/>
  <c r="W82" i="90"/>
  <c r="U89" i="90"/>
  <c r="V89" i="89"/>
  <c r="Y97" i="89"/>
  <c r="S85" i="90"/>
  <c r="U85" i="90"/>
  <c r="Y83" i="89"/>
  <c r="V85" i="89"/>
  <c r="W85" i="89"/>
  <c r="V85" i="90"/>
  <c r="X77" i="89"/>
  <c r="V89" i="90"/>
  <c r="Y88" i="89"/>
  <c r="U89" i="89"/>
  <c r="T85" i="90"/>
  <c r="W87" i="90"/>
  <c r="T77" i="90"/>
  <c r="V77" i="90"/>
  <c r="W88" i="90"/>
  <c r="S89" i="90"/>
  <c r="T65" i="90"/>
  <c r="T66" i="90" s="1"/>
  <c r="W83" i="90"/>
  <c r="Y87" i="89"/>
  <c r="W63" i="90"/>
  <c r="T65" i="89"/>
  <c r="X89" i="89"/>
  <c r="C68" i="79"/>
  <c r="F27" i="82" l="1"/>
  <c r="F31" i="82" s="1"/>
  <c r="Y101" i="89"/>
  <c r="K29" i="82"/>
  <c r="G31" i="82"/>
  <c r="F33" i="82" s="1"/>
  <c r="G44" i="82"/>
  <c r="K37" i="82"/>
  <c r="K40" i="82" s="1"/>
  <c r="K44" i="82" s="1"/>
  <c r="F40" i="82"/>
  <c r="I44" i="82"/>
  <c r="H44" i="82"/>
  <c r="J44" i="82"/>
  <c r="D68" i="89"/>
  <c r="R66" i="90"/>
  <c r="D68" i="90"/>
  <c r="V102" i="89"/>
  <c r="U102" i="90"/>
  <c r="W76" i="90"/>
  <c r="W77" i="90" s="1"/>
  <c r="X77" i="90" s="1"/>
  <c r="T91" i="89"/>
  <c r="W91" i="89"/>
  <c r="W92" i="89" s="1"/>
  <c r="W102" i="89"/>
  <c r="T102" i="90"/>
  <c r="U102" i="89"/>
  <c r="T91" i="90"/>
  <c r="T92" i="90" s="1"/>
  <c r="R91" i="90"/>
  <c r="X102" i="89"/>
  <c r="V102" i="90"/>
  <c r="U91" i="89"/>
  <c r="U92" i="89" s="1"/>
  <c r="S102" i="90"/>
  <c r="V91" i="90"/>
  <c r="V92" i="90" s="1"/>
  <c r="S91" i="90"/>
  <c r="S92" i="90" s="1"/>
  <c r="W85" i="90"/>
  <c r="Y77" i="89"/>
  <c r="Z77" i="89" s="1"/>
  <c r="W65" i="90"/>
  <c r="Y85" i="89"/>
  <c r="Y65" i="89"/>
  <c r="T66" i="89"/>
  <c r="V91" i="89"/>
  <c r="V92" i="89" s="1"/>
  <c r="U91" i="90"/>
  <c r="U92" i="90" s="1"/>
  <c r="X91" i="89"/>
  <c r="X92" i="89" s="1"/>
  <c r="W89" i="90"/>
  <c r="Y89" i="89"/>
  <c r="A2" i="79"/>
  <c r="A1" i="79"/>
  <c r="A2" i="74"/>
  <c r="A1" i="74"/>
  <c r="C65" i="79"/>
  <c r="V52" i="79"/>
  <c r="U52" i="79"/>
  <c r="T52" i="79"/>
  <c r="S52" i="79"/>
  <c r="R52" i="79"/>
  <c r="J52" i="79"/>
  <c r="I52" i="79"/>
  <c r="V51" i="79"/>
  <c r="U51" i="79"/>
  <c r="T51" i="79"/>
  <c r="S51" i="79"/>
  <c r="R51" i="79"/>
  <c r="J51" i="79"/>
  <c r="I51" i="79"/>
  <c r="V50" i="79"/>
  <c r="U50" i="79"/>
  <c r="T50" i="79"/>
  <c r="S50" i="79"/>
  <c r="R50" i="79"/>
  <c r="J50" i="79"/>
  <c r="I50" i="79"/>
  <c r="V49" i="79"/>
  <c r="U49" i="79"/>
  <c r="T49" i="79"/>
  <c r="S49" i="79"/>
  <c r="R49" i="79"/>
  <c r="J49" i="79"/>
  <c r="I49" i="79"/>
  <c r="J48" i="79"/>
  <c r="I48" i="79"/>
  <c r="R48" i="79" s="1"/>
  <c r="V47" i="79"/>
  <c r="U47" i="79"/>
  <c r="T47" i="79"/>
  <c r="S47" i="79"/>
  <c r="R47" i="79"/>
  <c r="J47" i="79"/>
  <c r="I47" i="79"/>
  <c r="V46" i="79"/>
  <c r="U46" i="79"/>
  <c r="T46" i="79"/>
  <c r="S46" i="79"/>
  <c r="R46" i="79"/>
  <c r="J46" i="79"/>
  <c r="I46" i="79"/>
  <c r="J45" i="79"/>
  <c r="I45" i="79"/>
  <c r="V45" i="79" s="1"/>
  <c r="V44" i="79"/>
  <c r="U44" i="79"/>
  <c r="T44" i="79"/>
  <c r="S44" i="79"/>
  <c r="R44" i="79"/>
  <c r="J44" i="79"/>
  <c r="I44" i="79"/>
  <c r="J43" i="79"/>
  <c r="I43" i="79"/>
  <c r="V43" i="79" s="1"/>
  <c r="V42" i="79"/>
  <c r="U42" i="79"/>
  <c r="T42" i="79"/>
  <c r="S42" i="79"/>
  <c r="R42" i="79"/>
  <c r="J42" i="79"/>
  <c r="I42" i="79"/>
  <c r="V41" i="79"/>
  <c r="U41" i="79"/>
  <c r="T41" i="79"/>
  <c r="S41" i="79"/>
  <c r="R41" i="79"/>
  <c r="J41" i="79"/>
  <c r="I41" i="79"/>
  <c r="V40" i="79"/>
  <c r="U40" i="79"/>
  <c r="T40" i="79"/>
  <c r="S40" i="79"/>
  <c r="R40" i="79"/>
  <c r="J40" i="79"/>
  <c r="I40" i="79"/>
  <c r="J15" i="79"/>
  <c r="I15" i="79"/>
  <c r="S15" i="79" s="1"/>
  <c r="J14" i="79"/>
  <c r="I14" i="79"/>
  <c r="V14" i="79" s="1"/>
  <c r="J13" i="79"/>
  <c r="I13" i="79"/>
  <c r="J12" i="79"/>
  <c r="I12" i="79"/>
  <c r="R12" i="79" s="1"/>
  <c r="J11" i="79"/>
  <c r="I11" i="79"/>
  <c r="J10" i="79"/>
  <c r="I10" i="79"/>
  <c r="V10" i="79" s="1"/>
  <c r="A5" i="79"/>
  <c r="X3" i="79"/>
  <c r="L44" i="82" l="1"/>
  <c r="F44" i="82"/>
  <c r="F46" i="82" s="1"/>
  <c r="R92" i="90"/>
  <c r="D93" i="90"/>
  <c r="T92" i="89"/>
  <c r="D93" i="89"/>
  <c r="V11" i="79"/>
  <c r="U11" i="79"/>
  <c r="T11" i="79"/>
  <c r="S11" i="79"/>
  <c r="R11" i="79"/>
  <c r="V13" i="79"/>
  <c r="U13" i="79"/>
  <c r="T13" i="79"/>
  <c r="S13" i="79"/>
  <c r="R13" i="79"/>
  <c r="U15" i="79"/>
  <c r="T15" i="79"/>
  <c r="V15" i="79"/>
  <c r="R15" i="79"/>
  <c r="R14" i="79"/>
  <c r="S14" i="79"/>
  <c r="T14" i="79"/>
  <c r="U14" i="79"/>
  <c r="Y91" i="89"/>
  <c r="R102" i="90"/>
  <c r="W101" i="90"/>
  <c r="W102" i="90" s="1"/>
  <c r="W91" i="90"/>
  <c r="Y66" i="89"/>
  <c r="Z66" i="89" s="1"/>
  <c r="T102" i="89"/>
  <c r="Y102" i="89"/>
  <c r="W66" i="90"/>
  <c r="X66" i="90" s="1"/>
  <c r="R43" i="79"/>
  <c r="S43" i="79"/>
  <c r="T43" i="79"/>
  <c r="U43" i="79"/>
  <c r="V58" i="79"/>
  <c r="R61" i="79"/>
  <c r="U12" i="79"/>
  <c r="U61" i="79" s="1"/>
  <c r="U87" i="79" s="1"/>
  <c r="V12" i="79"/>
  <c r="V48" i="79"/>
  <c r="U48" i="79"/>
  <c r="S48" i="79"/>
  <c r="T48" i="79"/>
  <c r="S12" i="79"/>
  <c r="S61" i="79" s="1"/>
  <c r="S87" i="79" s="1"/>
  <c r="T12" i="79"/>
  <c r="T61" i="79" s="1"/>
  <c r="T87" i="79" s="1"/>
  <c r="S45" i="79"/>
  <c r="R45" i="79"/>
  <c r="U45" i="79"/>
  <c r="T45" i="79"/>
  <c r="R10" i="79"/>
  <c r="R58" i="79" s="1"/>
  <c r="U10" i="79"/>
  <c r="U58" i="79" s="1"/>
  <c r="S10" i="79"/>
  <c r="S58" i="79" s="1"/>
  <c r="T10" i="79"/>
  <c r="T58" i="79" s="1"/>
  <c r="V60" i="79" l="1"/>
  <c r="V86" i="79" s="1"/>
  <c r="R57" i="79"/>
  <c r="R83" i="79" s="1"/>
  <c r="R62" i="79"/>
  <c r="T62" i="79"/>
  <c r="Y92" i="89"/>
  <c r="Z92" i="89" s="1"/>
  <c r="U60" i="79"/>
  <c r="U86" i="79" s="1"/>
  <c r="T60" i="79"/>
  <c r="S60" i="79"/>
  <c r="S86" i="79" s="1"/>
  <c r="R60" i="79"/>
  <c r="R86" i="79" s="1"/>
  <c r="V61" i="79"/>
  <c r="V87" i="79" s="1"/>
  <c r="Z102" i="89"/>
  <c r="W92" i="90"/>
  <c r="X92" i="90" s="1"/>
  <c r="X102" i="90"/>
  <c r="R84" i="79"/>
  <c r="R87" i="79"/>
  <c r="U84" i="79"/>
  <c r="S84" i="79"/>
  <c r="T84" i="79"/>
  <c r="V84" i="79"/>
  <c r="S62" i="79"/>
  <c r="V62" i="79"/>
  <c r="V88" i="79" s="1"/>
  <c r="V57" i="79"/>
  <c r="V83" i="79" s="1"/>
  <c r="U62" i="79"/>
  <c r="U57" i="79"/>
  <c r="U83" i="79" s="1"/>
  <c r="S57" i="79"/>
  <c r="S83" i="79" s="1"/>
  <c r="V56" i="79"/>
  <c r="T57" i="79"/>
  <c r="T83" i="79" s="1"/>
  <c r="U97" i="79"/>
  <c r="U56" i="79"/>
  <c r="R56" i="79"/>
  <c r="R97" i="79"/>
  <c r="T97" i="79"/>
  <c r="T56" i="79"/>
  <c r="S56" i="79"/>
  <c r="S97" i="79"/>
  <c r="W58" i="79"/>
  <c r="S101" i="79" l="1"/>
  <c r="G11" i="82"/>
  <c r="G14" i="82" s="1"/>
  <c r="G18" i="82" s="1"/>
  <c r="T101" i="79"/>
  <c r="H11" i="82"/>
  <c r="H14" i="82" s="1"/>
  <c r="H18" i="82" s="1"/>
  <c r="F11" i="82"/>
  <c r="R101" i="79"/>
  <c r="U101" i="79"/>
  <c r="I11" i="82"/>
  <c r="I14" i="82" s="1"/>
  <c r="I18" i="82" s="1"/>
  <c r="R88" i="79"/>
  <c r="R89" i="79" s="1"/>
  <c r="T88" i="79"/>
  <c r="W60" i="79"/>
  <c r="T86" i="79"/>
  <c r="W86" i="79" s="1"/>
  <c r="T63" i="79"/>
  <c r="W61" i="79"/>
  <c r="R63" i="79"/>
  <c r="V97" i="79"/>
  <c r="U88" i="79"/>
  <c r="W87" i="79"/>
  <c r="S88" i="79"/>
  <c r="S63" i="79"/>
  <c r="V63" i="79"/>
  <c r="V59" i="79"/>
  <c r="W62" i="79"/>
  <c r="U63" i="79"/>
  <c r="W72" i="79"/>
  <c r="W76" i="79" s="1"/>
  <c r="R59" i="79"/>
  <c r="U59" i="79"/>
  <c r="S59" i="79"/>
  <c r="T59" i="79"/>
  <c r="W57" i="79"/>
  <c r="W56" i="79"/>
  <c r="F14" i="82" l="1"/>
  <c r="F18" i="82" s="1"/>
  <c r="J11" i="82"/>
  <c r="J14" i="82" s="1"/>
  <c r="J18" i="82" s="1"/>
  <c r="V101" i="79"/>
  <c r="V102" i="79" s="1"/>
  <c r="T65" i="79"/>
  <c r="T66" i="79" s="1"/>
  <c r="T89" i="79"/>
  <c r="T102" i="79"/>
  <c r="R65" i="79"/>
  <c r="V89" i="79"/>
  <c r="S89" i="79"/>
  <c r="T77" i="79"/>
  <c r="V77" i="79"/>
  <c r="S65" i="79"/>
  <c r="S66" i="79" s="1"/>
  <c r="U77" i="79"/>
  <c r="U102" i="79"/>
  <c r="W97" i="79"/>
  <c r="W101" i="79" s="1"/>
  <c r="W88" i="79"/>
  <c r="R102" i="79"/>
  <c r="U89" i="79"/>
  <c r="V65" i="79"/>
  <c r="V66" i="79" s="1"/>
  <c r="W63" i="79"/>
  <c r="U65" i="79"/>
  <c r="U66" i="79" s="1"/>
  <c r="S77" i="79"/>
  <c r="R77" i="79"/>
  <c r="W59" i="79"/>
  <c r="K11" i="82" l="1"/>
  <c r="K14" i="82" s="1"/>
  <c r="K18" i="82" s="1"/>
  <c r="F20" i="82"/>
  <c r="R66" i="79"/>
  <c r="D68" i="79"/>
  <c r="W89" i="79"/>
  <c r="S102" i="79"/>
  <c r="W77" i="79"/>
  <c r="X77" i="79" s="1"/>
  <c r="W65" i="79"/>
  <c r="W102" i="79" l="1"/>
  <c r="X102" i="79" s="1"/>
  <c r="W66" i="79"/>
  <c r="X66" i="79" s="1"/>
  <c r="V82" i="79" l="1"/>
  <c r="U82" i="79"/>
  <c r="S82" i="79"/>
  <c r="T82" i="79"/>
  <c r="R82" i="79"/>
  <c r="U85" i="79" l="1"/>
  <c r="U91" i="79" s="1"/>
  <c r="U92" i="79" s="1"/>
  <c r="R85" i="79"/>
  <c r="R91" i="79" s="1"/>
  <c r="V85" i="79"/>
  <c r="V91" i="79" s="1"/>
  <c r="V92" i="79" s="1"/>
  <c r="T85" i="79"/>
  <c r="T91" i="79" s="1"/>
  <c r="T92" i="79" s="1"/>
  <c r="S85" i="79"/>
  <c r="S91" i="79" s="1"/>
  <c r="S92" i="79" s="1"/>
  <c r="W84" i="79"/>
  <c r="W83" i="79"/>
  <c r="W82" i="79"/>
  <c r="R92" i="79" l="1"/>
  <c r="D93" i="79"/>
  <c r="W85" i="79"/>
  <c r="W91" i="79"/>
  <c r="W92" i="79" l="1"/>
  <c r="X92" i="79" s="1"/>
  <c r="L18" i="82"/>
  <c r="K24" i="82" l="1"/>
  <c r="K27" i="82" l="1"/>
  <c r="K31" i="82" s="1"/>
  <c r="L31" i="8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<sst xmlns="http://schemas.openxmlformats.org/spreadsheetml/2006/main" count="736" uniqueCount="115">
  <si>
    <t>Total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</si>
  <si>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</si>
  <si>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</si>
  <si>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</si>
  <si>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</si>
  <si>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</si>
  <si>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</si>
  <si>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</si>
  <si>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</si>
  <si>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</si>
  <si>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</si>
  <si>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</si>
  <si>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</si>
  <si>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</si>
  <si>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</si>
  <si>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</si>
  <si>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</si>
  <si>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</si>
  <si>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</si>
  <si>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</si>
  <si>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</si>
  <si>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</si>
  <si>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</si>
  <si>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</si>
  <si>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</si>
  <si>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</si>
  <si>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</si>
  <si>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</si>
  <si>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</si>
  <si>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</si>
  <si>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</si>
  <si>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</si>
  <si>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</si>
  <si>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</si>
  <si>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</si>
  <si>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</si>
  <si>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Security Control Room - Maintain BACS / CCTV-VMS Integration Software License &amp; Service Maintenance Agreement @ June 2025</t>
  </si>
  <si>
    <t xml:space="preserve">Security Control Room - Additional BACS / CCTV-VMS Integration Software License &amp; Service Maintenance Agreement @ July 2026 </t>
  </si>
  <si>
    <t>Security Control Room - Upgrade BACS/CCTV- VMS Integration Software License &amp; Service Maintenance Agreement - Support CCTV Expansion</t>
  </si>
  <si>
    <t>Opex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</si>
  <si>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</si>
  <si>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</si>
  <si>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</si>
  <si>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</si>
  <si>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</si>
  <si>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</si>
  <si>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</si>
  <si>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Non recurrent</t>
  </si>
  <si>
    <t>unit rate</t>
  </si>
  <si>
    <t>Recurrent</t>
  </si>
  <si>
    <t>Capex</t>
  </si>
  <si>
    <t>Summary</t>
  </si>
  <si>
    <t>Check</t>
  </si>
  <si>
    <t>Summary for Regulation - for Business Case</t>
  </si>
  <si>
    <t>Capex &amp; Opex</t>
  </si>
  <si>
    <t>RESS - BACS - Break Fix - Hardware Life Cycle Replacement Program - Controllers</t>
  </si>
  <si>
    <t xml:space="preserve">RESS - BACS Biometrics Zone Substations (P1 &amp; P2)) onsite Installation , Documentation &amp; Configuration </t>
  </si>
  <si>
    <t>RESS - BACS Biometrics Zone Substations (P1 &amp; P2 )- Initial Controllers Hardware &amp; Licensing</t>
  </si>
  <si>
    <t>RESS - Autonomous Security Patrol Drones - Hardware Supply &amp; Licensing</t>
  </si>
  <si>
    <t>Property</t>
  </si>
  <si>
    <t>%</t>
  </si>
  <si>
    <t>IT</t>
  </si>
  <si>
    <t>Lagged conversion to Jun 26</t>
  </si>
  <si>
    <t>Regulatory proposal 2026-31</t>
  </si>
  <si>
    <t>Model number:</t>
  </si>
  <si>
    <t>Facilities security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</si>
  <si>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</si>
  <si>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</si>
  <si>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</si>
  <si>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</si>
  <si>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</si>
  <si>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</si>
  <si>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</si>
  <si>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RESS - CCTV-VMS Hardware Life Cycle Replacement Program @ 50% CCTV Cameras &amp; Local Servers</t>
  </si>
  <si>
    <t xml:space="preserve">Escalation: </t>
  </si>
  <si>
    <t>Property recurrent</t>
  </si>
  <si>
    <t>Category</t>
  </si>
  <si>
    <t>Kiosk fence</t>
  </si>
  <si>
    <t>Kiosk fencing of assets supplying telco infrastructure (150 sites)</t>
  </si>
  <si>
    <t>$</t>
  </si>
  <si>
    <t>Sustainability</t>
  </si>
  <si>
    <t>Depot sustainability - Solar PV, battery storage, EV charging (light fleet)</t>
  </si>
  <si>
    <t>Do nothing</t>
  </si>
  <si>
    <t>See option</t>
  </si>
  <si>
    <t>United Energy</t>
  </si>
  <si>
    <t>RESS - BACS - Base Gallagher Hardware</t>
  </si>
  <si>
    <t>RESS - BACS Initial Hardware - Controllers - Readers</t>
  </si>
  <si>
    <t>RESS - CCTV/VMS Zone Substation (P1) Cabling-Hardware-Recording Server-Cameras</t>
  </si>
  <si>
    <t xml:space="preserve">RESS - CCTV / VMS Zone Substation (P1) Installation - Programming - Documentation </t>
  </si>
  <si>
    <t>RESS - Tactical CCTV-VMS  Solar Trailers - Inclusive of Procurement-Hardware Licensing x 4</t>
  </si>
  <si>
    <t>RESS - Tactical CCTV-VMS - Anti Copper Theft Pole-Pit Systems - Camera - Server - Licensing x 20</t>
  </si>
  <si>
    <t>RESS - Autonomous Drones - Systems Design-Installation-Commissiong-Programming</t>
  </si>
  <si>
    <t>UE Infra Tech - BACS Labour</t>
  </si>
  <si>
    <t>UE Infra Tech - CCTV Labour</t>
  </si>
  <si>
    <t>UE Infra Tech - Mobile CCTV Labour</t>
  </si>
  <si>
    <t>UE Infra Tech - Drones Labour</t>
  </si>
  <si>
    <t>UE Infra Tech - Preventative Maintenance Labour</t>
  </si>
  <si>
    <t>UE Infra Tech - BACS Hardware</t>
  </si>
  <si>
    <t>UE Infra Tech - CCTV Hardware</t>
  </si>
  <si>
    <t>UE Infra Tech - Mobile CCTV Hardware</t>
  </si>
  <si>
    <t xml:space="preserve">UE Infra Tech - BACS Hardware Support / Maintenance / Licensing </t>
  </si>
  <si>
    <t xml:space="preserve">UE Infra Tech - CCTV Hardware Support / Maintenance / Licensing </t>
  </si>
  <si>
    <t xml:space="preserve">UE Infra Tech - Mobile CCTV Hardware Support / Maintenance / Licensing </t>
  </si>
  <si>
    <t xml:space="preserve">RESS - BACS (Gallagher) Software Maintenance Agreement </t>
  </si>
  <si>
    <t>RESS - BACS software upgrades, IT planning, field deployment &amp; testing</t>
  </si>
  <si>
    <t>RESS - BACS Hardware (Break Fix) - On Site  Electronics Failures/Replacements</t>
  </si>
  <si>
    <t xml:space="preserve">RESS - CCTV/VMS Zone Substation (P1) Cabling-Hardware-Recording Server-Cameras -Licensing </t>
  </si>
  <si>
    <t>RESS - CCTV / VMS Zone Substation (P1) Installation - Programming - Documentation</t>
  </si>
  <si>
    <t>RESS - CCTV-VMS (Milestone)  Software Maintenance Agreement</t>
  </si>
  <si>
    <t>RESS - Zone Sub Routine Preventative Maintenance</t>
  </si>
  <si>
    <t xml:space="preserve">RESS - Depot Routine Preventitive Maintenance </t>
  </si>
  <si>
    <t>RESS - BACS - CCTV/VMS - Remote System Health Checks</t>
  </si>
  <si>
    <t>UE Infra Tech - Server Refresh Labour</t>
  </si>
  <si>
    <t>UE Infra Tech - Server Refresh Hardware</t>
  </si>
  <si>
    <t>UE Infra Tech - Server Refresh Project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</si>
</sst>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 style="thick">
        <color theme="0"/>
      </right>
      <top/>
      <bottom/>
      <diagonal/>
    </border>
    <border>
      <left/>
      <right/>
      <top style="hair">
        <color indexed="64"/>
      </top>
      <bottom/>
      <diagonal/>
    </border>
  </borders>
  <cellStyleXfs count="47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172" fontId="41" fillId="0" borderId="0">
      <alignment horizontal="center" vertical="center"/>
    </xf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55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35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6" fillId="0" borderId="2" xfId="0" applyFont="1" applyBorder="1"/>
    <xf numFmtId="0" fontId="12" fillId="0" borderId="2" xfId="0" applyFont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7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6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0" fontId="42" fillId="0" borderId="0" xfId="0" applyFont="1"/>
    <xf numFmtId="0" fontId="35" fillId="0" borderId="5" xfId="0" applyFont="1" applyBorder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43" fillId="0" borderId="5" xfId="0" applyFont="1" applyBorder="1"/>
    <xf numFmtId="0" fontId="28" fillId="0" borderId="0" xfId="0" applyFont="1"/>
    <xf numFmtId="167" fontId="29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32" fillId="9" borderId="5" xfId="0" applyFont="1" applyFill="1" applyBorder="1" applyAlignment="1" applyProtection="1">
      <alignment vertical="center"/>
      <protection locked="0"/>
    </xf>
    <xf numFmtId="166" fontId="12" fillId="0" borderId="0" xfId="0" applyNumberFormat="1" applyFont="1"/>
    <xf numFmtId="0" fontId="32" fillId="2" borderId="5" xfId="0" applyFont="1" applyFill="1" applyBorder="1" applyAlignment="1" applyProtection="1">
      <alignment horizontal="center" vertical="center"/>
      <protection locked="0"/>
    </xf>
    <xf numFmtId="9" fontId="32" fillId="2" borderId="5" xfId="26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/>
    </xf>
    <xf numFmtId="0" fontId="28" fillId="6" borderId="0" xfId="0" applyFont="1" applyFill="1" applyAlignment="1">
      <alignment horizontal="center"/>
    </xf>
    <xf numFmtId="0" fontId="13" fillId="4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left"/>
    </xf>
    <xf numFmtId="0" fontId="38" fillId="0" borderId="2" xfId="0" applyFont="1" applyBorder="1"/>
    <xf numFmtId="0" fontId="44" fillId="0" borderId="2" xfId="0" applyFont="1" applyBorder="1"/>
    <xf numFmtId="0" fontId="27" fillId="0" borderId="2" xfId="0" applyFont="1" applyBorder="1" applyAlignment="1">
      <alignment horizontal="right"/>
    </xf>
    <xf numFmtId="169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0" fontId="1" fillId="10" borderId="0" xfId="45" applyFill="1"/>
    <xf numFmtId="0" fontId="1" fillId="0" borderId="0" xfId="45"/>
    <xf numFmtId="0" fontId="11" fillId="0" borderId="0" xfId="46"/>
    <xf numFmtId="0" fontId="45" fillId="0" borderId="0" xfId="45" applyFont="1"/>
    <xf numFmtId="0" fontId="46" fillId="0" borderId="0" xfId="45" applyFont="1"/>
    <xf numFmtId="0" fontId="47" fillId="0" borderId="0" xfId="45" applyFont="1"/>
    <xf numFmtId="0" fontId="48" fillId="0" borderId="0" xfId="45" applyFont="1"/>
    <xf numFmtId="0" fontId="49" fillId="0" borderId="0" xfId="45" applyFont="1"/>
    <xf numFmtId="0" fontId="50" fillId="0" borderId="0" xfId="45" applyFont="1"/>
    <xf numFmtId="173" fontId="51" fillId="0" borderId="0" xfId="45" applyNumberFormat="1" applyFont="1" applyAlignment="1">
      <alignment horizontal="left"/>
    </xf>
    <xf numFmtId="0" fontId="52" fillId="0" borderId="0" xfId="45" applyFont="1"/>
    <xf numFmtId="49" fontId="23" fillId="0" borderId="0" xfId="0" applyNumberFormat="1" applyFont="1" applyAlignment="1">
      <alignment horizontal="right"/>
    </xf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3" fontId="32" fillId="2" borderId="1" xfId="0" applyNumberFormat="1" applyFont="1" applyFill="1" applyBorder="1" applyAlignment="1" applyProtection="1">
      <alignment horizontal="right" vertical="top"/>
      <protection locked="0"/>
    </xf>
    <xf numFmtId="171" fontId="32" fillId="1" borderId="1" xfId="0" applyNumberFormat="1" applyFont="1" applyFill="1" applyBorder="1" applyAlignment="1">
      <alignment horizontal="right" vertical="top"/>
    </xf>
    <xf numFmtId="166" fontId="12" fillId="0" borderId="3" xfId="0" applyNumberFormat="1" applyFont="1" applyBorder="1" applyAlignment="1">
      <alignment horizontal="right" vertical="top"/>
    </xf>
    <xf numFmtId="166" fontId="12" fillId="0" borderId="16" xfId="0" applyNumberFormat="1" applyFont="1" applyBorder="1" applyAlignment="1">
      <alignment horizontal="right" vertical="top"/>
    </xf>
    <xf numFmtId="166" fontId="12" fillId="0" borderId="17" xfId="0" applyNumberFormat="1" applyFont="1" applyBorder="1" applyAlignment="1">
      <alignment horizontal="right" vertical="top"/>
    </xf>
    <xf numFmtId="166" fontId="13" fillId="0" borderId="3" xfId="0" applyNumberFormat="1" applyFont="1" applyBorder="1" applyAlignment="1">
      <alignment horizontal="right" vertical="top"/>
    </xf>
    <xf numFmtId="166" fontId="12" fillId="0" borderId="18" xfId="0" applyNumberFormat="1" applyFont="1" applyBorder="1" applyAlignment="1">
      <alignment horizontal="right" vertical="top"/>
    </xf>
    <xf numFmtId="0" fontId="12" fillId="0" borderId="18" xfId="0" applyFont="1" applyBorder="1"/>
    <xf numFmtId="2" fontId="49" fillId="0" borderId="0" xfId="45" applyNumberFormat="1" applyFont="1" applyAlignment="1">
      <alignment horizontal="left"/>
    </xf>
    <xf numFmtId="49" fontId="30" fillId="2" borderId="1" xfId="26" applyNumberFormat="1" applyFont="1" applyFill="1" applyBorder="1" applyAlignment="1">
      <alignment horizontal="right"/>
    </xf>
    <xf numFmtId="7" fontId="30" fillId="2" borderId="1" xfId="26" applyNumberFormat="1" applyFont="1" applyFill="1" applyBorder="1" applyAlignment="1">
      <alignment horizontal="right"/>
    </xf>
  </cellXfs>
  <cellStyles count="47">
    <cellStyle name="Check RedRedGreen" xfId="29" xr:uid="{81F56CD6-3B68-4074-B257-FFF69A21ECCD}"/>
    <cellStyle name="Comma" xfId="27" builtinId="3"/>
    <cellStyle name="Comma 2" xfId="11" xr:uid="{00000000-0005-0000-0000-000001000000}"/>
    <cellStyle name="Comma 2 2" xfId="36" xr:uid="{6EF9BB61-1365-4CDA-AB49-F952B36F0289}"/>
    <cellStyle name="Comma 3" xfId="24" xr:uid="{00000000-0005-0000-0000-000002000000}"/>
    <cellStyle name="Comma 3 2" xfId="41" xr:uid="{767CCE56-A566-495F-949D-E2F7D3CE7928}"/>
    <cellStyle name="Comma 4" xfId="31" xr:uid="{6D11CEBA-4733-4C43-948A-484B1D4FEF60}"/>
    <cellStyle name="Comma 4 2" xfId="43" xr:uid="{04F7A444-4D4E-4A37-9757-3C73F054D423}"/>
    <cellStyle name="Comma 5" xfId="42" xr:uid="{43CFF0FD-A343-404E-8658-72742AA268F9}"/>
    <cellStyle name="Currency" xfId="32" builtinId="4"/>
    <cellStyle name="Currency 2" xfId="5" xr:uid="{00000000-0005-0000-0000-000003000000}"/>
    <cellStyle name="Currency 2 2" xfId="33" xr:uid="{A6CAAD06-19CB-4863-BBE4-E014654C9499}"/>
    <cellStyle name="Currency 3" xfId="10" xr:uid="{00000000-0005-0000-0000-000004000000}"/>
    <cellStyle name="Currency 3 2" xfId="35" xr:uid="{D1938D47-8412-4C9B-A767-F458A1355CD5}"/>
    <cellStyle name="Currency 4" xfId="8" xr:uid="{00000000-0005-0000-0000-000005000000}"/>
    <cellStyle name="Currency 4 2" xfId="34" xr:uid="{1E5A96B0-0A94-49C6-8730-42B2FA614067}"/>
    <cellStyle name="Currency 5" xfId="19" xr:uid="{00000000-0005-0000-0000-000006000000}"/>
    <cellStyle name="Currency 5 2" xfId="39" xr:uid="{89D8E1B2-52B4-41E0-9691-51DD5E20BDDF}"/>
    <cellStyle name="Currency 6" xfId="21" xr:uid="{00000000-0005-0000-0000-000007000000}"/>
    <cellStyle name="Currency 6 2" xfId="40" xr:uid="{FAA777B5-A9F6-4D3D-AACE-192DC80D89B6}"/>
    <cellStyle name="Currency 7" xfId="44" xr:uid="{BA94A435-E222-42A9-80EF-724A0AC48A4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46" xr:uid="{C25548C7-81EE-40CA-8C7A-1A62E418ACED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45" xr:uid="{763065C8-1647-4EA1-953D-F5B2C4D06DED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6 2" xfId="37" xr:uid="{997C6A28-9B94-4F52-8897-9CFECA676192}"/>
    <cellStyle name="Normal 7" xfId="16" xr:uid="{00000000-0005-0000-0000-000014000000}"/>
    <cellStyle name="Normal 7 2" xfId="38" xr:uid="{9AC6199C-7AAD-49F8-88A4-A6EAF64842DB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FFDA6A55-659A-4755-B254-F3E44E77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C186-2656-4688-B626-50D86261231F}">
  <sheetPr>
    <tabColor theme="1" tint="0.34998626667073579"/>
  </sheetPr>
  <dimension ref="A1:K43"/>
  <sheetViews>
    <sheetView showGridLines="0" tabSelected="1" workbookViewId="0">
      <selection activeCell="G29" sqref="G29"/>
    </sheetView>
  </sheetViews>
  <sheetFormatPr defaultColWidth="0" defaultRowHeight="12.75" customHeight="1" zeroHeight="1" x14ac:dyDescent="0.2"/>
  <cols>
    <col min="1" max="1" width="12.42578125" style="132" customWidth="1"/>
    <col min="2" max="2" width="2.42578125" style="132" customWidth="1"/>
    <col min="3" max="3" width="16.28515625" style="132" customWidth="1"/>
    <col min="4" max="11" width="10.28515625" style="132" customWidth="1"/>
    <col min="12" max="16384" width="10.28515625" style="132" hidden="1"/>
  </cols>
  <sheetData>
    <row r="1" spans="1:11" ht="15" x14ac:dyDescent="0.25">
      <c r="A1" s="130"/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23.25" x14ac:dyDescent="0.35">
      <c r="A2" s="130"/>
      <c r="B2" s="131"/>
      <c r="C2" s="133" t="s">
        <v>84</v>
      </c>
      <c r="D2" s="134"/>
      <c r="E2" s="134"/>
      <c r="F2" s="131"/>
      <c r="G2" s="131"/>
      <c r="H2" s="131"/>
      <c r="I2" s="131"/>
      <c r="J2" s="131"/>
      <c r="K2" s="131"/>
    </row>
    <row r="3" spans="1:11" ht="15.75" x14ac:dyDescent="0.25">
      <c r="A3" s="130"/>
      <c r="B3" s="131"/>
      <c r="C3" s="135" t="s">
        <v>63</v>
      </c>
      <c r="D3" s="134"/>
      <c r="E3" s="134"/>
      <c r="F3" s="131"/>
      <c r="G3" s="131"/>
      <c r="H3" s="131"/>
      <c r="I3" s="131"/>
      <c r="J3" s="131"/>
      <c r="K3" s="131"/>
    </row>
    <row r="4" spans="1:11" ht="15" x14ac:dyDescent="0.25">
      <c r="A4" s="130"/>
      <c r="B4" s="131"/>
      <c r="C4" s="131"/>
      <c r="D4" s="134"/>
      <c r="E4" s="134"/>
      <c r="F4" s="131"/>
      <c r="G4" s="131"/>
      <c r="H4" s="131"/>
      <c r="I4" s="131"/>
      <c r="J4" s="131"/>
      <c r="K4" s="131"/>
    </row>
    <row r="5" spans="1:11" ht="15" x14ac:dyDescent="0.25">
      <c r="A5" s="130"/>
      <c r="B5" s="131"/>
      <c r="C5" s="136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Property recurrent</v>
      </c>
      <c r="D5" s="131"/>
      <c r="E5" s="131"/>
      <c r="F5" s="131"/>
      <c r="G5" s="131"/>
      <c r="H5" s="131"/>
      <c r="I5" s="131"/>
      <c r="J5" s="131"/>
      <c r="K5" s="131"/>
    </row>
    <row r="6" spans="1:11" ht="15" x14ac:dyDescent="0.25">
      <c r="A6" s="130"/>
      <c r="B6" s="131"/>
      <c r="C6" s="137" t="s">
        <v>64</v>
      </c>
      <c r="D6" s="152" t="str" cm="1">
        <f t="array" aca="1" ref="D6" ca="1">LEFT(_xlfn.TEXTAFTER(CELL("filename")," MOD "),FIND(" - ",_xlfn.TEXTAFTER(CELL("filename")," MOD "),1)-1)</f>
        <v>8.02</v>
      </c>
      <c r="E6" s="137"/>
      <c r="F6" s="131"/>
      <c r="G6" s="131"/>
      <c r="H6" s="131"/>
      <c r="I6" s="131"/>
      <c r="J6" s="131"/>
      <c r="K6" s="131"/>
    </row>
    <row r="7" spans="1:11" ht="15" x14ac:dyDescent="0.25">
      <c r="A7" s="130"/>
      <c r="B7" s="131"/>
      <c r="C7" s="131"/>
      <c r="D7" s="131"/>
      <c r="E7" s="131"/>
      <c r="F7" s="138"/>
      <c r="G7" s="138"/>
      <c r="H7" s="138"/>
      <c r="I7" s="131"/>
      <c r="J7" s="138"/>
      <c r="K7" s="138"/>
    </row>
    <row r="8" spans="1:11" ht="15" x14ac:dyDescent="0.25">
      <c r="A8" s="130"/>
      <c r="B8" s="131"/>
      <c r="C8" s="139">
        <v>45688</v>
      </c>
      <c r="D8" s="131"/>
      <c r="E8" s="131"/>
      <c r="F8" s="138"/>
      <c r="G8" s="138"/>
      <c r="H8" s="138"/>
      <c r="I8" s="131"/>
      <c r="J8" s="138"/>
      <c r="K8" s="138"/>
    </row>
    <row r="9" spans="1:11" ht="15" x14ac:dyDescent="0.25">
      <c r="A9" s="130"/>
      <c r="B9" s="131"/>
      <c r="C9" s="140"/>
      <c r="D9" s="140"/>
      <c r="E9" s="131"/>
      <c r="F9" s="138"/>
      <c r="G9" s="138"/>
      <c r="H9" s="138"/>
      <c r="I9" s="138"/>
      <c r="J9" s="138"/>
      <c r="K9" s="138"/>
    </row>
    <row r="10" spans="1:11" ht="15" x14ac:dyDescent="0.25">
      <c r="A10" s="130"/>
      <c r="B10" s="131"/>
      <c r="C10" s="140"/>
      <c r="D10" s="140"/>
      <c r="E10" s="131"/>
      <c r="F10" s="138"/>
      <c r="G10" s="138"/>
      <c r="H10" s="138"/>
      <c r="I10" s="138"/>
      <c r="J10" s="138"/>
      <c r="K10" s="138"/>
    </row>
    <row r="11" spans="1:11" ht="15" x14ac:dyDescent="0.25">
      <c r="A11" s="130"/>
      <c r="B11" s="131"/>
      <c r="C11" s="140"/>
      <c r="D11" s="140"/>
      <c r="E11" s="131"/>
      <c r="F11" s="138"/>
      <c r="G11" s="138"/>
      <c r="H11" s="138"/>
      <c r="I11" s="138"/>
      <c r="J11" s="138"/>
      <c r="K11" s="138"/>
    </row>
    <row r="12" spans="1:11" ht="15" x14ac:dyDescent="0.25">
      <c r="A12" s="130"/>
      <c r="B12" s="131"/>
      <c r="C12" s="140"/>
      <c r="D12" s="140"/>
      <c r="E12" s="131"/>
      <c r="F12" s="138"/>
      <c r="G12" s="138"/>
      <c r="H12" s="138"/>
      <c r="I12" s="138"/>
      <c r="J12" s="138"/>
      <c r="K12" s="138"/>
    </row>
    <row r="13" spans="1:11" ht="15" x14ac:dyDescent="0.25">
      <c r="A13" s="130"/>
      <c r="B13" s="131"/>
      <c r="C13" s="140"/>
      <c r="D13" s="140"/>
      <c r="E13" s="131"/>
      <c r="F13" s="138"/>
      <c r="G13" s="138"/>
      <c r="H13" s="138"/>
      <c r="I13" s="138"/>
      <c r="J13" s="138"/>
      <c r="K13" s="138"/>
    </row>
    <row r="14" spans="1:11" ht="15" x14ac:dyDescent="0.25">
      <c r="A14" s="130"/>
      <c r="B14" s="131"/>
      <c r="C14" s="138"/>
      <c r="D14" s="138"/>
      <c r="E14" s="138"/>
      <c r="F14" s="138"/>
      <c r="G14" s="138"/>
      <c r="H14" s="138"/>
      <c r="I14" s="138"/>
      <c r="J14" s="138"/>
      <c r="K14" s="138"/>
    </row>
    <row r="15" spans="1:11" ht="15" x14ac:dyDescent="0.25">
      <c r="A15" s="130"/>
      <c r="B15" s="131"/>
      <c r="C15" s="136"/>
      <c r="D15" s="138"/>
      <c r="E15" s="138"/>
      <c r="F15" s="138"/>
      <c r="G15" s="138"/>
      <c r="H15" s="138"/>
      <c r="I15" s="138"/>
      <c r="J15" s="138"/>
      <c r="K15" s="138"/>
    </row>
    <row r="16" spans="1:11" ht="15" x14ac:dyDescent="0.25">
      <c r="A16" s="130"/>
      <c r="B16" s="131"/>
      <c r="C16" s="136"/>
      <c r="D16" s="138"/>
      <c r="E16" s="138"/>
      <c r="F16" s="138"/>
      <c r="G16" s="138"/>
      <c r="H16" s="138"/>
      <c r="I16" s="138"/>
      <c r="J16" s="138"/>
      <c r="K16" s="138"/>
    </row>
    <row r="17" spans="1:11" ht="15" x14ac:dyDescent="0.25">
      <c r="A17" s="130"/>
      <c r="B17" s="131"/>
      <c r="C17" s="138"/>
      <c r="D17" s="138"/>
      <c r="E17" s="138"/>
      <c r="F17" s="138"/>
      <c r="G17" s="138"/>
      <c r="H17" s="138"/>
      <c r="I17" s="138"/>
      <c r="J17" s="138"/>
      <c r="K17" s="138"/>
    </row>
    <row r="18" spans="1:11" ht="15" x14ac:dyDescent="0.25">
      <c r="A18" s="130"/>
      <c r="B18" s="131"/>
      <c r="C18" s="138"/>
      <c r="D18" s="138"/>
      <c r="E18" s="138"/>
      <c r="F18" s="138"/>
      <c r="G18" s="138"/>
      <c r="H18" s="138"/>
      <c r="I18" s="138"/>
      <c r="J18" s="138"/>
      <c r="K18" s="138"/>
    </row>
    <row r="19" spans="1:11" ht="15" x14ac:dyDescent="0.25">
      <c r="A19" s="130"/>
      <c r="B19" s="131"/>
      <c r="C19" s="138"/>
      <c r="D19" s="138"/>
      <c r="E19" s="138"/>
      <c r="F19" s="138"/>
      <c r="H19" s="138"/>
      <c r="I19" s="138"/>
      <c r="J19" s="138"/>
      <c r="K19" s="138"/>
    </row>
    <row r="20" spans="1:11" ht="15" x14ac:dyDescent="0.25">
      <c r="A20" s="130"/>
      <c r="B20" s="131"/>
      <c r="C20" s="138"/>
      <c r="D20" s="138"/>
      <c r="E20" s="138"/>
      <c r="F20" s="138"/>
      <c r="G20" s="138"/>
      <c r="H20" s="138"/>
      <c r="I20" s="138"/>
      <c r="J20" s="138"/>
      <c r="K20" s="138"/>
    </row>
    <row r="21" spans="1:11" ht="15" x14ac:dyDescent="0.25">
      <c r="A21" s="130"/>
      <c r="B21" s="131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ht="15" x14ac:dyDescent="0.25">
      <c r="A22" s="130"/>
      <c r="B22" s="131"/>
      <c r="C22" s="138"/>
      <c r="D22" s="138"/>
      <c r="E22" s="138"/>
      <c r="F22" s="138"/>
      <c r="G22" s="138"/>
      <c r="H22" s="138"/>
      <c r="I22" s="138"/>
      <c r="J22" s="138"/>
      <c r="K22" s="138"/>
    </row>
    <row r="23" spans="1:11" ht="15" x14ac:dyDescent="0.25">
      <c r="A23" s="130"/>
      <c r="B23" s="131"/>
      <c r="C23" s="138"/>
      <c r="D23" s="138"/>
      <c r="E23" s="138"/>
      <c r="F23" s="138"/>
      <c r="G23" s="138"/>
      <c r="H23" s="138"/>
      <c r="I23" s="138"/>
      <c r="J23" s="138"/>
      <c r="K23" s="138"/>
    </row>
    <row r="24" spans="1:11" ht="15" x14ac:dyDescent="0.25">
      <c r="A24" s="130"/>
      <c r="B24" s="131"/>
      <c r="C24" s="138"/>
      <c r="D24" s="138"/>
      <c r="E24" s="138"/>
      <c r="F24" s="138"/>
      <c r="G24" s="138"/>
      <c r="H24" s="138"/>
      <c r="I24" s="138"/>
      <c r="J24" s="138"/>
      <c r="K24" s="138"/>
    </row>
    <row r="25" spans="1:11" ht="15" x14ac:dyDescent="0.25">
      <c r="A25" s="130"/>
      <c r="B25" s="131"/>
      <c r="C25" s="138"/>
      <c r="D25" s="138"/>
      <c r="E25" s="138"/>
      <c r="F25" s="138"/>
      <c r="G25" s="138"/>
      <c r="H25" s="138"/>
      <c r="I25" s="138"/>
      <c r="J25" s="138"/>
      <c r="K25" s="138"/>
    </row>
    <row r="26" spans="1:11" ht="15" x14ac:dyDescent="0.25">
      <c r="A26" s="130"/>
      <c r="B26" s="131"/>
      <c r="C26" s="138"/>
      <c r="D26" s="138"/>
      <c r="E26" s="138"/>
      <c r="F26" s="138"/>
      <c r="G26" s="138"/>
      <c r="H26" s="138"/>
      <c r="I26" s="138"/>
      <c r="J26" s="138"/>
      <c r="K26" s="138"/>
    </row>
    <row r="27" spans="1:11" ht="15" x14ac:dyDescent="0.25">
      <c r="A27" s="130"/>
      <c r="B27" s="131"/>
      <c r="C27" s="138"/>
      <c r="D27" s="138"/>
      <c r="E27" s="138"/>
      <c r="F27" s="138"/>
      <c r="G27" s="138"/>
      <c r="H27" s="138"/>
      <c r="I27" s="138"/>
      <c r="J27" s="138"/>
      <c r="K27" s="138"/>
    </row>
    <row r="28" spans="1:11" ht="15" x14ac:dyDescent="0.25">
      <c r="A28" s="130"/>
      <c r="B28" s="131"/>
      <c r="C28" s="138"/>
      <c r="D28" s="138"/>
      <c r="E28" s="138"/>
      <c r="F28" s="138"/>
      <c r="G28" s="138"/>
      <c r="H28" s="138"/>
      <c r="I28" s="138"/>
      <c r="J28" s="138"/>
      <c r="K28" s="138"/>
    </row>
    <row r="29" spans="1:11" ht="15" x14ac:dyDescent="0.25">
      <c r="A29" s="130"/>
      <c r="B29" s="131"/>
      <c r="C29" s="138"/>
      <c r="D29" s="138"/>
      <c r="E29" s="138"/>
      <c r="F29" s="138"/>
      <c r="G29" s="138"/>
      <c r="H29" s="138"/>
      <c r="I29" s="138"/>
      <c r="J29" s="138"/>
      <c r="K29" s="138"/>
    </row>
    <row r="30" spans="1:11" ht="15" x14ac:dyDescent="0.25">
      <c r="A30" s="130"/>
      <c r="B30" s="131"/>
      <c r="C30" s="138"/>
      <c r="D30" s="131"/>
      <c r="E30" s="138"/>
      <c r="F30" s="138"/>
      <c r="G30" s="138"/>
      <c r="H30" s="138"/>
      <c r="I30" s="138"/>
      <c r="J30" s="138"/>
      <c r="K30" s="138"/>
    </row>
    <row r="31" spans="1:11" ht="15" x14ac:dyDescent="0.25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1" ht="15" x14ac:dyDescent="0.25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31"/>
    </row>
    <row r="33" spans="1:11" ht="15" x14ac:dyDescent="0.25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31"/>
    </row>
    <row r="34" spans="1:11" ht="15" x14ac:dyDescent="0.25">
      <c r="A34" s="130"/>
      <c r="B34" s="131"/>
      <c r="C34" s="131"/>
      <c r="D34" s="131"/>
      <c r="E34" s="131"/>
      <c r="F34" s="131"/>
      <c r="G34" s="131"/>
      <c r="H34" s="131"/>
      <c r="I34" s="131"/>
      <c r="J34" s="131"/>
      <c r="K34" s="131"/>
    </row>
    <row r="35" spans="1:11" ht="15" x14ac:dyDescent="0.25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</row>
    <row r="36" spans="1:11" ht="15" x14ac:dyDescent="0.25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31"/>
    </row>
    <row r="37" spans="1:11" ht="15" x14ac:dyDescent="0.25">
      <c r="A37" s="130"/>
      <c r="B37" s="131"/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ht="15" x14ac:dyDescent="0.25">
      <c r="A38" s="130"/>
      <c r="B38" s="131"/>
      <c r="C38" s="131"/>
      <c r="D38" s="131"/>
      <c r="E38" s="131"/>
      <c r="F38" s="131"/>
      <c r="G38" s="131"/>
      <c r="H38" s="131"/>
      <c r="I38" s="131"/>
      <c r="J38" s="131"/>
      <c r="K38" s="131"/>
    </row>
    <row r="39" spans="1:11" ht="15" x14ac:dyDescent="0.2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1"/>
    </row>
    <row r="40" spans="1:11" ht="15" x14ac:dyDescent="0.25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</row>
    <row r="41" spans="1:11" ht="15" x14ac:dyDescent="0.25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</row>
    <row r="42" spans="1:11" ht="15" x14ac:dyDescent="0.25">
      <c r="A42" s="130"/>
      <c r="B42" s="131"/>
      <c r="C42" s="131"/>
      <c r="D42" s="131"/>
      <c r="E42" s="131"/>
      <c r="F42" s="131"/>
      <c r="G42" s="131"/>
      <c r="H42" s="131"/>
      <c r="I42" s="131"/>
      <c r="J42" s="131"/>
      <c r="K42" s="131"/>
    </row>
    <row r="43" spans="1:11" ht="15" x14ac:dyDescent="0.25">
      <c r="A43" s="130"/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46"/>
  <sheetViews>
    <sheetView showGridLines="0" zoomScale="85" zoomScaleNormal="85" workbookViewId="0">
      <selection activeCell="S32" sqref="S32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Property recurrent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United Energy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84" t="s">
        <v>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 t="s">
        <v>4</v>
      </c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4" t="s">
        <v>0</v>
      </c>
      <c r="P10"/>
    </row>
    <row r="11" spans="1:16" ht="12.75" customHeight="1" x14ac:dyDescent="0.25">
      <c r="C11" s="24" t="s">
        <v>65</v>
      </c>
      <c r="D11" s="107" t="s">
        <v>11</v>
      </c>
      <c r="E11" s="2"/>
      <c r="F11" s="6">
        <f>SUMIFS('Option 1'!R$97:R$100,'Option 2'!$C$97:$C$100,$C11,'Option 2'!$D$97:$D$100,$D11)</f>
        <v>0</v>
      </c>
      <c r="G11" s="6">
        <f>SUMIFS('Option 1'!S$97:S$100,'Option 2'!$C$97:$C$100,$C11,'Option 2'!$D$97:$D$100,$D11)</f>
        <v>0</v>
      </c>
      <c r="H11" s="6">
        <f>SUMIFS('Option 1'!T$97:T$100,'Option 2'!$C$97:$C$100,$C11,'Option 2'!$D$97:$D$100,$D11)</f>
        <v>0</v>
      </c>
      <c r="I11" s="6">
        <f>SUMIFS('Option 1'!U$97:U$100,'Option 2'!$C$97:$C$100,$C11,'Option 2'!$D$97:$D$100,$D11)</f>
        <v>0</v>
      </c>
      <c r="J11" s="6">
        <f>SUMIFS('Option 1'!V$97:V$100,'Option 2'!$C$97:$C$100,$C11,'Option 2'!$D$97:$D$100,$D11)</f>
        <v>0</v>
      </c>
      <c r="K11" s="25">
        <f>SUM(F11:J11)</f>
        <v>0</v>
      </c>
      <c r="M11" s="99"/>
      <c r="P11"/>
    </row>
    <row r="12" spans="1:16" ht="12.75" customHeight="1" x14ac:dyDescent="0.2">
      <c r="C12" s="1" t="s">
        <v>77</v>
      </c>
      <c r="D12" s="107" t="s">
        <v>11</v>
      </c>
      <c r="E12" s="2"/>
      <c r="F12" s="6">
        <f>SUMIFS('Option 1'!R$97:R$100,'Option 2'!$C$97:$C$100,$C12,'Option 2'!$D$97:$D$100,$D12)</f>
        <v>0</v>
      </c>
      <c r="G12" s="6">
        <f>SUMIFS('Option 1'!S$97:S$100,'Option 2'!$C$97:$C$100,$C12,'Option 2'!$D$97:$D$100,$D12)</f>
        <v>0</v>
      </c>
      <c r="H12" s="6">
        <f>SUMIFS('Option 1'!T$97:T$100,'Option 2'!$C$97:$C$100,$C12,'Option 2'!$D$97:$D$100,$D12)</f>
        <v>0</v>
      </c>
      <c r="I12" s="6">
        <f>SUMIFS('Option 1'!U$97:U$100,'Option 2'!$C$97:$C$100,$C12,'Option 2'!$D$97:$D$100,$D12)</f>
        <v>0</v>
      </c>
      <c r="J12" s="6">
        <f>SUMIFS('Option 1'!V$97:V$100,'Option 2'!$C$97:$C$100,$C12,'Option 2'!$D$97:$D$100,$D12)</f>
        <v>0</v>
      </c>
      <c r="K12" s="6">
        <f t="shared" ref="K12:K13" si="0">SUM(F12:J12)</f>
        <v>0</v>
      </c>
      <c r="M12" s="99"/>
    </row>
    <row r="13" spans="1:16" ht="12.75" customHeight="1" x14ac:dyDescent="0.2">
      <c r="C13" s="1" t="s">
        <v>80</v>
      </c>
      <c r="D13" s="107" t="s">
        <v>11</v>
      </c>
      <c r="E13" s="2"/>
      <c r="F13" s="6">
        <f>SUMIFS('Option 1'!R$97:R$100,'Option 2'!$C$97:$C$100,$C13,'Option 2'!$D$97:$D$100,$D13)</f>
        <v>0</v>
      </c>
      <c r="G13" s="6">
        <f>SUMIFS('Option 1'!S$97:S$100,'Option 2'!$C$97:$C$100,$C13,'Option 2'!$D$97:$D$100,$D13)</f>
        <v>0</v>
      </c>
      <c r="H13" s="6">
        <f>SUMIFS('Option 1'!T$97:T$100,'Option 2'!$C$97:$C$100,$C13,'Option 2'!$D$97:$D$100,$D13)</f>
        <v>0</v>
      </c>
      <c r="I13" s="6">
        <f>SUMIFS('Option 1'!U$97:U$100,'Option 2'!$C$97:$C$100,$C13,'Option 2'!$D$97:$D$100,$D13)</f>
        <v>0</v>
      </c>
      <c r="J13" s="6">
        <f>SUMIFS('Option 1'!V$97:V$100,'Option 2'!$C$97:$C$100,$C13,'Option 2'!$D$97:$D$100,$D13)</f>
        <v>0</v>
      </c>
      <c r="K13" s="111">
        <f t="shared" si="0"/>
        <v>0</v>
      </c>
      <c r="M13" s="99"/>
    </row>
    <row r="14" spans="1:16" ht="12.75" customHeight="1" x14ac:dyDescent="0.2">
      <c r="C14" s="102" t="s">
        <v>14</v>
      </c>
      <c r="D14" s="108"/>
      <c r="E14" s="102"/>
      <c r="F14" s="106">
        <f t="shared" ref="F14:K14" si="1">SUM(F11:F13)</f>
        <v>0</v>
      </c>
      <c r="G14" s="106">
        <f t="shared" si="1"/>
        <v>0</v>
      </c>
      <c r="H14" s="106">
        <f t="shared" si="1"/>
        <v>0</v>
      </c>
      <c r="I14" s="106">
        <f t="shared" si="1"/>
        <v>0</v>
      </c>
      <c r="J14" s="106">
        <f t="shared" si="1"/>
        <v>0</v>
      </c>
      <c r="K14" s="106">
        <f t="shared" si="1"/>
        <v>0</v>
      </c>
      <c r="M14" s="99"/>
    </row>
    <row r="15" spans="1:16" ht="12.75" customHeight="1" x14ac:dyDescent="0.2">
      <c r="C15" s="151"/>
      <c r="D15" s="49"/>
      <c r="F15" s="6"/>
      <c r="G15" s="6"/>
      <c r="H15" s="6"/>
      <c r="I15" s="6"/>
      <c r="J15" s="6"/>
      <c r="K15" s="150"/>
      <c r="M15" s="99"/>
    </row>
    <row r="16" spans="1:16" ht="12.75" customHeight="1" x14ac:dyDescent="0.2">
      <c r="C16" s="1" t="s">
        <v>65</v>
      </c>
      <c r="D16" s="107" t="s">
        <v>15</v>
      </c>
      <c r="E16" s="2"/>
      <c r="F16" s="6">
        <f>SUMIFS('Option 1'!R$97:R$100,'Option 2'!$C$97:$C$100,$C16,'Option 2'!$D$97:$D$100,$D16)</f>
        <v>0</v>
      </c>
      <c r="G16" s="6">
        <f>SUMIFS('Option 1'!S$97:S$100,'Option 2'!$C$97:$C$100,$C16,'Option 2'!$D$97:$D$100,$D16)</f>
        <v>0</v>
      </c>
      <c r="H16" s="6">
        <f>SUMIFS('Option 1'!T$97:T$100,'Option 2'!$C$97:$C$100,$C16,'Option 2'!$D$97:$D$100,$D16)</f>
        <v>0</v>
      </c>
      <c r="I16" s="6">
        <f>SUMIFS('Option 1'!U$97:U$100,'Option 2'!$C$97:$C$100,$C16,'Option 2'!$D$97:$D$100,$D16)</f>
        <v>0</v>
      </c>
      <c r="J16" s="6">
        <f>SUMIFS('Option 1'!V$97:V$100,'Option 2'!$C$97:$C$100,$C16,'Option 2'!$D$97:$D$100,$D16)</f>
        <v>0</v>
      </c>
      <c r="K16" s="6">
        <f>SUM(F16:J16)</f>
        <v>0</v>
      </c>
      <c r="M16" s="99"/>
    </row>
    <row r="17" spans="2:13" ht="12.75" customHeight="1" x14ac:dyDescent="0.2">
      <c r="D17" s="49"/>
      <c r="F17" s="6"/>
      <c r="G17" s="6"/>
      <c r="H17" s="6"/>
      <c r="I17" s="6"/>
      <c r="J17" s="6"/>
      <c r="K17" s="6"/>
      <c r="M17" s="99"/>
    </row>
    <row r="18" spans="2:13" ht="12.75" customHeight="1" x14ac:dyDescent="0.2">
      <c r="C18" s="113" t="str">
        <f>"Total Cost ($ "&amp;Assumptions!$C35&amp;")"</f>
        <v>Total Cost ($ June 2026)</v>
      </c>
      <c r="D18" s="21"/>
      <c r="E18" s="21"/>
      <c r="F18" s="22">
        <f>F14+F16</f>
        <v>0</v>
      </c>
      <c r="G18" s="22">
        <f t="shared" ref="G18:J18" si="2">G14+G16</f>
        <v>0</v>
      </c>
      <c r="H18" s="22">
        <f t="shared" si="2"/>
        <v>0</v>
      </c>
      <c r="I18" s="22">
        <f t="shared" si="2"/>
        <v>0</v>
      </c>
      <c r="J18" s="22">
        <f t="shared" si="2"/>
        <v>0</v>
      </c>
      <c r="K18" s="22">
        <f>K14+K16</f>
        <v>0</v>
      </c>
      <c r="L18" s="59">
        <f>K18-'Option 1'!$W$101</f>
        <v>0</v>
      </c>
    </row>
    <row r="19" spans="2:13" ht="12.75" customHeight="1" x14ac:dyDescent="0.2">
      <c r="C19" s="4"/>
      <c r="D19" s="4"/>
      <c r="E19" s="4"/>
      <c r="F19" s="35"/>
      <c r="G19" s="35"/>
      <c r="H19" s="35"/>
      <c r="I19" s="35"/>
      <c r="J19" s="35"/>
      <c r="K19" s="35"/>
    </row>
    <row r="20" spans="2:13" ht="12.75" customHeight="1" x14ac:dyDescent="0.2">
      <c r="C20" s="54" t="s">
        <v>17</v>
      </c>
      <c r="D20" s="22"/>
      <c r="E20" s="22"/>
      <c r="F20" s="22">
        <f>NPV(Assumptions!$B$10,F18:J18)</f>
        <v>0</v>
      </c>
      <c r="G20" s="35"/>
      <c r="H20" s="35"/>
      <c r="I20" s="35"/>
      <c r="J20" s="35"/>
      <c r="K20" s="35"/>
    </row>
    <row r="21" spans="2:13" ht="12.75" customHeight="1" x14ac:dyDescent="0.2">
      <c r="C21" s="33"/>
      <c r="D21" s="33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B22" s="4"/>
      <c r="C22" s="4"/>
      <c r="D22" s="4"/>
      <c r="E22" s="4"/>
      <c r="F22" s="23"/>
      <c r="G22" s="23"/>
      <c r="H22" s="23"/>
      <c r="I22" s="23"/>
      <c r="J22" s="23"/>
      <c r="K22" s="23"/>
    </row>
    <row r="23" spans="2:13" ht="12.75" customHeight="1" x14ac:dyDescent="0.2">
      <c r="B23" s="36" t="s">
        <v>18</v>
      </c>
      <c r="C23" s="36" t="s">
        <v>4</v>
      </c>
      <c r="D23" s="36"/>
      <c r="E23" s="37"/>
      <c r="F23" s="38" t="str">
        <f>F$10</f>
        <v>2026/27</v>
      </c>
      <c r="G23" s="38" t="str">
        <f t="shared" ref="G23:J23" si="3">G$10</f>
        <v>2027/28</v>
      </c>
      <c r="H23" s="38" t="str">
        <f t="shared" si="3"/>
        <v>2028/29</v>
      </c>
      <c r="I23" s="38" t="str">
        <f t="shared" si="3"/>
        <v>2029/30</v>
      </c>
      <c r="J23" s="38" t="str">
        <f t="shared" si="3"/>
        <v>2030/31</v>
      </c>
      <c r="K23" s="74" t="s">
        <v>0</v>
      </c>
    </row>
    <row r="24" spans="2:13" ht="12.75" customHeight="1" x14ac:dyDescent="0.2">
      <c r="C24" s="24" t="s">
        <v>65</v>
      </c>
      <c r="D24" s="107" t="s">
        <v>11</v>
      </c>
      <c r="E24" s="2"/>
      <c r="F24" s="6">
        <f>SUMIFS('Option 2'!R$97:R$100,'Option 2'!$C$97:$C$100,$C24,'Option 2'!$D$97:$D$100,$D24)</f>
        <v>386554.57523731724</v>
      </c>
      <c r="G24" s="6">
        <f>SUMIFS('Option 2'!S$97:S$100,'Option 2'!$C$97:$C$100,$C24,'Option 2'!$D$97:$D$100,$D24)</f>
        <v>386554.57523731724</v>
      </c>
      <c r="H24" s="6">
        <f>SUMIFS('Option 2'!T$97:T$100,'Option 2'!$C$97:$C$100,$C24,'Option 2'!$D$97:$D$100,$D24)</f>
        <v>386554.57523731724</v>
      </c>
      <c r="I24" s="6">
        <f>SUMIFS('Option 2'!U$97:U$100,'Option 2'!$C$97:$C$100,$C24,'Option 2'!$D$97:$D$100,$D24)</f>
        <v>386554.57523731724</v>
      </c>
      <c r="J24" s="6">
        <f>SUMIFS('Option 2'!V$97:V$100,'Option 2'!$C$97:$C$100,$C24,'Option 2'!$D$97:$D$100,$D24)</f>
        <v>386554.57523731724</v>
      </c>
      <c r="K24" s="25">
        <f>SUM(F24:J24)</f>
        <v>1932772.8761865862</v>
      </c>
      <c r="M24" s="99"/>
    </row>
    <row r="25" spans="2:13" x14ac:dyDescent="0.2">
      <c r="C25" s="1" t="s">
        <v>77</v>
      </c>
      <c r="D25" s="107" t="s">
        <v>11</v>
      </c>
      <c r="E25" s="2"/>
      <c r="F25" s="6">
        <f>SUMIFS('Option 2'!R$97:R$100,'Option 2'!$C$97:$C$100,$C25,'Option 2'!$D$97:$D$100,$D25)</f>
        <v>173006.09758487387</v>
      </c>
      <c r="G25" s="6">
        <f>SUMIFS('Option 2'!S$97:S$100,'Option 2'!$C$97:$C$100,$C25,'Option 2'!$D$97:$D$100,$D25)</f>
        <v>185640.30434428298</v>
      </c>
      <c r="H25" s="6">
        <f>SUMIFS('Option 2'!T$97:T$100,'Option 2'!$C$97:$C$100,$C25,'Option 2'!$D$97:$D$100,$D25)</f>
        <v>199184.51259557588</v>
      </c>
      <c r="I25" s="6">
        <f>SUMIFS('Option 2'!U$97:U$100,'Option 2'!$C$97:$C$100,$C25,'Option 2'!$D$97:$D$100,$D25)</f>
        <v>213723.37364032309</v>
      </c>
      <c r="J25" s="6">
        <f>SUMIFS('Option 2'!V$97:V$100,'Option 2'!$C$97:$C$100,$C25,'Option 2'!$D$97:$D$100,$D25)</f>
        <v>255054.37163215902</v>
      </c>
      <c r="K25" s="6">
        <f t="shared" ref="K25:K26" si="4">SUM(F25:J25)</f>
        <v>1026608.6597972148</v>
      </c>
      <c r="M25" s="99"/>
    </row>
    <row r="26" spans="2:13" x14ac:dyDescent="0.2">
      <c r="C26" s="1" t="s">
        <v>80</v>
      </c>
      <c r="D26" s="107" t="s">
        <v>11</v>
      </c>
      <c r="E26" s="2"/>
      <c r="F26" s="6">
        <f>SUMIFS('Option 2'!R$97:R$100,'Option 2'!$C$97:$C$100,$C26,'Option 2'!$D$97:$D$100,$D26)</f>
        <v>578932.10184458224</v>
      </c>
      <c r="G26" s="6">
        <f>SUMIFS('Option 2'!S$97:S$100,'Option 2'!$C$97:$C$100,$C26,'Option 2'!$D$97:$D$100,$D26)</f>
        <v>374962.95608024544</v>
      </c>
      <c r="H26" s="6">
        <f>SUMIFS('Option 2'!T$97:T$100,'Option 2'!$C$97:$C$100,$C26,'Option 2'!$D$97:$D$100,$D26)</f>
        <v>243429.80800085727</v>
      </c>
      <c r="I26" s="6">
        <f>SUMIFS('Option 2'!U$97:U$100,'Option 2'!$C$97:$C$100,$C26,'Option 2'!$D$97:$D$100,$D26)</f>
        <v>458351.54240239807</v>
      </c>
      <c r="J26" s="6">
        <f>SUMIFS('Option 2'!V$97:V$100,'Option 2'!$C$97:$C$100,$C26,'Option 2'!$D$97:$D$100,$D26)</f>
        <v>0</v>
      </c>
      <c r="K26" s="111">
        <f t="shared" si="4"/>
        <v>1655676.4083280831</v>
      </c>
      <c r="M26" s="99"/>
    </row>
    <row r="27" spans="2:13" x14ac:dyDescent="0.2">
      <c r="C27" s="102" t="s">
        <v>14</v>
      </c>
      <c r="D27" s="108"/>
      <c r="E27" s="102"/>
      <c r="F27" s="106">
        <f t="shared" ref="F27:K27" si="5">SUM(F24:F26)</f>
        <v>1138492.7746667734</v>
      </c>
      <c r="G27" s="106">
        <f t="shared" si="5"/>
        <v>947157.83566184563</v>
      </c>
      <c r="H27" s="106">
        <f t="shared" si="5"/>
        <v>829168.89583375037</v>
      </c>
      <c r="I27" s="106">
        <f t="shared" si="5"/>
        <v>1058629.4912800384</v>
      </c>
      <c r="J27" s="106">
        <f t="shared" si="5"/>
        <v>641608.94686947623</v>
      </c>
      <c r="K27" s="106">
        <f t="shared" si="5"/>
        <v>4615057.9443118842</v>
      </c>
      <c r="M27" s="99"/>
    </row>
    <row r="28" spans="2:13" x14ac:dyDescent="0.2">
      <c r="C28" s="151"/>
      <c r="D28" s="49"/>
      <c r="F28" s="6"/>
      <c r="G28" s="6"/>
      <c r="H28" s="6"/>
      <c r="I28" s="6"/>
      <c r="J28" s="6"/>
      <c r="K28" s="150"/>
      <c r="M28" s="99"/>
    </row>
    <row r="29" spans="2:13" x14ac:dyDescent="0.2">
      <c r="C29" s="1" t="s">
        <v>65</v>
      </c>
      <c r="D29" s="107" t="s">
        <v>15</v>
      </c>
      <c r="E29" s="2"/>
      <c r="F29" s="6">
        <f>SUMIFS('Option 2'!R$97:R$100,'Option 2'!$C$97:$C$100,$C29,'Option 2'!$D$97:$D$100,$D29)</f>
        <v>188381.64858532086</v>
      </c>
      <c r="G29" s="6">
        <f>SUMIFS('Option 2'!S$97:S$100,'Option 2'!$C$97:$C$100,$C29,'Option 2'!$D$97:$D$100,$D29)</f>
        <v>188381.64858532086</v>
      </c>
      <c r="H29" s="6">
        <f>SUMIFS('Option 2'!T$97:T$100,'Option 2'!$C$97:$C$100,$C29,'Option 2'!$D$97:$D$100,$D29)</f>
        <v>188381.64858532086</v>
      </c>
      <c r="I29" s="6">
        <f>SUMIFS('Option 2'!U$97:U$100,'Option 2'!$C$97:$C$100,$C29,'Option 2'!$D$97:$D$100,$D29)</f>
        <v>188381.64858532086</v>
      </c>
      <c r="J29" s="6">
        <f>SUMIFS('Option 2'!V$97:V$100,'Option 2'!$C$97:$C$100,$C29,'Option 2'!$D$97:$D$100,$D29)</f>
        <v>188381.64858532086</v>
      </c>
      <c r="K29" s="6">
        <f>SUM(F29:J29)</f>
        <v>941908.24292660435</v>
      </c>
      <c r="M29" s="99"/>
    </row>
    <row r="30" spans="2:13" x14ac:dyDescent="0.2">
      <c r="D30" s="49"/>
      <c r="F30" s="6"/>
      <c r="G30" s="6"/>
      <c r="H30" s="6"/>
      <c r="I30" s="6"/>
      <c r="J30" s="6"/>
      <c r="K30" s="6"/>
      <c r="M30" s="99"/>
    </row>
    <row r="31" spans="2:13" x14ac:dyDescent="0.2">
      <c r="C31" s="113" t="str">
        <f>"Total Cost ($ "&amp;Assumptions!$C$35&amp;")"</f>
        <v>Total Cost ($ June 2026)</v>
      </c>
      <c r="D31" s="21"/>
      <c r="E31" s="21"/>
      <c r="F31" s="22">
        <f>F27+F29</f>
        <v>1326874.4232520943</v>
      </c>
      <c r="G31" s="22">
        <f t="shared" ref="G31:K31" si="6">G27+G29</f>
        <v>1135539.4842471664</v>
      </c>
      <c r="H31" s="22">
        <f t="shared" si="6"/>
        <v>1017550.5444190712</v>
      </c>
      <c r="I31" s="22">
        <f t="shared" si="6"/>
        <v>1247011.1398653593</v>
      </c>
      <c r="J31" s="22">
        <f t="shared" si="6"/>
        <v>829990.59545479715</v>
      </c>
      <c r="K31" s="22">
        <f t="shared" si="6"/>
        <v>5556966.1872384883</v>
      </c>
      <c r="L31" s="59">
        <f>K31-'Option 2'!$W$101</f>
        <v>0</v>
      </c>
    </row>
    <row r="33" spans="2:13" x14ac:dyDescent="0.2">
      <c r="C33" s="54" t="s">
        <v>17</v>
      </c>
      <c r="D33" s="22"/>
      <c r="E33" s="22"/>
      <c r="F33" s="22">
        <f>NPV(Assumptions!$B$10,F31:J31)</f>
        <v>5045342.7999011762</v>
      </c>
    </row>
    <row r="34" spans="2:13" x14ac:dyDescent="0.2">
      <c r="B34" s="26"/>
      <c r="C34" s="33"/>
      <c r="D34" s="33"/>
      <c r="E34" s="26"/>
      <c r="F34" s="26"/>
      <c r="G34" s="26"/>
      <c r="H34" s="26"/>
      <c r="I34" s="26"/>
      <c r="J34" s="26"/>
      <c r="K34" s="26"/>
    </row>
    <row r="36" spans="2:13" x14ac:dyDescent="0.2">
      <c r="B36" s="36" t="s">
        <v>2</v>
      </c>
      <c r="C36" s="36" t="s">
        <v>4</v>
      </c>
      <c r="D36" s="36"/>
      <c r="E36" s="37"/>
      <c r="F36" s="38" t="str">
        <f>F$10</f>
        <v>2026/27</v>
      </c>
      <c r="G36" s="38" t="str">
        <f t="shared" ref="G36:J36" si="7">G$10</f>
        <v>2027/28</v>
      </c>
      <c r="H36" s="38" t="str">
        <f t="shared" si="7"/>
        <v>2028/29</v>
      </c>
      <c r="I36" s="38" t="str">
        <f t="shared" si="7"/>
        <v>2029/30</v>
      </c>
      <c r="J36" s="38" t="str">
        <f t="shared" si="7"/>
        <v>2030/31</v>
      </c>
      <c r="K36" s="74" t="s">
        <v>0</v>
      </c>
    </row>
    <row r="37" spans="2:13" x14ac:dyDescent="0.2">
      <c r="C37" s="24" t="s">
        <v>65</v>
      </c>
      <c r="D37" s="107" t="s">
        <v>11</v>
      </c>
      <c r="E37" s="2"/>
      <c r="F37" s="6">
        <f>SUMIFS('Option 3'!T$97:T$100,'Option 3'!$C$97:$C$100,$C37,'Option 3'!$D$97:$D$100,$D37)</f>
        <v>629221.3343126314</v>
      </c>
      <c r="G37" s="6">
        <f>SUMIFS('Option 3'!U$97:U$100,'Option 3'!$C$97:$C$100,$C37,'Option 3'!$D$97:$D$100,$D37)</f>
        <v>629221.3343126314</v>
      </c>
      <c r="H37" s="6">
        <f>SUMIFS('Option 3'!V$97:V$100,'Option 3'!$C$97:$C$100,$C37,'Option 3'!$D$97:$D$100,$D37)</f>
        <v>629221.3343126314</v>
      </c>
      <c r="I37" s="6">
        <f>SUMIFS('Option 3'!W$97:W$100,'Option 3'!$C$97:$C$100,$C37,'Option 3'!$D$97:$D$100,$D37)</f>
        <v>629221.3343126314</v>
      </c>
      <c r="J37" s="6">
        <f>SUMIFS('Option 3'!X$97:X$100,'Option 3'!$C$97:$C$100,$C37,'Option 3'!$D$97:$D$100,$D37)</f>
        <v>629221.3343126314</v>
      </c>
      <c r="K37" s="25">
        <f>SUM(F37:J37)</f>
        <v>3146106.6715631569</v>
      </c>
      <c r="M37" s="99"/>
    </row>
    <row r="38" spans="2:13" x14ac:dyDescent="0.2">
      <c r="C38" s="1" t="s">
        <v>77</v>
      </c>
      <c r="D38" s="107" t="s">
        <v>11</v>
      </c>
      <c r="E38" s="2"/>
      <c r="F38" s="6">
        <f>SUMIFS('Option 3'!T$97:T$100,'Option 3'!$C$97:$C$100,$C38,'Option 3'!$D$97:$D$100,$D38)</f>
        <v>173006.09758487387</v>
      </c>
      <c r="G38" s="6">
        <f>SUMIFS('Option 3'!U$97:U$100,'Option 3'!$C$97:$C$100,$C38,'Option 3'!$D$97:$D$100,$D38)</f>
        <v>185640.30434428298</v>
      </c>
      <c r="H38" s="6">
        <f>SUMIFS('Option 3'!V$97:V$100,'Option 3'!$C$97:$C$100,$C38,'Option 3'!$D$97:$D$100,$D38)</f>
        <v>199184.51259557588</v>
      </c>
      <c r="I38" s="6">
        <f>SUMIFS('Option 3'!W$97:W$100,'Option 3'!$C$97:$C$100,$C38,'Option 3'!$D$97:$D$100,$D38)</f>
        <v>213723.37364032309</v>
      </c>
      <c r="J38" s="6">
        <f>SUMIFS('Option 3'!X$97:X$100,'Option 3'!$C$97:$C$100,$C38,'Option 3'!$D$97:$D$100,$D38)</f>
        <v>255054.37163215902</v>
      </c>
      <c r="K38" s="6">
        <f t="shared" ref="K38:K39" si="8">SUM(F38:J38)</f>
        <v>1026608.6597972148</v>
      </c>
      <c r="M38" s="99"/>
    </row>
    <row r="39" spans="2:13" x14ac:dyDescent="0.2">
      <c r="C39" s="1" t="s">
        <v>80</v>
      </c>
      <c r="D39" s="107" t="s">
        <v>11</v>
      </c>
      <c r="E39" s="2"/>
      <c r="F39" s="6">
        <f>SUMIFS('Option 3'!T$97:T$100,'Option 3'!$C$97:$C$100,$C39,'Option 3'!$D$97:$D$100,$D39)</f>
        <v>1412817.9650661091</v>
      </c>
      <c r="G39" s="6">
        <f>SUMIFS('Option 3'!U$97:U$100,'Option 3'!$C$97:$C$100,$C39,'Option 3'!$D$97:$D$100,$D39)</f>
        <v>374962.95608024544</v>
      </c>
      <c r="H39" s="6">
        <f>SUMIFS('Option 3'!V$97:V$100,'Option 3'!$C$97:$C$100,$C39,'Option 3'!$D$97:$D$100,$D39)</f>
        <v>243429.80800085727</v>
      </c>
      <c r="I39" s="6">
        <f>SUMIFS('Option 3'!W$97:W$100,'Option 3'!$C$97:$C$100,$C39,'Option 3'!$D$97:$D$100,$D39)</f>
        <v>791905.88769100851</v>
      </c>
      <c r="J39" s="6">
        <f>SUMIFS('Option 3'!X$97:X$100,'Option 3'!$C$97:$C$100,$C39,'Option 3'!$D$97:$D$100,$D39)</f>
        <v>0</v>
      </c>
      <c r="K39" s="111">
        <f t="shared" si="8"/>
        <v>2823116.6168382205</v>
      </c>
      <c r="M39" s="99"/>
    </row>
    <row r="40" spans="2:13" x14ac:dyDescent="0.2">
      <c r="C40" s="102" t="s">
        <v>14</v>
      </c>
      <c r="D40" s="108"/>
      <c r="E40" s="102"/>
      <c r="F40" s="106">
        <f t="shared" ref="F40:K40" si="9">SUM(F37:F39)</f>
        <v>2215045.3969636145</v>
      </c>
      <c r="G40" s="106">
        <f t="shared" si="9"/>
        <v>1189824.5947371598</v>
      </c>
      <c r="H40" s="106">
        <f t="shared" si="9"/>
        <v>1071835.6549090645</v>
      </c>
      <c r="I40" s="106">
        <f t="shared" si="9"/>
        <v>1634850.595643963</v>
      </c>
      <c r="J40" s="106">
        <f t="shared" si="9"/>
        <v>884275.70594479039</v>
      </c>
      <c r="K40" s="106">
        <f t="shared" si="9"/>
        <v>6995831.9481985923</v>
      </c>
      <c r="M40" s="99"/>
    </row>
    <row r="41" spans="2:13" x14ac:dyDescent="0.2">
      <c r="C41" s="151"/>
      <c r="D41" s="49"/>
      <c r="F41" s="6"/>
      <c r="G41" s="6"/>
      <c r="H41" s="6"/>
      <c r="I41" s="6"/>
      <c r="J41" s="6"/>
      <c r="K41" s="150"/>
      <c r="M41" s="99"/>
    </row>
    <row r="42" spans="2:13" x14ac:dyDescent="0.2">
      <c r="C42" s="1" t="s">
        <v>65</v>
      </c>
      <c r="D42" s="107" t="s">
        <v>15</v>
      </c>
      <c r="E42" s="2"/>
      <c r="F42" s="6">
        <f>SUMIFS('Option 3'!T$97:T$100,'Option 3'!$C$97:$C$100,$C42,'Option 3'!$D$97:$D$100,$D42)</f>
        <v>0</v>
      </c>
      <c r="G42" s="6">
        <f>SUMIFS('Option 3'!U$97:U$100,'Option 3'!$C$97:$C$100,$C42,'Option 3'!$D$97:$D$100,$D42)</f>
        <v>0</v>
      </c>
      <c r="H42" s="6">
        <f>SUMIFS('Option 3'!V$97:V$100,'Option 3'!$C$97:$C$100,$C42,'Option 3'!$D$97:$D$100,$D42)</f>
        <v>0</v>
      </c>
      <c r="I42" s="6">
        <f>SUMIFS('Option 3'!W$97:W$100,'Option 3'!$C$97:$C$100,$C42,'Option 3'!$D$97:$D$100,$D42)</f>
        <v>0</v>
      </c>
      <c r="J42" s="6">
        <f>SUMIFS('Option 3'!X$97:X$100,'Option 3'!$C$97:$C$100,$C42,'Option 3'!$D$97:$D$100,$D42)</f>
        <v>0</v>
      </c>
      <c r="K42" s="6">
        <f>SUM(F42:J42)</f>
        <v>0</v>
      </c>
    </row>
    <row r="43" spans="2:13" x14ac:dyDescent="0.2">
      <c r="D43" s="49"/>
      <c r="F43" s="6"/>
      <c r="G43" s="6"/>
      <c r="H43" s="6"/>
      <c r="I43" s="6"/>
      <c r="J43" s="6"/>
      <c r="K43" s="6"/>
    </row>
    <row r="44" spans="2:13" x14ac:dyDescent="0.2">
      <c r="B44" s="26"/>
      <c r="C44" s="113" t="str">
        <f>"Total Cost ($ "&amp;Assumptions!$C$35&amp;")"</f>
        <v>Total Cost ($ June 2026)</v>
      </c>
      <c r="D44" s="21"/>
      <c r="E44" s="21"/>
      <c r="F44" s="22">
        <f>F40+F42</f>
        <v>2215045.3969636145</v>
      </c>
      <c r="G44" s="22">
        <f t="shared" ref="G44:K44" si="10">G40+G42</f>
        <v>1189824.5947371598</v>
      </c>
      <c r="H44" s="22">
        <f t="shared" si="10"/>
        <v>1071835.6549090645</v>
      </c>
      <c r="I44" s="22">
        <f t="shared" si="10"/>
        <v>1634850.595643963</v>
      </c>
      <c r="J44" s="22">
        <f t="shared" si="10"/>
        <v>884275.70594479039</v>
      </c>
      <c r="K44" s="22">
        <f t="shared" si="10"/>
        <v>6995831.9481985923</v>
      </c>
      <c r="L44" s="59">
        <f>K44-'Option 3'!$Y$101</f>
        <v>0</v>
      </c>
    </row>
    <row r="46" spans="2:13" x14ac:dyDescent="0.2">
      <c r="C46" s="54" t="s">
        <v>17</v>
      </c>
      <c r="D46" s="22"/>
      <c r="E46" s="22"/>
      <c r="F46" s="22">
        <f>NPV(Assumptions!$B$10,F44:J44)</f>
        <v>6386803.0830571828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E592DF-ED89-43F6-B80A-8222194A4436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C24" sqref="C24"/>
    </sheetView>
  </sheetViews>
  <sheetFormatPr defaultColWidth="14.42578125" defaultRowHeight="15" customHeight="1" x14ac:dyDescent="0.25"/>
  <cols>
    <col min="1" max="1" width="24.42578125" customWidth="1"/>
    <col min="2" max="2" width="16.28515625" customWidth="1"/>
    <col min="3" max="3" width="11.85546875" bestFit="1" customWidth="1"/>
    <col min="4" max="4" width="2.7109375" customWidth="1"/>
    <col min="5" max="8" width="9" bestFit="1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Property recurrent</v>
      </c>
      <c r="B1" s="14"/>
      <c r="C1" s="14"/>
      <c r="D1" s="14"/>
      <c r="E1" s="14"/>
      <c r="F1" s="14"/>
      <c r="G1" s="14"/>
      <c r="H1" s="14"/>
      <c r="I1" s="11"/>
      <c r="J1" s="11"/>
      <c r="K1" s="11"/>
    </row>
    <row r="2" spans="1:35" ht="15.75" x14ac:dyDescent="0.25">
      <c r="A2" s="60" t="str">
        <f>Business</f>
        <v>United Energy</v>
      </c>
      <c r="B2" s="13"/>
      <c r="C2" s="13"/>
      <c r="D2" s="13"/>
      <c r="E2" s="13"/>
      <c r="F2" s="13"/>
      <c r="G2" s="13"/>
      <c r="H2" s="13"/>
      <c r="I2" s="11"/>
      <c r="J2" s="11"/>
      <c r="K2" s="11"/>
    </row>
    <row r="3" spans="1:35" s="18" customFormat="1" ht="12.75" customHeight="1" x14ac:dyDescent="0.25">
      <c r="A3" s="30" t="s">
        <v>20</v>
      </c>
      <c r="B3" s="28"/>
      <c r="C3" s="28"/>
      <c r="D3" s="28"/>
      <c r="E3" s="28"/>
      <c r="F3" s="28"/>
      <c r="G3" s="28"/>
      <c r="H3" s="13"/>
      <c r="I3" s="29"/>
      <c r="J3" s="29"/>
      <c r="K3" s="29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19</v>
      </c>
      <c r="B4" s="42" t="s">
        <v>20</v>
      </c>
      <c r="C4" s="27" t="s">
        <v>21</v>
      </c>
      <c r="D4" s="27" t="s">
        <v>22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23</v>
      </c>
      <c r="B6" s="77" t="s">
        <v>75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24</v>
      </c>
      <c r="B8" s="78" t="s">
        <v>84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25</v>
      </c>
      <c r="B10" s="142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26</v>
      </c>
      <c r="B12" s="79" t="s">
        <v>67</v>
      </c>
      <c r="C12" s="44" t="s">
        <v>27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28</v>
      </c>
      <c r="B14" s="143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1" ht="12.75" customHeight="1" x14ac:dyDescent="0.25">
      <c r="A17" s="53" t="s">
        <v>29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12.75" customHeight="1" x14ac:dyDescent="0.25">
      <c r="A18" s="44"/>
      <c r="B18" s="93"/>
    </row>
    <row r="19" spans="1:11" ht="12.75" customHeight="1" x14ac:dyDescent="0.25">
      <c r="A19" s="44"/>
      <c r="B19" s="93"/>
      <c r="D19" s="44"/>
      <c r="E19" s="44"/>
    </row>
    <row r="20" spans="1:11" ht="12.75" customHeight="1" x14ac:dyDescent="0.25">
      <c r="A20" s="44" t="s">
        <v>84</v>
      </c>
      <c r="B20" s="94">
        <v>1</v>
      </c>
      <c r="D20" s="44"/>
      <c r="E20" s="44"/>
    </row>
    <row r="21" spans="1:11" ht="12.75" customHeight="1" x14ac:dyDescent="0.25">
      <c r="A21" s="44"/>
      <c r="B21" s="95">
        <f>SUM(B18:B20)</f>
        <v>1</v>
      </c>
      <c r="D21" s="44"/>
      <c r="E21" s="44"/>
    </row>
    <row r="22" spans="1:11" ht="12.75" customHeight="1" x14ac:dyDescent="0.25">
      <c r="A22" s="44"/>
      <c r="B22" s="44"/>
      <c r="C22" s="44"/>
      <c r="D22" s="44"/>
      <c r="E22" s="44"/>
    </row>
    <row r="23" spans="1:11" ht="12.75" customHeight="1" x14ac:dyDescent="0.25">
      <c r="A23" s="53" t="s">
        <v>30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1" ht="12.75" customHeight="1" x14ac:dyDescent="0.25">
      <c r="A24" s="44" t="s">
        <v>3</v>
      </c>
      <c r="B24" s="86" t="s">
        <v>82</v>
      </c>
      <c r="C24" s="87"/>
      <c r="D24" s="87"/>
      <c r="E24" s="87"/>
      <c r="F24" s="87"/>
      <c r="G24" s="87"/>
      <c r="H24" s="87"/>
      <c r="I24" s="87"/>
      <c r="J24" s="88"/>
    </row>
    <row r="25" spans="1:11" ht="12.75" customHeight="1" x14ac:dyDescent="0.25">
      <c r="A25" s="44" t="s">
        <v>18</v>
      </c>
      <c r="B25" s="89" t="s">
        <v>83</v>
      </c>
      <c r="C25" s="90"/>
      <c r="D25" s="90"/>
      <c r="E25" s="90"/>
      <c r="F25" s="90"/>
      <c r="G25" s="90"/>
      <c r="H25" s="90"/>
      <c r="I25" s="90"/>
      <c r="J25" s="91"/>
    </row>
    <row r="26" spans="1:11" ht="12.75" customHeight="1" x14ac:dyDescent="0.25">
      <c r="A26" s="44" t="s">
        <v>2</v>
      </c>
      <c r="B26" s="89" t="s">
        <v>83</v>
      </c>
      <c r="C26" s="90"/>
      <c r="D26" s="90"/>
      <c r="E26" s="90"/>
      <c r="F26" s="90"/>
      <c r="G26" s="90"/>
      <c r="H26" s="90"/>
      <c r="I26" s="90"/>
      <c r="J26" s="91"/>
    </row>
    <row r="27" spans="1:11" ht="12.75" customHeight="1" x14ac:dyDescent="0.25">
      <c r="A27" s="44"/>
      <c r="B27" s="92"/>
      <c r="C27" s="92"/>
      <c r="D27" s="92"/>
      <c r="E27" s="92"/>
      <c r="F27" s="92"/>
      <c r="G27" s="92"/>
    </row>
    <row r="28" spans="1:11" ht="12.75" customHeight="1" x14ac:dyDescent="0.25">
      <c r="A28" s="44"/>
      <c r="B28" s="92"/>
      <c r="C28" s="92"/>
      <c r="D28" s="92"/>
      <c r="E28" s="92"/>
      <c r="F28" s="92"/>
      <c r="G28" s="92"/>
    </row>
    <row r="29" spans="1:11" x14ac:dyDescent="0.25">
      <c r="A29" s="39" t="s">
        <v>74</v>
      </c>
      <c r="B29" s="39"/>
      <c r="C29" s="39"/>
      <c r="D29" s="40"/>
      <c r="E29" s="141" t="s">
        <v>66</v>
      </c>
      <c r="F29" s="141" t="s">
        <v>67</v>
      </c>
      <c r="G29" s="141" t="s">
        <v>68</v>
      </c>
      <c r="H29" s="141" t="s">
        <v>69</v>
      </c>
      <c r="I29" s="101"/>
      <c r="J29" s="40"/>
      <c r="K29" s="40"/>
    </row>
    <row r="30" spans="1:11" x14ac:dyDescent="0.25">
      <c r="A30" s="124" t="s">
        <v>62</v>
      </c>
      <c r="B30" s="125"/>
      <c r="C30" s="126"/>
      <c r="D30" s="127"/>
      <c r="E30" s="128">
        <v>1.1757125218136175</v>
      </c>
      <c r="F30" s="128">
        <v>1.1129126464165966</v>
      </c>
      <c r="G30" s="128">
        <v>1.050660524730181</v>
      </c>
      <c r="H30" s="128">
        <v>1.014889156509222</v>
      </c>
      <c r="I30" s="129"/>
      <c r="J30" s="127"/>
      <c r="K30" s="127"/>
    </row>
    <row r="31" spans="1:11" x14ac:dyDescent="0.25">
      <c r="B31" s="1"/>
      <c r="D31" s="57"/>
      <c r="I31" s="70"/>
      <c r="J31" s="58"/>
      <c r="K31" s="58"/>
    </row>
    <row r="32" spans="1:11" x14ac:dyDescent="0.25">
      <c r="A32" s="1"/>
      <c r="B32" s="1"/>
      <c r="D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31</v>
      </c>
      <c r="C35" s="153" t="s">
        <v>69</v>
      </c>
      <c r="D35" t="s">
        <v>27</v>
      </c>
    </row>
    <row r="36" spans="1:11" ht="12.75" customHeight="1" x14ac:dyDescent="0.25">
      <c r="A36" s="44" t="s">
        <v>32</v>
      </c>
      <c r="C36" s="43" t="str">
        <f>$B$12</f>
        <v>June 2024</v>
      </c>
    </row>
    <row r="37" spans="1:11" ht="12.75" customHeight="1" x14ac:dyDescent="0.25">
      <c r="A37" s="44" t="s">
        <v>33</v>
      </c>
      <c r="C37" s="96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34</v>
      </c>
      <c r="C41" s="154" t="s">
        <v>35</v>
      </c>
      <c r="D41" t="s">
        <v>70</v>
      </c>
    </row>
    <row r="42" spans="1:11" ht="12.75" customHeight="1" x14ac:dyDescent="0.25">
      <c r="A42" s="44" t="s">
        <v>32</v>
      </c>
      <c r="C42" s="97">
        <v>135.18960020374115</v>
      </c>
      <c r="D42" t="s">
        <v>71</v>
      </c>
    </row>
    <row r="43" spans="1:11" ht="12.75" customHeight="1" x14ac:dyDescent="0.25">
      <c r="A43" s="44" t="s">
        <v>33</v>
      </c>
      <c r="C43" s="98">
        <v>145.77740895836223</v>
      </c>
      <c r="D43" t="s">
        <v>72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AA102"/>
  <sheetViews>
    <sheetView showGridLines="0" zoomScale="80" zoomScaleNormal="80" workbookViewId="0">
      <pane ySplit="9" topLeftCell="A10" activePane="bottomLeft" state="frozen"/>
      <selection activeCell="C24" sqref="C24"/>
      <selection pane="bottomLeft" activeCell="C24" sqref="C2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3" style="1" customWidth="1"/>
    <col min="7" max="7" width="14.140625" style="1" customWidth="1"/>
    <col min="8" max="8" width="2.85546875" style="1" customWidth="1"/>
    <col min="9" max="9" width="12.140625" style="1" customWidth="1"/>
    <col min="10" max="10" width="12.7109375" style="9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63" t="str">
        <f>Project_name</f>
        <v>Property recurrent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60" t="str">
        <f>Business</f>
        <v>United Energy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29"/>
      <c r="U3" s="29"/>
      <c r="V3" s="29"/>
      <c r="X3" s="48" t="b">
        <f>SUM(X7:X53)=0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50" t="s">
        <v>40</v>
      </c>
      <c r="D7" s="65" t="s">
        <v>41</v>
      </c>
      <c r="E7" s="65" t="s">
        <v>42</v>
      </c>
      <c r="F7" s="65" t="s">
        <v>76</v>
      </c>
      <c r="G7" s="110" t="s">
        <v>43</v>
      </c>
      <c r="H7" s="16"/>
      <c r="I7" s="19" t="s">
        <v>10</v>
      </c>
      <c r="J7" s="19" t="s">
        <v>44</v>
      </c>
      <c r="L7" s="19" t="s">
        <v>45</v>
      </c>
      <c r="M7" s="20"/>
      <c r="N7" s="20"/>
      <c r="O7" s="20"/>
      <c r="P7" s="20"/>
      <c r="R7" s="19" t="s">
        <v>46</v>
      </c>
      <c r="S7" s="20"/>
      <c r="T7" s="20"/>
      <c r="U7" s="20"/>
      <c r="V7" s="20"/>
    </row>
    <row r="8" spans="1:27" ht="12.75" customHeight="1" x14ac:dyDescent="0.2">
      <c r="A8" s="4"/>
      <c r="B8" s="4"/>
      <c r="C8" s="100"/>
      <c r="D8" s="100" t="s">
        <v>39</v>
      </c>
      <c r="E8" s="100"/>
      <c r="F8" s="100"/>
      <c r="G8" s="100" t="s">
        <v>47</v>
      </c>
      <c r="H8" s="16"/>
      <c r="I8" s="109" t="s">
        <v>48</v>
      </c>
      <c r="J8" s="100"/>
      <c r="L8" s="51" t="s">
        <v>5</v>
      </c>
      <c r="M8" s="51" t="s">
        <v>6</v>
      </c>
      <c r="N8" s="51" t="s">
        <v>7</v>
      </c>
      <c r="O8" s="51" t="s">
        <v>8</v>
      </c>
      <c r="P8" s="51" t="s">
        <v>9</v>
      </c>
      <c r="R8" s="51" t="s">
        <v>5</v>
      </c>
      <c r="S8" s="51" t="s">
        <v>6</v>
      </c>
      <c r="T8" s="51" t="s">
        <v>7</v>
      </c>
      <c r="U8" s="51" t="s">
        <v>8</v>
      </c>
      <c r="V8" s="51" t="s">
        <v>9</v>
      </c>
    </row>
    <row r="9" spans="1:27" ht="12.75" customHeight="1" x14ac:dyDescent="0.2">
      <c r="H9" s="16"/>
    </row>
    <row r="10" spans="1:27" ht="12.75" customHeight="1" x14ac:dyDescent="0.2">
      <c r="A10" s="4"/>
      <c r="C10" s="81"/>
      <c r="D10" s="82"/>
      <c r="E10" s="82"/>
      <c r="F10" s="82"/>
      <c r="G10" s="80"/>
      <c r="H10" s="2"/>
      <c r="I10" s="64">
        <f>IF($E10="Labour",Assumptions!$B$14,)</f>
        <v>0</v>
      </c>
      <c r="J10" s="9" t="str">
        <f>IF($E10="Labour","Hours","$")</f>
        <v>$</v>
      </c>
      <c r="K10" s="2"/>
      <c r="L10" s="83"/>
      <c r="M10" s="83"/>
      <c r="N10" s="83"/>
      <c r="O10" s="83"/>
      <c r="P10" s="83"/>
      <c r="Q10" s="2"/>
      <c r="R10" s="5">
        <f t="shared" ref="R10:R41" si="0">IF($E10="Labour",$I10*L10,L10)</f>
        <v>0</v>
      </c>
      <c r="S10" s="5">
        <f t="shared" ref="S10:S41" si="1">IF($E10="Labour",$I10*M10,M10)</f>
        <v>0</v>
      </c>
      <c r="T10" s="5">
        <f t="shared" ref="T10:T41" si="2">IF($E10="Labour",$I10*N10,N10)</f>
        <v>0</v>
      </c>
      <c r="U10" s="5">
        <f t="shared" ref="U10:U41" si="3">IF($E10="Labour",$I10*O10,O10)</f>
        <v>0</v>
      </c>
      <c r="V10" s="5">
        <f t="shared" ref="V10:V41" si="4">IF($E10="Labour",$I10*P10,P10)</f>
        <v>0</v>
      </c>
    </row>
    <row r="11" spans="1:27" ht="12.75" customHeight="1" x14ac:dyDescent="0.2">
      <c r="A11" s="4"/>
      <c r="C11" s="81"/>
      <c r="D11" s="82"/>
      <c r="E11" s="82"/>
      <c r="F11" s="82"/>
      <c r="G11" s="80"/>
      <c r="H11" s="2"/>
      <c r="I11" s="64">
        <f>IF($E11="Labour",Assumptions!$B$14,)</f>
        <v>0</v>
      </c>
      <c r="J11" s="9" t="str">
        <f t="shared" ref="J11:J52" si="5">IF($E11="Labour","Hours","$")</f>
        <v>$</v>
      </c>
      <c r="K11" s="2"/>
      <c r="L11" s="83"/>
      <c r="M11" s="83"/>
      <c r="N11" s="83"/>
      <c r="O11" s="83"/>
      <c r="P11" s="83"/>
      <c r="Q11" s="2"/>
      <c r="R11" s="5">
        <f t="shared" si="0"/>
        <v>0</v>
      </c>
      <c r="S11" s="5">
        <f t="shared" si="1"/>
        <v>0</v>
      </c>
      <c r="T11" s="5">
        <f t="shared" si="2"/>
        <v>0</v>
      </c>
      <c r="U11" s="5">
        <f t="shared" si="3"/>
        <v>0</v>
      </c>
      <c r="V11" s="5">
        <f t="shared" si="4"/>
        <v>0</v>
      </c>
    </row>
    <row r="12" spans="1:27" ht="12.75" customHeight="1" x14ac:dyDescent="0.2">
      <c r="A12" s="4"/>
      <c r="C12" s="81"/>
      <c r="D12" s="82"/>
      <c r="E12" s="82"/>
      <c r="F12" s="82"/>
      <c r="G12" s="80"/>
      <c r="H12" s="2"/>
      <c r="I12" s="64">
        <f>IF($E12="Labour",Assumptions!$B$14,)</f>
        <v>0</v>
      </c>
      <c r="J12" s="9" t="str">
        <f t="shared" si="5"/>
        <v>$</v>
      </c>
      <c r="K12" s="2"/>
      <c r="L12" s="83"/>
      <c r="M12" s="83"/>
      <c r="N12" s="83"/>
      <c r="O12" s="83"/>
      <c r="P12" s="83"/>
      <c r="Q12" s="2"/>
      <c r="R12" s="5">
        <f t="shared" si="0"/>
        <v>0</v>
      </c>
      <c r="S12" s="5">
        <f t="shared" si="1"/>
        <v>0</v>
      </c>
      <c r="T12" s="5">
        <f t="shared" si="2"/>
        <v>0</v>
      </c>
      <c r="U12" s="5">
        <f t="shared" si="3"/>
        <v>0</v>
      </c>
      <c r="V12" s="5">
        <f t="shared" si="4"/>
        <v>0</v>
      </c>
    </row>
    <row r="13" spans="1:27" ht="12.75" customHeight="1" x14ac:dyDescent="0.25">
      <c r="A13" s="4"/>
      <c r="C13" s="81"/>
      <c r="D13" s="82"/>
      <c r="E13" s="82"/>
      <c r="F13" s="82"/>
      <c r="G13" s="80"/>
      <c r="H13" s="2"/>
      <c r="I13" s="64">
        <f>IF($E13="Labour",Assumptions!$B$14,)</f>
        <v>0</v>
      </c>
      <c r="J13" s="9" t="str">
        <f t="shared" si="5"/>
        <v>$</v>
      </c>
      <c r="K13" s="2"/>
      <c r="L13" s="83"/>
      <c r="M13" s="83"/>
      <c r="N13" s="83"/>
      <c r="O13" s="83"/>
      <c r="P13" s="83"/>
      <c r="Q13" s="2"/>
      <c r="R13" s="5">
        <f t="shared" si="0"/>
        <v>0</v>
      </c>
      <c r="S13" s="5">
        <f t="shared" si="1"/>
        <v>0</v>
      </c>
      <c r="T13" s="5">
        <f t="shared" si="2"/>
        <v>0</v>
      </c>
      <c r="U13" s="5">
        <f t="shared" si="3"/>
        <v>0</v>
      </c>
      <c r="V13" s="5">
        <f t="shared" si="4"/>
        <v>0</v>
      </c>
      <c r="AA13"/>
    </row>
    <row r="14" spans="1:27" ht="12.75" customHeight="1" x14ac:dyDescent="0.25">
      <c r="A14" s="4"/>
      <c r="C14" s="81"/>
      <c r="D14" s="82"/>
      <c r="E14" s="82"/>
      <c r="F14" s="82"/>
      <c r="G14" s="80"/>
      <c r="H14" s="2"/>
      <c r="I14" s="64">
        <f>IF($E14="Labour",Assumptions!$B$14,)</f>
        <v>0</v>
      </c>
      <c r="J14" s="9" t="str">
        <f t="shared" si="5"/>
        <v>$</v>
      </c>
      <c r="K14" s="2"/>
      <c r="L14" s="83"/>
      <c r="M14" s="83"/>
      <c r="N14" s="83"/>
      <c r="O14" s="83"/>
      <c r="P14" s="83"/>
      <c r="Q14" s="2"/>
      <c r="R14" s="5">
        <f t="shared" si="0"/>
        <v>0</v>
      </c>
      <c r="S14" s="5">
        <f t="shared" si="1"/>
        <v>0</v>
      </c>
      <c r="T14" s="5">
        <f t="shared" si="2"/>
        <v>0</v>
      </c>
      <c r="U14" s="5">
        <f t="shared" si="3"/>
        <v>0</v>
      </c>
      <c r="V14" s="5">
        <f t="shared" si="4"/>
        <v>0</v>
      </c>
      <c r="AA14"/>
    </row>
    <row r="15" spans="1:27" ht="12.75" customHeight="1" x14ac:dyDescent="0.25">
      <c r="A15" s="4"/>
      <c r="C15" s="81"/>
      <c r="D15" s="82"/>
      <c r="E15" s="82"/>
      <c r="F15" s="82"/>
      <c r="G15" s="80"/>
      <c r="H15" s="2"/>
      <c r="I15" s="64">
        <f>IF($E15="Labour",Assumptions!$B$14,)</f>
        <v>0</v>
      </c>
      <c r="J15" s="9" t="str">
        <f t="shared" si="5"/>
        <v>$</v>
      </c>
      <c r="K15" s="2"/>
      <c r="L15" s="83"/>
      <c r="M15" s="83"/>
      <c r="N15" s="83"/>
      <c r="O15" s="83"/>
      <c r="P15" s="83"/>
      <c r="Q15" s="2"/>
      <c r="R15" s="5">
        <f t="shared" si="0"/>
        <v>0</v>
      </c>
      <c r="S15" s="5">
        <f t="shared" si="1"/>
        <v>0</v>
      </c>
      <c r="T15" s="5">
        <f t="shared" si="2"/>
        <v>0</v>
      </c>
      <c r="U15" s="5">
        <f t="shared" si="3"/>
        <v>0</v>
      </c>
      <c r="V15" s="5">
        <f t="shared" si="4"/>
        <v>0</v>
      </c>
      <c r="AA15"/>
    </row>
    <row r="16" spans="1:27" ht="12.75" customHeight="1" x14ac:dyDescent="0.25">
      <c r="A16" s="4"/>
      <c r="C16" s="81"/>
      <c r="D16" s="82"/>
      <c r="E16" s="82"/>
      <c r="F16" s="82"/>
      <c r="G16" s="80"/>
      <c r="H16" s="2"/>
      <c r="I16" s="64">
        <f>IF($E16="Labour",Assumptions!$B$14,)</f>
        <v>0</v>
      </c>
      <c r="J16" s="9" t="str">
        <f t="shared" si="5"/>
        <v>$</v>
      </c>
      <c r="K16" s="2"/>
      <c r="L16" s="83"/>
      <c r="M16" s="83"/>
      <c r="N16" s="83"/>
      <c r="O16" s="83"/>
      <c r="P16" s="83"/>
      <c r="Q16" s="2"/>
      <c r="R16" s="5">
        <f t="shared" si="0"/>
        <v>0</v>
      </c>
      <c r="S16" s="5">
        <f t="shared" si="1"/>
        <v>0</v>
      </c>
      <c r="T16" s="5">
        <f t="shared" si="2"/>
        <v>0</v>
      </c>
      <c r="U16" s="5">
        <f t="shared" si="3"/>
        <v>0</v>
      </c>
      <c r="V16" s="5">
        <f t="shared" si="4"/>
        <v>0</v>
      </c>
      <c r="AA16"/>
    </row>
    <row r="17" spans="1:27" ht="12.75" customHeight="1" x14ac:dyDescent="0.25">
      <c r="A17" s="4"/>
      <c r="C17" s="81"/>
      <c r="D17" s="82"/>
      <c r="E17" s="82"/>
      <c r="F17" s="82"/>
      <c r="G17" s="80"/>
      <c r="H17" s="2"/>
      <c r="I17" s="64">
        <f>IF($E17="Labour",Assumptions!$B$14,)</f>
        <v>0</v>
      </c>
      <c r="J17" s="9" t="str">
        <f t="shared" si="5"/>
        <v>$</v>
      </c>
      <c r="K17" s="2"/>
      <c r="L17" s="83"/>
      <c r="M17" s="83"/>
      <c r="N17" s="83"/>
      <c r="O17" s="83"/>
      <c r="P17" s="83"/>
      <c r="Q17" s="2"/>
      <c r="R17" s="5">
        <f t="shared" si="0"/>
        <v>0</v>
      </c>
      <c r="S17" s="5">
        <f t="shared" si="1"/>
        <v>0</v>
      </c>
      <c r="T17" s="5">
        <f t="shared" si="2"/>
        <v>0</v>
      </c>
      <c r="U17" s="5">
        <f t="shared" si="3"/>
        <v>0</v>
      </c>
      <c r="V17" s="5">
        <f t="shared" si="4"/>
        <v>0</v>
      </c>
      <c r="AA17"/>
    </row>
    <row r="18" spans="1:27" ht="12.75" customHeight="1" x14ac:dyDescent="0.25">
      <c r="A18" s="4"/>
      <c r="C18" s="81"/>
      <c r="D18" s="82"/>
      <c r="E18" s="82"/>
      <c r="F18" s="82"/>
      <c r="G18" s="80"/>
      <c r="H18" s="2"/>
      <c r="I18" s="64">
        <f>IF($E18="Labour",Assumptions!$B$14,)</f>
        <v>0</v>
      </c>
      <c r="J18" s="9" t="str">
        <f t="shared" si="5"/>
        <v>$</v>
      </c>
      <c r="K18" s="2"/>
      <c r="L18" s="83"/>
      <c r="M18" s="83"/>
      <c r="N18" s="83"/>
      <c r="O18" s="83"/>
      <c r="P18" s="83"/>
      <c r="Q18" s="2"/>
      <c r="R18" s="5">
        <f t="shared" si="0"/>
        <v>0</v>
      </c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0</v>
      </c>
      <c r="AA18"/>
    </row>
    <row r="19" spans="1:27" ht="12.75" customHeight="1" x14ac:dyDescent="0.25">
      <c r="A19" s="4"/>
      <c r="C19" s="81"/>
      <c r="D19" s="82"/>
      <c r="E19" s="82"/>
      <c r="F19" s="82"/>
      <c r="G19" s="80"/>
      <c r="H19" s="2"/>
      <c r="I19" s="64">
        <f>IF($E19="Labour",Assumptions!$B$14,)</f>
        <v>0</v>
      </c>
      <c r="J19" s="9" t="str">
        <f t="shared" si="5"/>
        <v>$</v>
      </c>
      <c r="K19" s="2"/>
      <c r="L19" s="83"/>
      <c r="M19" s="83"/>
      <c r="N19" s="83"/>
      <c r="O19" s="83"/>
      <c r="P19" s="83"/>
      <c r="Q19" s="2"/>
      <c r="R19" s="5">
        <f t="shared" si="0"/>
        <v>0</v>
      </c>
      <c r="S19" s="5">
        <f t="shared" si="1"/>
        <v>0</v>
      </c>
      <c r="T19" s="5">
        <f t="shared" si="2"/>
        <v>0</v>
      </c>
      <c r="U19" s="5">
        <f t="shared" si="3"/>
        <v>0</v>
      </c>
      <c r="V19" s="5">
        <f t="shared" si="4"/>
        <v>0</v>
      </c>
      <c r="AA19"/>
    </row>
    <row r="20" spans="1:27" ht="12.75" customHeight="1" x14ac:dyDescent="0.25">
      <c r="A20" s="4"/>
      <c r="C20" s="81"/>
      <c r="D20" s="82"/>
      <c r="E20" s="82"/>
      <c r="F20" s="82"/>
      <c r="G20" s="80"/>
      <c r="H20" s="2"/>
      <c r="I20" s="64">
        <f>IF($E20="Labour",Assumptions!$B$14,)</f>
        <v>0</v>
      </c>
      <c r="J20" s="9" t="str">
        <f t="shared" si="5"/>
        <v>$</v>
      </c>
      <c r="K20" s="2"/>
      <c r="L20" s="83"/>
      <c r="M20" s="83"/>
      <c r="N20" s="83"/>
      <c r="O20" s="83"/>
      <c r="P20" s="83"/>
      <c r="Q20" s="2"/>
      <c r="R20" s="5">
        <f t="shared" si="0"/>
        <v>0</v>
      </c>
      <c r="S20" s="5">
        <f t="shared" si="1"/>
        <v>0</v>
      </c>
      <c r="T20" s="5">
        <f t="shared" si="2"/>
        <v>0</v>
      </c>
      <c r="U20" s="5">
        <f t="shared" si="3"/>
        <v>0</v>
      </c>
      <c r="V20" s="5">
        <f t="shared" si="4"/>
        <v>0</v>
      </c>
      <c r="AA20"/>
    </row>
    <row r="21" spans="1:27" ht="12.75" customHeight="1" x14ac:dyDescent="0.25">
      <c r="A21" s="4"/>
      <c r="C21" s="81"/>
      <c r="D21" s="82"/>
      <c r="E21" s="82"/>
      <c r="F21" s="82"/>
      <c r="G21" s="80"/>
      <c r="H21" s="2"/>
      <c r="I21" s="64">
        <f>IF($E21="Labour",Assumptions!$B$14,)</f>
        <v>0</v>
      </c>
      <c r="J21" s="9" t="str">
        <f t="shared" si="5"/>
        <v>$</v>
      </c>
      <c r="K21" s="2"/>
      <c r="L21" s="83"/>
      <c r="M21" s="83"/>
      <c r="N21" s="83"/>
      <c r="O21" s="83"/>
      <c r="P21" s="83"/>
      <c r="Q21" s="2"/>
      <c r="R21" s="5">
        <f t="shared" si="0"/>
        <v>0</v>
      </c>
      <c r="S21" s="5">
        <f t="shared" si="1"/>
        <v>0</v>
      </c>
      <c r="T21" s="5">
        <f t="shared" si="2"/>
        <v>0</v>
      </c>
      <c r="U21" s="5">
        <f t="shared" si="3"/>
        <v>0</v>
      </c>
      <c r="V21" s="5">
        <f t="shared" si="4"/>
        <v>0</v>
      </c>
      <c r="AA21"/>
    </row>
    <row r="22" spans="1:27" ht="12.75" customHeight="1" x14ac:dyDescent="0.25">
      <c r="A22" s="4"/>
      <c r="C22" s="81"/>
      <c r="D22" s="82"/>
      <c r="E22" s="82"/>
      <c r="F22" s="82"/>
      <c r="G22" s="80"/>
      <c r="H22" s="2"/>
      <c r="I22" s="64">
        <f>IF($E22="Labour",Assumptions!$B$14,)</f>
        <v>0</v>
      </c>
      <c r="J22" s="9" t="str">
        <f t="shared" si="5"/>
        <v>$</v>
      </c>
      <c r="K22" s="2"/>
      <c r="L22" s="83"/>
      <c r="M22" s="83"/>
      <c r="N22" s="83"/>
      <c r="O22" s="83"/>
      <c r="P22" s="83"/>
      <c r="Q22" s="2"/>
      <c r="R22" s="5">
        <f t="shared" si="0"/>
        <v>0</v>
      </c>
      <c r="S22" s="5">
        <f t="shared" si="1"/>
        <v>0</v>
      </c>
      <c r="T22" s="5">
        <f t="shared" si="2"/>
        <v>0</v>
      </c>
      <c r="U22" s="5">
        <f t="shared" si="3"/>
        <v>0</v>
      </c>
      <c r="V22" s="5">
        <f t="shared" si="4"/>
        <v>0</v>
      </c>
      <c r="AA22"/>
    </row>
    <row r="23" spans="1:27" ht="12.75" customHeight="1" x14ac:dyDescent="0.25">
      <c r="A23" s="4"/>
      <c r="C23" s="81"/>
      <c r="D23" s="82"/>
      <c r="E23" s="82"/>
      <c r="F23" s="82"/>
      <c r="G23" s="80"/>
      <c r="H23" s="2"/>
      <c r="I23" s="64">
        <f>IF($E23="Labour",Assumptions!$B$14,)</f>
        <v>0</v>
      </c>
      <c r="J23" s="9" t="str">
        <f t="shared" si="5"/>
        <v>$</v>
      </c>
      <c r="K23" s="2"/>
      <c r="L23" s="83"/>
      <c r="M23" s="83"/>
      <c r="N23" s="83"/>
      <c r="O23" s="83"/>
      <c r="P23" s="83"/>
      <c r="Q23" s="2"/>
      <c r="R23" s="5">
        <f t="shared" si="0"/>
        <v>0</v>
      </c>
      <c r="S23" s="5">
        <f t="shared" si="1"/>
        <v>0</v>
      </c>
      <c r="T23" s="5">
        <f t="shared" si="2"/>
        <v>0</v>
      </c>
      <c r="U23" s="5">
        <f t="shared" si="3"/>
        <v>0</v>
      </c>
      <c r="V23" s="5">
        <f t="shared" si="4"/>
        <v>0</v>
      </c>
      <c r="AA23"/>
    </row>
    <row r="24" spans="1:27" ht="12.75" customHeight="1" x14ac:dyDescent="0.25">
      <c r="A24" s="4"/>
      <c r="C24" s="81"/>
      <c r="D24" s="82"/>
      <c r="E24" s="82"/>
      <c r="F24" s="82"/>
      <c r="G24" s="80"/>
      <c r="H24" s="2"/>
      <c r="I24" s="64">
        <f>IF($E24="Labour",Assumptions!$B$14,)</f>
        <v>0</v>
      </c>
      <c r="J24" s="9" t="str">
        <f t="shared" si="5"/>
        <v>$</v>
      </c>
      <c r="K24" s="2"/>
      <c r="L24" s="83"/>
      <c r="M24" s="83"/>
      <c r="N24" s="83"/>
      <c r="O24" s="83"/>
      <c r="P24" s="83"/>
      <c r="Q24" s="2"/>
      <c r="R24" s="5">
        <f t="shared" si="0"/>
        <v>0</v>
      </c>
      <c r="S24" s="5">
        <f t="shared" si="1"/>
        <v>0</v>
      </c>
      <c r="T24" s="5">
        <f t="shared" si="2"/>
        <v>0</v>
      </c>
      <c r="U24" s="5">
        <f t="shared" si="3"/>
        <v>0</v>
      </c>
      <c r="V24" s="5">
        <f t="shared" si="4"/>
        <v>0</v>
      </c>
      <c r="AA24"/>
    </row>
    <row r="25" spans="1:27" ht="12.75" customHeight="1" x14ac:dyDescent="0.25">
      <c r="A25" s="4"/>
      <c r="C25" s="81"/>
      <c r="D25" s="82"/>
      <c r="E25" s="82"/>
      <c r="F25" s="82"/>
      <c r="G25" s="80"/>
      <c r="H25" s="2"/>
      <c r="I25" s="64">
        <f>IF($E25="Labour",Assumptions!$B$14,)</f>
        <v>0</v>
      </c>
      <c r="J25" s="9" t="str">
        <f t="shared" si="5"/>
        <v>$</v>
      </c>
      <c r="K25" s="2"/>
      <c r="L25" s="83"/>
      <c r="M25" s="83"/>
      <c r="N25" s="83"/>
      <c r="O25" s="83"/>
      <c r="P25" s="83"/>
      <c r="Q25" s="2"/>
      <c r="R25" s="5">
        <f t="shared" si="0"/>
        <v>0</v>
      </c>
      <c r="S25" s="5">
        <f t="shared" si="1"/>
        <v>0</v>
      </c>
      <c r="T25" s="5">
        <f t="shared" si="2"/>
        <v>0</v>
      </c>
      <c r="U25" s="5">
        <f t="shared" si="3"/>
        <v>0</v>
      </c>
      <c r="V25" s="5">
        <f t="shared" si="4"/>
        <v>0</v>
      </c>
      <c r="AA25"/>
    </row>
    <row r="26" spans="1:27" ht="12.75" customHeight="1" x14ac:dyDescent="0.25">
      <c r="A26" s="4"/>
      <c r="C26" s="81"/>
      <c r="D26" s="82"/>
      <c r="E26" s="82"/>
      <c r="F26" s="82"/>
      <c r="G26" s="80"/>
      <c r="H26" s="2"/>
      <c r="I26" s="64">
        <f>IF($E26="Labour",Assumptions!$B$14,)</f>
        <v>0</v>
      </c>
      <c r="J26" s="9" t="str">
        <f t="shared" si="5"/>
        <v>$</v>
      </c>
      <c r="K26" s="2"/>
      <c r="L26" s="83"/>
      <c r="M26" s="83"/>
      <c r="N26" s="83"/>
      <c r="O26" s="83"/>
      <c r="P26" s="83"/>
      <c r="Q26" s="2"/>
      <c r="R26" s="5">
        <f t="shared" si="0"/>
        <v>0</v>
      </c>
      <c r="S26" s="5">
        <f t="shared" si="1"/>
        <v>0</v>
      </c>
      <c r="T26" s="5">
        <f t="shared" si="2"/>
        <v>0</v>
      </c>
      <c r="U26" s="5">
        <f t="shared" si="3"/>
        <v>0</v>
      </c>
      <c r="V26" s="5">
        <f t="shared" si="4"/>
        <v>0</v>
      </c>
      <c r="AA26"/>
    </row>
    <row r="27" spans="1:27" ht="12.75" customHeight="1" x14ac:dyDescent="0.25">
      <c r="A27" s="4"/>
      <c r="C27" s="81"/>
      <c r="D27" s="82"/>
      <c r="E27" s="82"/>
      <c r="F27" s="82"/>
      <c r="G27" s="80"/>
      <c r="H27" s="2"/>
      <c r="I27" s="64">
        <f>IF($E27="Labour",Assumptions!$B$14,)</f>
        <v>0</v>
      </c>
      <c r="J27" s="9" t="str">
        <f t="shared" si="5"/>
        <v>$</v>
      </c>
      <c r="K27" s="2"/>
      <c r="L27" s="83"/>
      <c r="M27" s="83"/>
      <c r="N27" s="83"/>
      <c r="O27" s="83"/>
      <c r="P27" s="83"/>
      <c r="Q27" s="2"/>
      <c r="R27" s="5">
        <f t="shared" si="0"/>
        <v>0</v>
      </c>
      <c r="S27" s="5">
        <f t="shared" si="1"/>
        <v>0</v>
      </c>
      <c r="T27" s="5">
        <f t="shared" si="2"/>
        <v>0</v>
      </c>
      <c r="U27" s="5">
        <f t="shared" si="3"/>
        <v>0</v>
      </c>
      <c r="V27" s="5">
        <f t="shared" si="4"/>
        <v>0</v>
      </c>
      <c r="AA27"/>
    </row>
    <row r="28" spans="1:27" ht="12.75" customHeight="1" x14ac:dyDescent="0.25">
      <c r="A28" s="4"/>
      <c r="C28" s="81"/>
      <c r="D28" s="82"/>
      <c r="E28" s="82"/>
      <c r="F28" s="82"/>
      <c r="G28" s="80"/>
      <c r="H28" s="2"/>
      <c r="I28" s="64">
        <f>IF($E28="Labour",Assumptions!$B$14,)</f>
        <v>0</v>
      </c>
      <c r="J28" s="9" t="str">
        <f t="shared" si="5"/>
        <v>$</v>
      </c>
      <c r="K28" s="2"/>
      <c r="L28" s="83"/>
      <c r="M28" s="83"/>
      <c r="N28" s="83"/>
      <c r="O28" s="83"/>
      <c r="P28" s="83"/>
      <c r="Q28" s="2"/>
      <c r="R28" s="5">
        <f t="shared" si="0"/>
        <v>0</v>
      </c>
      <c r="S28" s="5">
        <f t="shared" si="1"/>
        <v>0</v>
      </c>
      <c r="T28" s="5">
        <f t="shared" si="2"/>
        <v>0</v>
      </c>
      <c r="U28" s="5">
        <f t="shared" si="3"/>
        <v>0</v>
      </c>
      <c r="V28" s="5">
        <f t="shared" si="4"/>
        <v>0</v>
      </c>
      <c r="AA28"/>
    </row>
    <row r="29" spans="1:27" ht="12.75" customHeight="1" x14ac:dyDescent="0.25">
      <c r="A29" s="4"/>
      <c r="C29" s="81"/>
      <c r="D29" s="82"/>
      <c r="E29" s="82"/>
      <c r="F29" s="82"/>
      <c r="G29" s="80"/>
      <c r="H29" s="2"/>
      <c r="I29" s="64">
        <f>IF($E29="Labour",Assumptions!$B$14,)</f>
        <v>0</v>
      </c>
      <c r="J29" s="9" t="str">
        <f t="shared" si="5"/>
        <v>$</v>
      </c>
      <c r="K29" s="2"/>
      <c r="L29" s="83"/>
      <c r="M29" s="83"/>
      <c r="N29" s="83"/>
      <c r="O29" s="83"/>
      <c r="P29" s="83"/>
      <c r="Q29" s="2"/>
      <c r="R29" s="5">
        <f t="shared" si="0"/>
        <v>0</v>
      </c>
      <c r="S29" s="5">
        <f t="shared" si="1"/>
        <v>0</v>
      </c>
      <c r="T29" s="5">
        <f t="shared" si="2"/>
        <v>0</v>
      </c>
      <c r="U29" s="5">
        <f t="shared" si="3"/>
        <v>0</v>
      </c>
      <c r="V29" s="5">
        <f t="shared" si="4"/>
        <v>0</v>
      </c>
      <c r="AA29"/>
    </row>
    <row r="30" spans="1:27" ht="12.75" customHeight="1" x14ac:dyDescent="0.25">
      <c r="A30" s="4"/>
      <c r="C30" s="81"/>
      <c r="D30" s="82"/>
      <c r="E30" s="82"/>
      <c r="F30" s="82"/>
      <c r="G30" s="80"/>
      <c r="H30" s="2"/>
      <c r="I30" s="64">
        <f>IF($E30="Labour",Assumptions!$B$14,)</f>
        <v>0</v>
      </c>
      <c r="J30" s="9" t="str">
        <f t="shared" si="5"/>
        <v>$</v>
      </c>
      <c r="K30" s="2"/>
      <c r="L30" s="83"/>
      <c r="M30" s="83"/>
      <c r="N30" s="83"/>
      <c r="O30" s="83"/>
      <c r="P30" s="83"/>
      <c r="Q30" s="2"/>
      <c r="R30" s="5">
        <f t="shared" si="0"/>
        <v>0</v>
      </c>
      <c r="S30" s="5">
        <f t="shared" si="1"/>
        <v>0</v>
      </c>
      <c r="T30" s="5">
        <f t="shared" si="2"/>
        <v>0</v>
      </c>
      <c r="U30" s="5">
        <f t="shared" si="3"/>
        <v>0</v>
      </c>
      <c r="V30" s="5">
        <f t="shared" si="4"/>
        <v>0</v>
      </c>
      <c r="AA30"/>
    </row>
    <row r="31" spans="1:27" ht="12.75" customHeight="1" x14ac:dyDescent="0.25">
      <c r="A31" s="4"/>
      <c r="C31" s="81"/>
      <c r="D31" s="82"/>
      <c r="E31" s="82"/>
      <c r="F31" s="82"/>
      <c r="G31" s="80"/>
      <c r="H31" s="2"/>
      <c r="I31" s="64">
        <f>IF($E31="Labour",Assumptions!$B$14,)</f>
        <v>0</v>
      </c>
      <c r="J31" s="9" t="str">
        <f t="shared" si="5"/>
        <v>$</v>
      </c>
      <c r="K31" s="2"/>
      <c r="L31" s="83"/>
      <c r="M31" s="83"/>
      <c r="N31" s="83"/>
      <c r="O31" s="83"/>
      <c r="P31" s="83"/>
      <c r="Q31" s="2"/>
      <c r="R31" s="5">
        <f t="shared" si="0"/>
        <v>0</v>
      </c>
      <c r="S31" s="5">
        <f t="shared" si="1"/>
        <v>0</v>
      </c>
      <c r="T31" s="5">
        <f t="shared" si="2"/>
        <v>0</v>
      </c>
      <c r="U31" s="5">
        <f t="shared" si="3"/>
        <v>0</v>
      </c>
      <c r="V31" s="5">
        <f t="shared" si="4"/>
        <v>0</v>
      </c>
      <c r="AA31"/>
    </row>
    <row r="32" spans="1:27" ht="12.75" customHeight="1" x14ac:dyDescent="0.25">
      <c r="A32" s="4"/>
      <c r="C32" s="81"/>
      <c r="D32" s="82"/>
      <c r="E32" s="82"/>
      <c r="F32" s="82"/>
      <c r="G32" s="80"/>
      <c r="H32" s="2"/>
      <c r="I32" s="64">
        <f>IF($E32="Labour",Assumptions!$B$14,)</f>
        <v>0</v>
      </c>
      <c r="J32" s="9" t="str">
        <f t="shared" si="5"/>
        <v>$</v>
      </c>
      <c r="K32" s="2"/>
      <c r="L32" s="83"/>
      <c r="M32" s="83"/>
      <c r="N32" s="83"/>
      <c r="O32" s="83"/>
      <c r="P32" s="83"/>
      <c r="Q32" s="2"/>
      <c r="R32" s="5">
        <f t="shared" si="0"/>
        <v>0</v>
      </c>
      <c r="S32" s="5">
        <f t="shared" si="1"/>
        <v>0</v>
      </c>
      <c r="T32" s="5">
        <f t="shared" si="2"/>
        <v>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25">
      <c r="A33" s="4"/>
      <c r="C33" s="81"/>
      <c r="D33" s="82"/>
      <c r="E33" s="82"/>
      <c r="F33" s="82"/>
      <c r="G33" s="80"/>
      <c r="H33" s="2"/>
      <c r="I33" s="64">
        <f>IF($E33="Labour",Assumptions!$B$14,)</f>
        <v>0</v>
      </c>
      <c r="J33" s="9" t="str">
        <f t="shared" si="5"/>
        <v>$</v>
      </c>
      <c r="K33" s="2"/>
      <c r="L33" s="83"/>
      <c r="M33" s="83"/>
      <c r="N33" s="83"/>
      <c r="O33" s="83"/>
      <c r="P33" s="83"/>
      <c r="Q33" s="2"/>
      <c r="R33" s="5">
        <f t="shared" si="0"/>
        <v>0</v>
      </c>
      <c r="S33" s="5">
        <f t="shared" si="1"/>
        <v>0</v>
      </c>
      <c r="T33" s="5">
        <f t="shared" si="2"/>
        <v>0</v>
      </c>
      <c r="U33" s="5">
        <f t="shared" si="3"/>
        <v>0</v>
      </c>
      <c r="V33" s="5">
        <f t="shared" si="4"/>
        <v>0</v>
      </c>
      <c r="AA33"/>
    </row>
    <row r="34" spans="1:27" ht="12.75" customHeight="1" x14ac:dyDescent="0.25">
      <c r="A34" s="4"/>
      <c r="C34" s="81"/>
      <c r="D34" s="82"/>
      <c r="E34" s="82"/>
      <c r="F34" s="82"/>
      <c r="G34" s="80"/>
      <c r="H34" s="2"/>
      <c r="I34" s="64">
        <f>IF($E34="Labour",Assumptions!$B$14,)</f>
        <v>0</v>
      </c>
      <c r="J34" s="9" t="str">
        <f t="shared" si="5"/>
        <v>$</v>
      </c>
      <c r="K34" s="2"/>
      <c r="L34" s="83"/>
      <c r="M34" s="83"/>
      <c r="N34" s="83"/>
      <c r="O34" s="83"/>
      <c r="P34" s="83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25">
      <c r="A35" s="4"/>
      <c r="C35" s="81"/>
      <c r="D35" s="82"/>
      <c r="E35" s="82"/>
      <c r="F35" s="82"/>
      <c r="G35" s="80"/>
      <c r="H35" s="2"/>
      <c r="I35" s="64">
        <f>IF($E35="Labour",Assumptions!$B$14,)</f>
        <v>0</v>
      </c>
      <c r="J35" s="9" t="str">
        <f t="shared" si="5"/>
        <v>$</v>
      </c>
      <c r="K35" s="2"/>
      <c r="L35" s="83"/>
      <c r="M35" s="83"/>
      <c r="N35" s="83"/>
      <c r="O35" s="83"/>
      <c r="P35" s="83"/>
      <c r="Q35" s="2"/>
      <c r="R35" s="5">
        <f t="shared" si="0"/>
        <v>0</v>
      </c>
      <c r="S35" s="5">
        <f t="shared" si="1"/>
        <v>0</v>
      </c>
      <c r="T35" s="5">
        <f t="shared" si="2"/>
        <v>0</v>
      </c>
      <c r="U35" s="5">
        <f t="shared" si="3"/>
        <v>0</v>
      </c>
      <c r="V35" s="5">
        <f t="shared" si="4"/>
        <v>0</v>
      </c>
      <c r="AA35"/>
    </row>
    <row r="36" spans="1:27" ht="12.75" customHeight="1" x14ac:dyDescent="0.25">
      <c r="A36" s="4"/>
      <c r="C36" s="81"/>
      <c r="D36" s="82"/>
      <c r="E36" s="82"/>
      <c r="F36" s="82"/>
      <c r="G36" s="80"/>
      <c r="H36" s="2"/>
      <c r="I36" s="64">
        <f>IF($E36="Labour",Assumptions!$B$14,)</f>
        <v>0</v>
      </c>
      <c r="J36" s="9" t="str">
        <f t="shared" si="5"/>
        <v>$</v>
      </c>
      <c r="K36" s="2"/>
      <c r="L36" s="83"/>
      <c r="M36" s="83"/>
      <c r="N36" s="83"/>
      <c r="O36" s="83"/>
      <c r="P36" s="83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25">
      <c r="A37" s="4"/>
      <c r="C37" s="81"/>
      <c r="D37" s="82"/>
      <c r="E37" s="82"/>
      <c r="F37" s="82"/>
      <c r="G37" s="80"/>
      <c r="H37" s="2"/>
      <c r="I37" s="64">
        <f>IF($E37="Labour",Assumptions!$B$14,)</f>
        <v>0</v>
      </c>
      <c r="J37" s="9" t="str">
        <f t="shared" si="5"/>
        <v>$</v>
      </c>
      <c r="K37" s="2"/>
      <c r="L37" s="83"/>
      <c r="M37" s="83"/>
      <c r="N37" s="83"/>
      <c r="O37" s="83"/>
      <c r="P37" s="83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25">
      <c r="A38" s="4"/>
      <c r="C38" s="81"/>
      <c r="D38" s="82"/>
      <c r="E38" s="82"/>
      <c r="F38" s="82"/>
      <c r="G38" s="80"/>
      <c r="H38" s="2"/>
      <c r="I38" s="64">
        <f>IF($E38="Labour",Assumptions!$B$14,)</f>
        <v>0</v>
      </c>
      <c r="J38" s="9" t="str">
        <f t="shared" si="5"/>
        <v>$</v>
      </c>
      <c r="K38" s="2"/>
      <c r="L38" s="83"/>
      <c r="M38" s="83"/>
      <c r="N38" s="83"/>
      <c r="O38" s="83"/>
      <c r="P38" s="83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25">
      <c r="A39" s="4"/>
      <c r="C39" s="81"/>
      <c r="D39" s="82"/>
      <c r="E39" s="82"/>
      <c r="F39" s="82"/>
      <c r="G39" s="80"/>
      <c r="H39" s="2"/>
      <c r="I39" s="64">
        <f>IF($E39="Labour",Assumptions!$B$14,)</f>
        <v>0</v>
      </c>
      <c r="J39" s="9" t="str">
        <f t="shared" si="5"/>
        <v>$</v>
      </c>
      <c r="K39" s="2"/>
      <c r="L39" s="83"/>
      <c r="M39" s="83"/>
      <c r="N39" s="83"/>
      <c r="O39" s="83"/>
      <c r="P39" s="83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25">
      <c r="A40" s="4"/>
      <c r="C40" s="81"/>
      <c r="D40" s="82"/>
      <c r="E40" s="82"/>
      <c r="F40" s="82"/>
      <c r="G40" s="80"/>
      <c r="H40" s="2"/>
      <c r="I40" s="64">
        <f>IF($E40="Labour",Assumptions!$B$14,)</f>
        <v>0</v>
      </c>
      <c r="J40" s="9" t="str">
        <f t="shared" si="5"/>
        <v>$</v>
      </c>
      <c r="K40" s="2"/>
      <c r="L40" s="83"/>
      <c r="M40" s="83"/>
      <c r="N40" s="83"/>
      <c r="O40" s="83"/>
      <c r="P40" s="83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25">
      <c r="A41" s="4"/>
      <c r="C41" s="81"/>
      <c r="D41" s="82"/>
      <c r="E41" s="82"/>
      <c r="F41" s="82"/>
      <c r="G41" s="80"/>
      <c r="H41" s="2"/>
      <c r="I41" s="64">
        <f>IF($E41="Labour",Assumptions!$B$14,)</f>
        <v>0</v>
      </c>
      <c r="J41" s="9" t="str">
        <f t="shared" si="5"/>
        <v>$</v>
      </c>
      <c r="K41" s="2"/>
      <c r="L41" s="83"/>
      <c r="M41" s="83"/>
      <c r="N41" s="83"/>
      <c r="O41" s="83"/>
      <c r="P41" s="83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25">
      <c r="A42" s="4"/>
      <c r="C42" s="81"/>
      <c r="D42" s="82"/>
      <c r="E42" s="82"/>
      <c r="F42" s="82"/>
      <c r="G42" s="80"/>
      <c r="H42" s="2"/>
      <c r="I42" s="64">
        <f>IF($E42="Labour",Assumptions!$B$14,)</f>
        <v>0</v>
      </c>
      <c r="J42" s="9" t="str">
        <f t="shared" si="5"/>
        <v>$</v>
      </c>
      <c r="K42" s="2"/>
      <c r="L42" s="83"/>
      <c r="M42" s="83"/>
      <c r="N42" s="83"/>
      <c r="O42" s="83"/>
      <c r="P42" s="83"/>
      <c r="Q42" s="2"/>
      <c r="R42" s="5">
        <f t="shared" ref="R42:R52" si="6">IF($E42="Labour",$I42*L42,L42)</f>
        <v>0</v>
      </c>
      <c r="S42" s="5">
        <f t="shared" ref="S42:S52" si="7">IF($E42="Labour",$I42*M42,M42)</f>
        <v>0</v>
      </c>
      <c r="T42" s="5">
        <f t="shared" ref="T42:T52" si="8">IF($E42="Labour",$I42*N42,N42)</f>
        <v>0</v>
      </c>
      <c r="U42" s="5">
        <f t="shared" ref="U42:U52" si="9">IF($E42="Labour",$I42*O42,O42)</f>
        <v>0</v>
      </c>
      <c r="V42" s="5">
        <f t="shared" ref="V42:V52" si="10">IF($E42="Labour",$I42*P42,P42)</f>
        <v>0</v>
      </c>
      <c r="AA42"/>
    </row>
    <row r="43" spans="1:27" ht="12.75" customHeight="1" x14ac:dyDescent="0.25">
      <c r="A43" s="4"/>
      <c r="C43" s="81"/>
      <c r="D43" s="82"/>
      <c r="E43" s="82"/>
      <c r="F43" s="82"/>
      <c r="G43" s="80"/>
      <c r="H43" s="2"/>
      <c r="I43" s="64">
        <f>IF($E43="Labour",Assumptions!$B$14,)</f>
        <v>0</v>
      </c>
      <c r="J43" s="9" t="str">
        <f t="shared" si="5"/>
        <v>$</v>
      </c>
      <c r="K43" s="2"/>
      <c r="L43" s="83"/>
      <c r="M43" s="83"/>
      <c r="N43" s="83"/>
      <c r="O43" s="83"/>
      <c r="P43" s="83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25">
      <c r="A44" s="4"/>
      <c r="C44" s="81"/>
      <c r="D44" s="82"/>
      <c r="E44" s="82"/>
      <c r="F44" s="82"/>
      <c r="G44" s="80"/>
      <c r="H44" s="2"/>
      <c r="I44" s="64">
        <f>IF($E44="Labour",Assumptions!$B$14,)</f>
        <v>0</v>
      </c>
      <c r="J44" s="9" t="str">
        <f t="shared" si="5"/>
        <v>$</v>
      </c>
      <c r="K44" s="2"/>
      <c r="L44" s="83"/>
      <c r="M44" s="83"/>
      <c r="N44" s="83"/>
      <c r="O44" s="83"/>
      <c r="P44" s="83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25">
      <c r="A45" s="4"/>
      <c r="C45" s="81"/>
      <c r="D45" s="82"/>
      <c r="E45" s="82"/>
      <c r="F45" s="82"/>
      <c r="G45" s="80"/>
      <c r="H45" s="2"/>
      <c r="I45" s="64">
        <f>IF($E45="Labour",Assumptions!$B$14,)</f>
        <v>0</v>
      </c>
      <c r="J45" s="9" t="str">
        <f t="shared" si="5"/>
        <v>$</v>
      </c>
      <c r="K45" s="2"/>
      <c r="L45" s="83"/>
      <c r="M45" s="83"/>
      <c r="N45" s="83"/>
      <c r="O45" s="83"/>
      <c r="P45" s="83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25">
      <c r="A46" s="4"/>
      <c r="C46" s="81"/>
      <c r="D46" s="82"/>
      <c r="E46" s="82"/>
      <c r="F46" s="82"/>
      <c r="G46" s="80"/>
      <c r="H46" s="2"/>
      <c r="I46" s="64">
        <f>IF($E46="Labour",Assumptions!$B$14,)</f>
        <v>0</v>
      </c>
      <c r="J46" s="9" t="str">
        <f t="shared" si="5"/>
        <v>$</v>
      </c>
      <c r="K46" s="2"/>
      <c r="L46" s="83"/>
      <c r="M46" s="83"/>
      <c r="N46" s="83"/>
      <c r="O46" s="83"/>
      <c r="P46" s="83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25">
      <c r="A47" s="4"/>
      <c r="C47" s="81"/>
      <c r="D47" s="82"/>
      <c r="E47" s="82"/>
      <c r="F47" s="82"/>
      <c r="G47" s="80"/>
      <c r="H47" s="2"/>
      <c r="I47" s="64">
        <f>IF($E47="Labour",Assumptions!$B$14,)</f>
        <v>0</v>
      </c>
      <c r="J47" s="9" t="str">
        <f t="shared" si="5"/>
        <v>$</v>
      </c>
      <c r="K47" s="2"/>
      <c r="L47" s="83"/>
      <c r="M47" s="83"/>
      <c r="N47" s="83"/>
      <c r="O47" s="83"/>
      <c r="P47" s="83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25">
      <c r="A48" s="4"/>
      <c r="C48" s="81"/>
      <c r="D48" s="82"/>
      <c r="E48" s="82"/>
      <c r="F48" s="82"/>
      <c r="G48" s="80"/>
      <c r="H48" s="2"/>
      <c r="I48" s="64">
        <f>IF($E48="Labour",Assumptions!$B$14,)</f>
        <v>0</v>
      </c>
      <c r="J48" s="9" t="str">
        <f t="shared" si="5"/>
        <v>$</v>
      </c>
      <c r="K48" s="2"/>
      <c r="L48" s="83"/>
      <c r="M48" s="83"/>
      <c r="N48" s="83"/>
      <c r="O48" s="83"/>
      <c r="P48" s="83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25">
      <c r="A49" s="4"/>
      <c r="C49" s="81"/>
      <c r="D49" s="82"/>
      <c r="E49" s="82"/>
      <c r="F49" s="82"/>
      <c r="G49" s="80"/>
      <c r="H49" s="2"/>
      <c r="I49" s="64">
        <f>IF($E49="Labour",Assumptions!$B$14,)</f>
        <v>0</v>
      </c>
      <c r="J49" s="9" t="str">
        <f t="shared" si="5"/>
        <v>$</v>
      </c>
      <c r="K49" s="2"/>
      <c r="L49" s="83"/>
      <c r="M49" s="83"/>
      <c r="N49" s="83"/>
      <c r="O49" s="83"/>
      <c r="P49" s="83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25">
      <c r="A50" s="4"/>
      <c r="C50" s="81"/>
      <c r="D50" s="82"/>
      <c r="E50" s="82"/>
      <c r="F50" s="82"/>
      <c r="G50" s="80"/>
      <c r="H50" s="2"/>
      <c r="I50" s="64">
        <f>IF($E50="Labour",Assumptions!$B$14,)</f>
        <v>0</v>
      </c>
      <c r="J50" s="9" t="str">
        <f t="shared" si="5"/>
        <v>$</v>
      </c>
      <c r="K50" s="2"/>
      <c r="L50" s="83"/>
      <c r="M50" s="83"/>
      <c r="N50" s="83"/>
      <c r="O50" s="83"/>
      <c r="P50" s="83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25">
      <c r="A51" s="4"/>
      <c r="C51" s="81"/>
      <c r="D51" s="82"/>
      <c r="E51" s="82"/>
      <c r="F51" s="82"/>
      <c r="G51" s="80"/>
      <c r="H51" s="2"/>
      <c r="I51" s="64">
        <f>IF($E51="Labour",Assumptions!$B$14,)</f>
        <v>0</v>
      </c>
      <c r="J51" s="9" t="str">
        <f t="shared" si="5"/>
        <v>$</v>
      </c>
      <c r="K51" s="2"/>
      <c r="L51" s="83"/>
      <c r="M51" s="83"/>
      <c r="N51" s="83"/>
      <c r="O51" s="83"/>
      <c r="P51" s="83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25">
      <c r="A52" s="4"/>
      <c r="C52" s="81"/>
      <c r="D52" s="82"/>
      <c r="E52" s="82"/>
      <c r="F52" s="82"/>
      <c r="G52" s="80"/>
      <c r="H52" s="2"/>
      <c r="I52" s="64">
        <f>IF($E52="Labour",Assumptions!$B$14,)</f>
        <v>0</v>
      </c>
      <c r="J52" s="9" t="str">
        <f t="shared" si="5"/>
        <v>$</v>
      </c>
      <c r="K52" s="2"/>
      <c r="L52" s="83"/>
      <c r="M52" s="83"/>
      <c r="N52" s="83"/>
      <c r="O52" s="83"/>
      <c r="P52" s="83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25">
      <c r="H53" s="2"/>
      <c r="K53" s="2"/>
      <c r="Q53" s="2"/>
      <c r="AA53"/>
    </row>
    <row r="54" spans="1:27" ht="12.75" customHeight="1" x14ac:dyDescent="0.25">
      <c r="H54" s="2"/>
      <c r="K54" s="2"/>
      <c r="Q54" s="2"/>
      <c r="AA54"/>
    </row>
    <row r="55" spans="1:27" ht="12.75" customHeight="1" x14ac:dyDescent="0.25">
      <c r="C55" s="3" t="s">
        <v>51</v>
      </c>
      <c r="H55" s="2"/>
      <c r="K55" s="2"/>
      <c r="Q55" s="2"/>
      <c r="R55" s="69" t="s">
        <v>5</v>
      </c>
      <c r="S55" s="69" t="s">
        <v>6</v>
      </c>
      <c r="T55" s="69" t="s">
        <v>7</v>
      </c>
      <c r="U55" s="69" t="s">
        <v>8</v>
      </c>
      <c r="V55" s="69" t="s">
        <v>9</v>
      </c>
      <c r="W55" s="69" t="s">
        <v>0</v>
      </c>
      <c r="AA55"/>
    </row>
    <row r="56" spans="1:27" ht="12.75" customHeight="1" x14ac:dyDescent="0.2">
      <c r="C56" s="24" t="s">
        <v>10</v>
      </c>
      <c r="D56" s="24" t="s">
        <v>50</v>
      </c>
      <c r="E56" s="24"/>
      <c r="F56" s="24"/>
      <c r="G56" s="24" t="s">
        <v>49</v>
      </c>
      <c r="H56" s="2"/>
      <c r="I56" s="66"/>
      <c r="J56" s="67"/>
      <c r="K56" s="2"/>
      <c r="L56" s="24"/>
      <c r="M56" s="24"/>
      <c r="N56" s="24"/>
      <c r="O56" s="24"/>
      <c r="P56" s="24"/>
      <c r="Q56" s="2"/>
      <c r="R56" s="25">
        <f t="shared" ref="R56:V58" si="11">SUMIFS(R$10:R$52,$E$10:$E$52,$C56,$D$10:$D$52,$D56,$G$10:$G$52,$G56)</f>
        <v>0</v>
      </c>
      <c r="S56" s="25">
        <f t="shared" si="11"/>
        <v>0</v>
      </c>
      <c r="T56" s="25">
        <f t="shared" si="11"/>
        <v>0</v>
      </c>
      <c r="U56" s="25">
        <f t="shared" si="11"/>
        <v>0</v>
      </c>
      <c r="V56" s="25">
        <f t="shared" si="11"/>
        <v>0</v>
      </c>
      <c r="W56" s="71">
        <f>SUM(R56:V56)</f>
        <v>0</v>
      </c>
    </row>
    <row r="57" spans="1:27" ht="12.75" customHeight="1" x14ac:dyDescent="0.2">
      <c r="C57" s="1" t="s">
        <v>12</v>
      </c>
      <c r="D57" s="1" t="s">
        <v>50</v>
      </c>
      <c r="G57" s="1" t="s">
        <v>49</v>
      </c>
      <c r="H57" s="2"/>
      <c r="I57" s="68"/>
      <c r="K57" s="2"/>
      <c r="Q57" s="2"/>
      <c r="R57" s="6">
        <f t="shared" si="11"/>
        <v>0</v>
      </c>
      <c r="S57" s="6">
        <f t="shared" si="11"/>
        <v>0</v>
      </c>
      <c r="T57" s="6">
        <f t="shared" si="11"/>
        <v>0</v>
      </c>
      <c r="U57" s="6">
        <f t="shared" si="11"/>
        <v>0</v>
      </c>
      <c r="V57" s="6">
        <f t="shared" si="11"/>
        <v>0</v>
      </c>
      <c r="W57" s="72">
        <f t="shared" ref="W57:W65" si="12">SUM(R57:V57)</f>
        <v>0</v>
      </c>
    </row>
    <row r="58" spans="1:27" ht="12.75" customHeight="1" x14ac:dyDescent="0.2">
      <c r="C58" s="1" t="s">
        <v>13</v>
      </c>
      <c r="D58" s="1" t="s">
        <v>50</v>
      </c>
      <c r="G58" s="1" t="s">
        <v>49</v>
      </c>
      <c r="H58" s="2"/>
      <c r="I58" s="68"/>
      <c r="K58" s="2"/>
      <c r="Q58" s="2"/>
      <c r="R58" s="6">
        <f t="shared" si="11"/>
        <v>0</v>
      </c>
      <c r="S58" s="6">
        <f t="shared" si="11"/>
        <v>0</v>
      </c>
      <c r="T58" s="6">
        <f t="shared" si="11"/>
        <v>0</v>
      </c>
      <c r="U58" s="6">
        <f t="shared" si="11"/>
        <v>0</v>
      </c>
      <c r="V58" s="6">
        <f t="shared" si="11"/>
        <v>0</v>
      </c>
      <c r="W58" s="72">
        <f t="shared" si="12"/>
        <v>0</v>
      </c>
    </row>
    <row r="59" spans="1:27" ht="12.75" customHeight="1" x14ac:dyDescent="0.2">
      <c r="C59" s="21" t="s">
        <v>14</v>
      </c>
      <c r="D59" s="21" t="s">
        <v>50</v>
      </c>
      <c r="E59" s="102"/>
      <c r="F59" s="102"/>
      <c r="G59" s="103"/>
      <c r="H59" s="2"/>
      <c r="I59" s="103"/>
      <c r="J59" s="105"/>
      <c r="K59" s="104"/>
      <c r="L59" s="102"/>
      <c r="M59" s="102"/>
      <c r="N59" s="102"/>
      <c r="O59" s="102"/>
      <c r="P59" s="102"/>
      <c r="Q59" s="2"/>
      <c r="R59" s="22">
        <f t="shared" ref="R59:W59" si="13">SUM(R56:R58)</f>
        <v>0</v>
      </c>
      <c r="S59" s="22">
        <f t="shared" si="13"/>
        <v>0</v>
      </c>
      <c r="T59" s="22">
        <f t="shared" si="13"/>
        <v>0</v>
      </c>
      <c r="U59" s="22">
        <f t="shared" si="13"/>
        <v>0</v>
      </c>
      <c r="V59" s="22">
        <f t="shared" si="13"/>
        <v>0</v>
      </c>
      <c r="W59" s="22">
        <f t="shared" si="13"/>
        <v>0</v>
      </c>
    </row>
    <row r="60" spans="1:27" ht="12.75" customHeight="1" x14ac:dyDescent="0.2">
      <c r="C60" s="1" t="s">
        <v>10</v>
      </c>
      <c r="D60" s="1" t="s">
        <v>39</v>
      </c>
      <c r="G60" s="1" t="s">
        <v>49</v>
      </c>
      <c r="H60" s="2"/>
      <c r="I60" s="68"/>
      <c r="K60" s="2"/>
      <c r="Q60" s="2"/>
      <c r="R60" s="6">
        <f t="shared" ref="R60:V62" si="14">SUMIFS(R$10:R$52,$E$10:$E$52,$C60,$D$10:$D$52,$D60,$G$10:$G$52,$G60)</f>
        <v>0</v>
      </c>
      <c r="S60" s="6">
        <f t="shared" si="14"/>
        <v>0</v>
      </c>
      <c r="T60" s="6">
        <f t="shared" si="14"/>
        <v>0</v>
      </c>
      <c r="U60" s="6">
        <f t="shared" si="14"/>
        <v>0</v>
      </c>
      <c r="V60" s="6">
        <f t="shared" si="14"/>
        <v>0</v>
      </c>
      <c r="W60" s="72">
        <f t="shared" si="12"/>
        <v>0</v>
      </c>
    </row>
    <row r="61" spans="1:27" ht="12.75" customHeight="1" x14ac:dyDescent="0.2">
      <c r="C61" s="1" t="s">
        <v>12</v>
      </c>
      <c r="D61" s="1" t="s">
        <v>39</v>
      </c>
      <c r="G61" s="1" t="s">
        <v>49</v>
      </c>
      <c r="H61" s="2"/>
      <c r="I61" s="68"/>
      <c r="K61" s="2"/>
      <c r="Q61" s="2"/>
      <c r="R61" s="6">
        <f t="shared" si="14"/>
        <v>0</v>
      </c>
      <c r="S61" s="6">
        <f t="shared" si="14"/>
        <v>0</v>
      </c>
      <c r="T61" s="6">
        <f t="shared" si="14"/>
        <v>0</v>
      </c>
      <c r="U61" s="6">
        <f t="shared" si="14"/>
        <v>0</v>
      </c>
      <c r="V61" s="6">
        <f t="shared" si="14"/>
        <v>0</v>
      </c>
      <c r="W61" s="72">
        <f t="shared" si="12"/>
        <v>0</v>
      </c>
    </row>
    <row r="62" spans="1:27" ht="12.75" customHeight="1" x14ac:dyDescent="0.2">
      <c r="C62" s="1" t="s">
        <v>13</v>
      </c>
      <c r="D62" s="1" t="s">
        <v>39</v>
      </c>
      <c r="G62" s="1" t="s">
        <v>49</v>
      </c>
      <c r="H62" s="2"/>
      <c r="I62" s="68"/>
      <c r="K62" s="2"/>
      <c r="Q62" s="2"/>
      <c r="R62" s="6">
        <f t="shared" si="14"/>
        <v>0</v>
      </c>
      <c r="S62" s="6">
        <f t="shared" si="14"/>
        <v>0</v>
      </c>
      <c r="T62" s="6">
        <f t="shared" si="14"/>
        <v>0</v>
      </c>
      <c r="U62" s="6">
        <f t="shared" si="14"/>
        <v>0</v>
      </c>
      <c r="V62" s="6">
        <f t="shared" si="14"/>
        <v>0</v>
      </c>
      <c r="W62" s="72">
        <f t="shared" si="12"/>
        <v>0</v>
      </c>
    </row>
    <row r="63" spans="1:27" ht="12.75" customHeight="1" x14ac:dyDescent="0.2">
      <c r="C63" s="21" t="s">
        <v>16</v>
      </c>
      <c r="D63" s="21" t="s">
        <v>39</v>
      </c>
      <c r="E63" s="102"/>
      <c r="F63" s="102"/>
      <c r="G63" s="103"/>
      <c r="H63" s="2"/>
      <c r="I63" s="103"/>
      <c r="J63" s="105"/>
      <c r="K63" s="104"/>
      <c r="L63" s="102"/>
      <c r="M63" s="102"/>
      <c r="N63" s="102"/>
      <c r="O63" s="102"/>
      <c r="P63" s="102"/>
      <c r="Q63" s="2"/>
      <c r="R63" s="22">
        <f t="shared" ref="R63:W63" si="15">SUM(R60:R62)</f>
        <v>0</v>
      </c>
      <c r="S63" s="22">
        <f t="shared" si="15"/>
        <v>0</v>
      </c>
      <c r="T63" s="22">
        <f t="shared" si="15"/>
        <v>0</v>
      </c>
      <c r="U63" s="22">
        <f t="shared" si="15"/>
        <v>0</v>
      </c>
      <c r="V63" s="22">
        <f t="shared" si="15"/>
        <v>0</v>
      </c>
      <c r="W63" s="22">
        <f t="shared" si="15"/>
        <v>0</v>
      </c>
    </row>
    <row r="64" spans="1:27" ht="12.75" customHeight="1" x14ac:dyDescent="0.2">
      <c r="G64" s="68"/>
      <c r="H64" s="2"/>
      <c r="I64" s="68"/>
      <c r="K64" s="2"/>
      <c r="Q64" s="2"/>
      <c r="R64" s="6"/>
      <c r="S64" s="6"/>
      <c r="T64" s="6"/>
      <c r="U64" s="6"/>
      <c r="V64" s="6"/>
      <c r="W64" s="72"/>
    </row>
    <row r="65" spans="3:24" ht="12.75" customHeight="1" x14ac:dyDescent="0.2">
      <c r="C65" s="7" t="str">
        <f>"Total Expenditure ($ "&amp;Assumptions!$B$12&amp;")"</f>
        <v>Total Expenditure ($ June 2024)</v>
      </c>
      <c r="D65" s="7"/>
      <c r="E65" s="7"/>
      <c r="F65" s="7"/>
      <c r="G65" s="7"/>
      <c r="H65" s="2"/>
      <c r="I65" s="7"/>
      <c r="J65" s="10"/>
      <c r="K65" s="2"/>
      <c r="L65" s="7"/>
      <c r="M65" s="7"/>
      <c r="N65" s="7"/>
      <c r="O65" s="7"/>
      <c r="P65" s="7"/>
      <c r="Q65" s="2"/>
      <c r="R65" s="8">
        <f>R59+R63</f>
        <v>0</v>
      </c>
      <c r="S65" s="8">
        <f>S59+S63</f>
        <v>0</v>
      </c>
      <c r="T65" s="8">
        <f>T59+T63</f>
        <v>0</v>
      </c>
      <c r="U65" s="8">
        <f>U59+U63</f>
        <v>0</v>
      </c>
      <c r="V65" s="8">
        <f>V59+V63</f>
        <v>0</v>
      </c>
      <c r="W65" s="73">
        <f t="shared" si="12"/>
        <v>0</v>
      </c>
    </row>
    <row r="66" spans="3:24" ht="12.75" customHeight="1" x14ac:dyDescent="0.2">
      <c r="C66" s="45" t="s">
        <v>52</v>
      </c>
      <c r="D66" s="45"/>
      <c r="E66" s="45"/>
      <c r="F66" s="45"/>
      <c r="G66" s="45"/>
      <c r="H66" s="2"/>
      <c r="I66" s="45"/>
      <c r="J66" s="45"/>
      <c r="K66" s="2"/>
      <c r="L66" s="45"/>
      <c r="M66" s="45"/>
      <c r="N66" s="45"/>
      <c r="O66" s="45"/>
      <c r="P66" s="45"/>
      <c r="Q66" s="2"/>
      <c r="R66" s="46">
        <f>R65-SUM(R$10:R$52)</f>
        <v>0</v>
      </c>
      <c r="S66" s="46">
        <f>S65-SUM(S$10:S$52)</f>
        <v>0</v>
      </c>
      <c r="T66" s="46">
        <f>T65-SUM(T$10:T$52)</f>
        <v>0</v>
      </c>
      <c r="U66" s="46">
        <f>U65-SUM(U$10:U$52)</f>
        <v>0</v>
      </c>
      <c r="V66" s="46">
        <f>V65-SUM(V$10:V$52)</f>
        <v>0</v>
      </c>
      <c r="W66" s="46">
        <f>W65-SUM(R$10:V$52)</f>
        <v>0</v>
      </c>
      <c r="X66" s="46">
        <f>SUM(R66:W66)</f>
        <v>0</v>
      </c>
    </row>
    <row r="67" spans="3:24" ht="12.75" customHeight="1" x14ac:dyDescent="0.2">
      <c r="H67" s="2"/>
      <c r="K67" s="2"/>
      <c r="Q67" s="2"/>
    </row>
    <row r="68" spans="3:24" ht="12.75" customHeight="1" x14ac:dyDescent="0.2">
      <c r="C68" s="55" t="str">
        <f>"NPV ($ "&amp;Assumptions!$B$12&amp;")"</f>
        <v>NPV ($ June 2024)</v>
      </c>
      <c r="D68" s="56">
        <f>NPV(Real_Discount_rate,R65:V65)</f>
        <v>0</v>
      </c>
      <c r="H68" s="2"/>
      <c r="K68" s="2"/>
      <c r="Q68" s="2"/>
    </row>
    <row r="69" spans="3:24" ht="12.75" customHeight="1" x14ac:dyDescent="0.2">
      <c r="H69" s="2"/>
      <c r="K69" s="2"/>
      <c r="Q69" s="2"/>
    </row>
    <row r="70" spans="3:24" ht="12.75" customHeight="1" x14ac:dyDescent="0.2">
      <c r="H70" s="2"/>
      <c r="K70" s="2"/>
      <c r="Q70" s="2"/>
    </row>
    <row r="71" spans="3:24" ht="12.75" customHeight="1" x14ac:dyDescent="0.2">
      <c r="C71" s="4" t="s">
        <v>51</v>
      </c>
      <c r="G71" s="3"/>
      <c r="H71" s="2"/>
      <c r="K71" s="2"/>
      <c r="Q71" s="2"/>
      <c r="R71" s="69" t="s">
        <v>5</v>
      </c>
      <c r="S71" s="69" t="s">
        <v>6</v>
      </c>
      <c r="T71" s="69" t="s">
        <v>7</v>
      </c>
      <c r="U71" s="69" t="s">
        <v>8</v>
      </c>
      <c r="V71" s="69" t="s">
        <v>9</v>
      </c>
      <c r="W71" s="112" t="s">
        <v>0</v>
      </c>
    </row>
    <row r="72" spans="3:24" ht="12.75" customHeight="1" x14ac:dyDescent="0.2">
      <c r="C72" s="24" t="s">
        <v>65</v>
      </c>
      <c r="D72" s="24" t="s">
        <v>50</v>
      </c>
      <c r="E72" s="24"/>
      <c r="F72" s="24"/>
      <c r="G72" s="24" t="s">
        <v>49</v>
      </c>
      <c r="H72" s="2"/>
      <c r="I72" s="66"/>
      <c r="J72" s="67"/>
      <c r="K72" s="2"/>
      <c r="L72" s="24"/>
      <c r="M72" s="24"/>
      <c r="N72" s="24"/>
      <c r="O72" s="24"/>
      <c r="P72" s="24"/>
      <c r="Q72" s="2"/>
      <c r="R72" s="25">
        <f t="shared" ref="R72:V75" si="16">SUMIFS(R$10:R$52,$D$10:$D$52,$D72,$G$10:$G$52,$G72,$F$10:$F$52,$C72)</f>
        <v>0</v>
      </c>
      <c r="S72" s="25">
        <f t="shared" si="16"/>
        <v>0</v>
      </c>
      <c r="T72" s="25">
        <f t="shared" si="16"/>
        <v>0</v>
      </c>
      <c r="U72" s="25">
        <f t="shared" si="16"/>
        <v>0</v>
      </c>
      <c r="V72" s="147">
        <f t="shared" si="16"/>
        <v>0</v>
      </c>
      <c r="W72" s="71">
        <f t="shared" ref="W72:W75" si="17">SUM(R72:V72)</f>
        <v>0</v>
      </c>
    </row>
    <row r="73" spans="3:24" ht="12.75" customHeight="1" x14ac:dyDescent="0.2">
      <c r="C73" s="1" t="s">
        <v>65</v>
      </c>
      <c r="D73" s="1" t="s">
        <v>39</v>
      </c>
      <c r="G73" s="1" t="s">
        <v>49</v>
      </c>
      <c r="H73" s="2"/>
      <c r="K73" s="2"/>
      <c r="Q73" s="2"/>
      <c r="R73" s="6">
        <f t="shared" si="16"/>
        <v>0</v>
      </c>
      <c r="S73" s="6">
        <f t="shared" si="16"/>
        <v>0</v>
      </c>
      <c r="T73" s="6">
        <f t="shared" si="16"/>
        <v>0</v>
      </c>
      <c r="U73" s="6">
        <f t="shared" si="16"/>
        <v>0</v>
      </c>
      <c r="V73" s="148">
        <f t="shared" si="16"/>
        <v>0</v>
      </c>
      <c r="W73" s="72">
        <f t="shared" si="17"/>
        <v>0</v>
      </c>
    </row>
    <row r="74" spans="3:24" ht="12.75" customHeight="1" x14ac:dyDescent="0.2">
      <c r="C74" s="1" t="s">
        <v>77</v>
      </c>
      <c r="D74" s="1" t="s">
        <v>50</v>
      </c>
      <c r="G74" s="1" t="s">
        <v>49</v>
      </c>
      <c r="H74" s="2"/>
      <c r="I74" s="68"/>
      <c r="K74" s="2"/>
      <c r="Q74" s="2"/>
      <c r="R74" s="6">
        <f t="shared" si="16"/>
        <v>0</v>
      </c>
      <c r="S74" s="6">
        <f t="shared" si="16"/>
        <v>0</v>
      </c>
      <c r="T74" s="6">
        <f t="shared" si="16"/>
        <v>0</v>
      </c>
      <c r="U74" s="6">
        <f t="shared" si="16"/>
        <v>0</v>
      </c>
      <c r="V74" s="6">
        <f t="shared" si="16"/>
        <v>0</v>
      </c>
      <c r="W74" s="72">
        <f t="shared" si="17"/>
        <v>0</v>
      </c>
    </row>
    <row r="75" spans="3:24" ht="12.75" customHeight="1" x14ac:dyDescent="0.2">
      <c r="C75" s="1" t="s">
        <v>80</v>
      </c>
      <c r="D75" s="1" t="s">
        <v>50</v>
      </c>
      <c r="G75" s="1" t="s">
        <v>49</v>
      </c>
      <c r="H75" s="2"/>
      <c r="I75" s="68"/>
      <c r="K75" s="2"/>
      <c r="Q75" s="2"/>
      <c r="R75" s="146">
        <f t="shared" si="16"/>
        <v>0</v>
      </c>
      <c r="S75" s="146">
        <f t="shared" si="16"/>
        <v>0</v>
      </c>
      <c r="T75" s="146">
        <f t="shared" si="16"/>
        <v>0</v>
      </c>
      <c r="U75" s="146">
        <f t="shared" si="16"/>
        <v>0</v>
      </c>
      <c r="V75" s="146">
        <f t="shared" si="16"/>
        <v>0</v>
      </c>
      <c r="W75" s="149">
        <f t="shared" si="17"/>
        <v>0</v>
      </c>
    </row>
    <row r="76" spans="3:24" ht="12.75" customHeight="1" x14ac:dyDescent="0.2">
      <c r="C76" s="7" t="str">
        <f>"Total Expenditure ($ "&amp;Assumptions!$B$12&amp;")"</f>
        <v>Total Expenditure ($ June 2024)</v>
      </c>
      <c r="D76" s="7"/>
      <c r="E76" s="7"/>
      <c r="F76" s="7"/>
      <c r="G76" s="7"/>
      <c r="H76" s="2"/>
      <c r="I76" s="7"/>
      <c r="J76" s="10"/>
      <c r="K76" s="2"/>
      <c r="L76" s="7"/>
      <c r="M76" s="7"/>
      <c r="N76" s="7"/>
      <c r="O76" s="7"/>
      <c r="P76" s="7"/>
      <c r="Q76" s="2"/>
      <c r="R76" s="8">
        <f t="shared" ref="R76:W76" si="18">SUM(R72:R75)</f>
        <v>0</v>
      </c>
      <c r="S76" s="8">
        <f t="shared" si="18"/>
        <v>0</v>
      </c>
      <c r="T76" s="8">
        <f t="shared" si="18"/>
        <v>0</v>
      </c>
      <c r="U76" s="8">
        <f t="shared" si="18"/>
        <v>0</v>
      </c>
      <c r="V76" s="8">
        <f t="shared" si="18"/>
        <v>0</v>
      </c>
      <c r="W76" s="8">
        <f t="shared" si="18"/>
        <v>0</v>
      </c>
    </row>
    <row r="77" spans="3:24" ht="12.75" customHeight="1" x14ac:dyDescent="0.2">
      <c r="C77" s="45" t="s">
        <v>52</v>
      </c>
      <c r="D77" s="45"/>
      <c r="E77" s="45"/>
      <c r="F77" s="45"/>
      <c r="G77" s="45"/>
      <c r="H77" s="2"/>
      <c r="I77" s="45"/>
      <c r="J77" s="45"/>
      <c r="K77" s="2"/>
      <c r="L77" s="45"/>
      <c r="M77" s="45"/>
      <c r="N77" s="45"/>
      <c r="O77" s="45"/>
      <c r="P77" s="45"/>
      <c r="Q77" s="2"/>
      <c r="R77" s="46">
        <f>R76-SUM(R$10:R$52)</f>
        <v>0</v>
      </c>
      <c r="S77" s="46">
        <f>S76-SUM(S$10:S$52)</f>
        <v>0</v>
      </c>
      <c r="T77" s="46">
        <f>T76-SUM(T$10:T$52)</f>
        <v>0</v>
      </c>
      <c r="U77" s="46">
        <f>U76-SUM(U$10:U$52)</f>
        <v>0</v>
      </c>
      <c r="V77" s="46">
        <f>V76-SUM(V$10:V$52)</f>
        <v>0</v>
      </c>
      <c r="W77" s="46">
        <f>W76-SUM(R$10:V$52)</f>
        <v>0</v>
      </c>
      <c r="X77" s="46">
        <f>SUM(R77:W77)</f>
        <v>0</v>
      </c>
    </row>
    <row r="78" spans="3:24" ht="12.75" customHeight="1" x14ac:dyDescent="0.2">
      <c r="C78" s="114"/>
      <c r="D78" s="114"/>
      <c r="E78" s="114"/>
      <c r="F78" s="114"/>
      <c r="G78" s="114"/>
      <c r="H78" s="2"/>
      <c r="I78" s="114"/>
      <c r="J78" s="114"/>
      <c r="K78" s="2"/>
      <c r="L78" s="114"/>
      <c r="M78" s="114"/>
      <c r="N78" s="114"/>
      <c r="O78" s="114"/>
      <c r="P78" s="114"/>
      <c r="Q78" s="2"/>
      <c r="R78" s="115"/>
      <c r="S78" s="115"/>
      <c r="T78" s="115"/>
      <c r="U78" s="115"/>
      <c r="V78" s="115"/>
      <c r="W78" s="115"/>
      <c r="X78" s="115"/>
    </row>
    <row r="79" spans="3:24" ht="12.75" customHeight="1" x14ac:dyDescent="0.2">
      <c r="C79" s="114"/>
      <c r="D79" s="114"/>
      <c r="E79" s="114"/>
      <c r="F79" s="114"/>
      <c r="G79" s="114"/>
      <c r="H79" s="2"/>
      <c r="I79" s="114"/>
      <c r="J79" s="114"/>
      <c r="K79" s="2"/>
      <c r="L79" s="114"/>
      <c r="M79" s="114"/>
      <c r="N79" s="114"/>
      <c r="O79" s="114"/>
      <c r="P79" s="114"/>
      <c r="Q79" s="2"/>
      <c r="R79" s="115"/>
      <c r="S79" s="115"/>
      <c r="T79" s="115"/>
      <c r="U79" s="115"/>
      <c r="V79" s="115"/>
      <c r="W79" s="115"/>
      <c r="X79" s="115"/>
    </row>
    <row r="80" spans="3:24" ht="12.75" customHeight="1" x14ac:dyDescent="0.2">
      <c r="C80" s="114"/>
      <c r="D80" s="114"/>
      <c r="E80" s="114"/>
      <c r="F80" s="114"/>
      <c r="G80" s="114"/>
      <c r="H80" s="2"/>
      <c r="I80" s="114"/>
      <c r="J80" s="114"/>
      <c r="K80" s="2"/>
      <c r="L80" s="114"/>
      <c r="M80" s="114"/>
      <c r="N80" s="114"/>
      <c r="O80" s="114"/>
      <c r="P80" s="114"/>
      <c r="Q80" s="2"/>
      <c r="R80" s="115"/>
      <c r="S80" s="115"/>
      <c r="T80" s="115"/>
      <c r="U80" s="115"/>
      <c r="V80" s="115"/>
      <c r="W80" s="115"/>
      <c r="X80" s="115"/>
    </row>
    <row r="81" spans="3:24" ht="12.75" customHeight="1" x14ac:dyDescent="0.2">
      <c r="C81" s="76" t="s">
        <v>53</v>
      </c>
      <c r="H81" s="2"/>
      <c r="K81" s="2"/>
      <c r="Q81" s="2"/>
      <c r="R81" s="69" t="s">
        <v>5</v>
      </c>
      <c r="S81" s="69" t="s">
        <v>6</v>
      </c>
      <c r="T81" s="69" t="s">
        <v>7</v>
      </c>
      <c r="U81" s="69" t="s">
        <v>8</v>
      </c>
      <c r="V81" s="69" t="s">
        <v>9</v>
      </c>
      <c r="W81" s="69" t="s">
        <v>0</v>
      </c>
    </row>
    <row r="82" spans="3:24" ht="12.75" customHeight="1" x14ac:dyDescent="0.2">
      <c r="C82" s="24" t="s">
        <v>10</v>
      </c>
      <c r="D82" s="24" t="s">
        <v>50</v>
      </c>
      <c r="E82" s="24"/>
      <c r="F82" s="24"/>
      <c r="G82" s="24" t="s">
        <v>49</v>
      </c>
      <c r="H82" s="2"/>
      <c r="I82" s="66"/>
      <c r="J82" s="67"/>
      <c r="K82" s="2"/>
      <c r="L82" s="24"/>
      <c r="M82" s="24"/>
      <c r="N82" s="24"/>
      <c r="O82" s="24"/>
      <c r="P82" s="24"/>
      <c r="Q82" s="2"/>
      <c r="R82" s="34">
        <f t="shared" ref="R82:V84" si="19">R56*business_case_dollars</f>
        <v>0</v>
      </c>
      <c r="S82" s="34">
        <f t="shared" si="19"/>
        <v>0</v>
      </c>
      <c r="T82" s="34">
        <f t="shared" si="19"/>
        <v>0</v>
      </c>
      <c r="U82" s="34">
        <f t="shared" si="19"/>
        <v>0</v>
      </c>
      <c r="V82" s="34">
        <f t="shared" si="19"/>
        <v>0</v>
      </c>
      <c r="W82" s="71">
        <f>SUM(R82:V82)</f>
        <v>0</v>
      </c>
    </row>
    <row r="83" spans="3:24" ht="12.75" customHeight="1" x14ac:dyDescent="0.2">
      <c r="C83" s="1" t="s">
        <v>12</v>
      </c>
      <c r="D83" s="1" t="s">
        <v>50</v>
      </c>
      <c r="G83" s="1" t="s">
        <v>49</v>
      </c>
      <c r="H83" s="2"/>
      <c r="I83" s="68"/>
      <c r="K83" s="2"/>
      <c r="Q83" s="2"/>
      <c r="R83" s="6">
        <f t="shared" si="19"/>
        <v>0</v>
      </c>
      <c r="S83" s="6">
        <f t="shared" si="19"/>
        <v>0</v>
      </c>
      <c r="T83" s="6">
        <f t="shared" si="19"/>
        <v>0</v>
      </c>
      <c r="U83" s="6">
        <f t="shared" si="19"/>
        <v>0</v>
      </c>
      <c r="V83" s="6">
        <f t="shared" si="19"/>
        <v>0</v>
      </c>
      <c r="W83" s="72">
        <f t="shared" ref="W83:W91" si="20">SUM(R83:V83)</f>
        <v>0</v>
      </c>
    </row>
    <row r="84" spans="3:24" ht="12.75" customHeight="1" x14ac:dyDescent="0.2">
      <c r="C84" s="1" t="s">
        <v>13</v>
      </c>
      <c r="D84" s="1" t="s">
        <v>50</v>
      </c>
      <c r="G84" s="1" t="s">
        <v>49</v>
      </c>
      <c r="H84" s="2"/>
      <c r="I84" s="68"/>
      <c r="K84" s="2"/>
      <c r="Q84" s="2"/>
      <c r="R84" s="6">
        <f t="shared" si="19"/>
        <v>0</v>
      </c>
      <c r="S84" s="6">
        <f t="shared" si="19"/>
        <v>0</v>
      </c>
      <c r="T84" s="6">
        <f t="shared" si="19"/>
        <v>0</v>
      </c>
      <c r="U84" s="6">
        <f t="shared" si="19"/>
        <v>0</v>
      </c>
      <c r="V84" s="6">
        <f t="shared" si="19"/>
        <v>0</v>
      </c>
      <c r="W84" s="72">
        <f t="shared" si="20"/>
        <v>0</v>
      </c>
    </row>
    <row r="85" spans="3:24" ht="12.75" customHeight="1" x14ac:dyDescent="0.2">
      <c r="C85" s="21" t="s">
        <v>14</v>
      </c>
      <c r="D85" s="21" t="s">
        <v>50</v>
      </c>
      <c r="E85" s="102"/>
      <c r="F85" s="102"/>
      <c r="G85" s="103"/>
      <c r="H85" s="104"/>
      <c r="I85" s="103"/>
      <c r="J85" s="105"/>
      <c r="K85" s="104"/>
      <c r="L85" s="102"/>
      <c r="M85" s="102"/>
      <c r="N85" s="102"/>
      <c r="O85" s="102"/>
      <c r="P85" s="102"/>
      <c r="Q85" s="104"/>
      <c r="R85" s="22">
        <f t="shared" ref="R85:W85" si="21">SUM(R82:R84)</f>
        <v>0</v>
      </c>
      <c r="S85" s="22">
        <f t="shared" si="21"/>
        <v>0</v>
      </c>
      <c r="T85" s="22">
        <f t="shared" si="21"/>
        <v>0</v>
      </c>
      <c r="U85" s="22">
        <f t="shared" si="21"/>
        <v>0</v>
      </c>
      <c r="V85" s="22">
        <f t="shared" si="21"/>
        <v>0</v>
      </c>
      <c r="W85" s="22">
        <f t="shared" si="21"/>
        <v>0</v>
      </c>
    </row>
    <row r="86" spans="3:24" ht="12.75" customHeight="1" x14ac:dyDescent="0.2">
      <c r="C86" s="1" t="s">
        <v>10</v>
      </c>
      <c r="D86" s="1" t="s">
        <v>39</v>
      </c>
      <c r="G86" s="1" t="s">
        <v>49</v>
      </c>
      <c r="H86" s="2"/>
      <c r="I86" s="68"/>
      <c r="K86" s="2"/>
      <c r="Q86" s="2"/>
      <c r="R86" s="116">
        <f t="shared" ref="R86:V88" si="22">R60*business_case_dollars</f>
        <v>0</v>
      </c>
      <c r="S86" s="116">
        <f t="shared" si="22"/>
        <v>0</v>
      </c>
      <c r="T86" s="116">
        <f t="shared" si="22"/>
        <v>0</v>
      </c>
      <c r="U86" s="116">
        <f t="shared" si="22"/>
        <v>0</v>
      </c>
      <c r="V86" s="116">
        <f t="shared" si="22"/>
        <v>0</v>
      </c>
      <c r="W86" s="72">
        <f>SUM(R86:V86)</f>
        <v>0</v>
      </c>
    </row>
    <row r="87" spans="3:24" ht="12.75" customHeight="1" x14ac:dyDescent="0.2">
      <c r="C87" s="1" t="s">
        <v>12</v>
      </c>
      <c r="D87" s="1" t="s">
        <v>39</v>
      </c>
      <c r="G87" s="1" t="s">
        <v>49</v>
      </c>
      <c r="H87" s="2"/>
      <c r="I87" s="68"/>
      <c r="K87" s="2"/>
      <c r="Q87" s="2"/>
      <c r="R87" s="6">
        <f t="shared" si="22"/>
        <v>0</v>
      </c>
      <c r="S87" s="6">
        <f t="shared" si="22"/>
        <v>0</v>
      </c>
      <c r="T87" s="6">
        <f t="shared" si="22"/>
        <v>0</v>
      </c>
      <c r="U87" s="6">
        <f t="shared" si="22"/>
        <v>0</v>
      </c>
      <c r="V87" s="6">
        <f t="shared" si="22"/>
        <v>0</v>
      </c>
      <c r="W87" s="72">
        <f t="shared" ref="W87:W88" si="23">SUM(R87:V87)</f>
        <v>0</v>
      </c>
    </row>
    <row r="88" spans="3:24" ht="12.75" customHeight="1" x14ac:dyDescent="0.2">
      <c r="C88" s="1" t="s">
        <v>13</v>
      </c>
      <c r="D88" s="1" t="s">
        <v>39</v>
      </c>
      <c r="G88" s="1" t="s">
        <v>49</v>
      </c>
      <c r="H88" s="2"/>
      <c r="I88" s="68"/>
      <c r="K88" s="2"/>
      <c r="Q88" s="2"/>
      <c r="R88" s="6">
        <f t="shared" si="22"/>
        <v>0</v>
      </c>
      <c r="S88" s="6">
        <f t="shared" si="22"/>
        <v>0</v>
      </c>
      <c r="T88" s="6">
        <f t="shared" si="22"/>
        <v>0</v>
      </c>
      <c r="U88" s="6">
        <f t="shared" si="22"/>
        <v>0</v>
      </c>
      <c r="V88" s="6">
        <f t="shared" si="22"/>
        <v>0</v>
      </c>
      <c r="W88" s="72">
        <f t="shared" si="23"/>
        <v>0</v>
      </c>
    </row>
    <row r="89" spans="3:24" ht="12.75" customHeight="1" x14ac:dyDescent="0.2">
      <c r="C89" s="21" t="s">
        <v>16</v>
      </c>
      <c r="D89" s="21" t="s">
        <v>39</v>
      </c>
      <c r="E89" s="102"/>
      <c r="F89" s="102"/>
      <c r="G89" s="103"/>
      <c r="H89" s="104"/>
      <c r="I89" s="103"/>
      <c r="J89" s="105"/>
      <c r="K89" s="104"/>
      <c r="L89" s="102"/>
      <c r="M89" s="102"/>
      <c r="N89" s="102"/>
      <c r="O89" s="102"/>
      <c r="P89" s="102"/>
      <c r="Q89" s="104"/>
      <c r="R89" s="22">
        <f t="shared" ref="R89:W89" si="24">SUM(R86:R88)</f>
        <v>0</v>
      </c>
      <c r="S89" s="22">
        <f t="shared" si="24"/>
        <v>0</v>
      </c>
      <c r="T89" s="22">
        <f t="shared" si="24"/>
        <v>0</v>
      </c>
      <c r="U89" s="22">
        <f t="shared" si="24"/>
        <v>0</v>
      </c>
      <c r="V89" s="22">
        <f t="shared" si="24"/>
        <v>0</v>
      </c>
      <c r="W89" s="22">
        <f t="shared" si="24"/>
        <v>0</v>
      </c>
    </row>
    <row r="90" spans="3:24" ht="12.75" customHeight="1" x14ac:dyDescent="0.2">
      <c r="H90" s="2"/>
      <c r="I90" s="68"/>
      <c r="K90" s="2"/>
      <c r="Q90" s="2"/>
      <c r="R90" s="6"/>
      <c r="S90" s="6"/>
      <c r="T90" s="6"/>
      <c r="U90" s="6"/>
      <c r="V90" s="6"/>
      <c r="W90" s="72"/>
    </row>
    <row r="91" spans="3:24" x14ac:dyDescent="0.2">
      <c r="C91" s="7" t="str">
        <f>"Total Expenditure ($ "&amp;Assumptions!$C$35&amp;")"</f>
        <v>Total Expenditure ($ June 2026)</v>
      </c>
      <c r="D91" s="7" t="s">
        <v>54</v>
      </c>
      <c r="E91" s="7"/>
      <c r="F91" s="7"/>
      <c r="G91" s="7"/>
      <c r="H91" s="2"/>
      <c r="I91" s="7"/>
      <c r="J91" s="10"/>
      <c r="K91" s="2"/>
      <c r="L91" s="7"/>
      <c r="M91" s="7"/>
      <c r="N91" s="7"/>
      <c r="O91" s="7"/>
      <c r="P91" s="7"/>
      <c r="Q91" s="2"/>
      <c r="R91" s="8">
        <f>R85+R89</f>
        <v>0</v>
      </c>
      <c r="S91" s="8">
        <f>S85+S89</f>
        <v>0</v>
      </c>
      <c r="T91" s="8">
        <f>T85+T89</f>
        <v>0</v>
      </c>
      <c r="U91" s="8">
        <f>U85+U89</f>
        <v>0</v>
      </c>
      <c r="V91" s="8">
        <f>V85+V89</f>
        <v>0</v>
      </c>
      <c r="W91" s="73">
        <f t="shared" si="20"/>
        <v>0</v>
      </c>
    </row>
    <row r="92" spans="3:24" x14ac:dyDescent="0.2">
      <c r="H92" s="2"/>
      <c r="K92" s="2"/>
      <c r="Q92" s="2"/>
      <c r="R92" s="46">
        <f>SUM(R10:R52)*business_case_dollars-R91</f>
        <v>0</v>
      </c>
      <c r="S92" s="46">
        <f>SUM(S10:S52)*business_case_dollars-S91</f>
        <v>0</v>
      </c>
      <c r="T92" s="46">
        <f>SUM(T10:T52)*business_case_dollars-T91</f>
        <v>0</v>
      </c>
      <c r="U92" s="46">
        <f>SUM(U10:U52)*business_case_dollars-U91</f>
        <v>0</v>
      </c>
      <c r="V92" s="46">
        <f>SUM(V10:V52)*business_case_dollars-V91</f>
        <v>0</v>
      </c>
      <c r="W92" s="46">
        <f>SUM(R10:V52)*business_case_dollars-W91</f>
        <v>0</v>
      </c>
      <c r="X92" s="46">
        <f>SUM(R92:W92)</f>
        <v>0</v>
      </c>
    </row>
    <row r="93" spans="3:24" x14ac:dyDescent="0.2">
      <c r="C93" s="55" t="str">
        <f>"NPV ($ "&amp;Assumptions!$C$35&amp;")"</f>
        <v>NPV ($ June 2026)</v>
      </c>
      <c r="D93" s="56">
        <f>NPV(Real_Discount_rate,R91:V91)</f>
        <v>0</v>
      </c>
      <c r="H93" s="2"/>
      <c r="K93" s="2"/>
      <c r="Q93" s="2"/>
      <c r="R93" s="52"/>
      <c r="S93" s="52"/>
      <c r="T93" s="52"/>
      <c r="U93" s="52"/>
      <c r="V93" s="52"/>
    </row>
    <row r="96" spans="3:24" x14ac:dyDescent="0.2">
      <c r="C96" s="4" t="s">
        <v>51</v>
      </c>
      <c r="G96" s="3"/>
      <c r="H96" s="2"/>
      <c r="K96" s="2"/>
      <c r="Q96" s="2"/>
      <c r="R96" s="69" t="s">
        <v>5</v>
      </c>
      <c r="S96" s="69" t="s">
        <v>6</v>
      </c>
      <c r="T96" s="69" t="s">
        <v>7</v>
      </c>
      <c r="U96" s="69" t="s">
        <v>8</v>
      </c>
      <c r="V96" s="69" t="s">
        <v>9</v>
      </c>
      <c r="W96" s="112" t="s">
        <v>0</v>
      </c>
    </row>
    <row r="97" spans="3:24" x14ac:dyDescent="0.2">
      <c r="C97" s="24" t="s">
        <v>65</v>
      </c>
      <c r="D97" s="24" t="s">
        <v>50</v>
      </c>
      <c r="E97" s="24"/>
      <c r="F97" s="24"/>
      <c r="G97" s="24" t="s">
        <v>49</v>
      </c>
      <c r="H97" s="2"/>
      <c r="I97" s="66"/>
      <c r="J97" s="67"/>
      <c r="K97" s="2"/>
      <c r="L97" s="24"/>
      <c r="M97" s="24"/>
      <c r="N97" s="24"/>
      <c r="O97" s="24"/>
      <c r="P97" s="24"/>
      <c r="Q97" s="2"/>
      <c r="R97" s="25">
        <f t="shared" ref="R97:V99" si="25">R72*business_case_dollars</f>
        <v>0</v>
      </c>
      <c r="S97" s="25">
        <f t="shared" si="25"/>
        <v>0</v>
      </c>
      <c r="T97" s="25">
        <f t="shared" si="25"/>
        <v>0</v>
      </c>
      <c r="U97" s="25">
        <f t="shared" si="25"/>
        <v>0</v>
      </c>
      <c r="V97" s="25">
        <f t="shared" si="25"/>
        <v>0</v>
      </c>
      <c r="W97" s="71">
        <f t="shared" ref="W97:W100" si="26">SUM(R97:V97)</f>
        <v>0</v>
      </c>
    </row>
    <row r="98" spans="3:24" x14ac:dyDescent="0.2">
      <c r="C98" s="1" t="s">
        <v>65</v>
      </c>
      <c r="D98" s="1" t="s">
        <v>39</v>
      </c>
      <c r="G98" s="1" t="s">
        <v>49</v>
      </c>
      <c r="H98" s="2"/>
      <c r="K98" s="2"/>
      <c r="Q98" s="2"/>
      <c r="R98" s="6">
        <f t="shared" si="25"/>
        <v>0</v>
      </c>
      <c r="S98" s="6">
        <f t="shared" si="25"/>
        <v>0</v>
      </c>
      <c r="T98" s="6">
        <f t="shared" si="25"/>
        <v>0</v>
      </c>
      <c r="U98" s="6">
        <f t="shared" si="25"/>
        <v>0</v>
      </c>
      <c r="V98" s="6">
        <f t="shared" si="25"/>
        <v>0</v>
      </c>
      <c r="W98" s="72">
        <f t="shared" si="26"/>
        <v>0</v>
      </c>
    </row>
    <row r="99" spans="3:24" x14ac:dyDescent="0.2">
      <c r="C99" s="1" t="s">
        <v>77</v>
      </c>
      <c r="D99" s="1" t="s">
        <v>50</v>
      </c>
      <c r="G99" s="1" t="s">
        <v>49</v>
      </c>
      <c r="H99" s="2"/>
      <c r="I99" s="68"/>
      <c r="K99" s="2"/>
      <c r="Q99" s="2"/>
      <c r="R99" s="6">
        <f t="shared" si="25"/>
        <v>0</v>
      </c>
      <c r="S99" s="6">
        <f t="shared" si="25"/>
        <v>0</v>
      </c>
      <c r="T99" s="6">
        <f t="shared" si="25"/>
        <v>0</v>
      </c>
      <c r="U99" s="6">
        <f t="shared" si="25"/>
        <v>0</v>
      </c>
      <c r="V99" s="6">
        <f t="shared" si="25"/>
        <v>0</v>
      </c>
      <c r="W99" s="72">
        <f t="shared" si="26"/>
        <v>0</v>
      </c>
    </row>
    <row r="100" spans="3:24" x14ac:dyDescent="0.2">
      <c r="C100" s="1" t="s">
        <v>80</v>
      </c>
      <c r="D100" s="1" t="s">
        <v>50</v>
      </c>
      <c r="G100" s="1" t="s">
        <v>49</v>
      </c>
      <c r="H100" s="2"/>
      <c r="I100" s="68"/>
      <c r="K100" s="2"/>
      <c r="Q100" s="2"/>
      <c r="R100" s="149">
        <f t="shared" ref="R100:V100" si="27">R75*business_case_dollars</f>
        <v>0</v>
      </c>
      <c r="S100" s="149">
        <f t="shared" si="27"/>
        <v>0</v>
      </c>
      <c r="T100" s="149">
        <f t="shared" si="27"/>
        <v>0</v>
      </c>
      <c r="U100" s="149">
        <f t="shared" si="27"/>
        <v>0</v>
      </c>
      <c r="V100" s="149">
        <f t="shared" si="27"/>
        <v>0</v>
      </c>
      <c r="W100" s="149">
        <f t="shared" si="26"/>
        <v>0</v>
      </c>
    </row>
    <row r="101" spans="3:24" x14ac:dyDescent="0.2">
      <c r="C101" s="7" t="str">
        <f>"Total Expenditure ($ "&amp;Assumptions!$C$35&amp;")"</f>
        <v>Total Expenditure ($ June 2026)</v>
      </c>
      <c r="D101" s="7"/>
      <c r="E101" s="7"/>
      <c r="F101" s="7"/>
      <c r="G101" s="7"/>
      <c r="H101" s="2"/>
      <c r="I101" s="7"/>
      <c r="J101" s="10"/>
      <c r="K101" s="2"/>
      <c r="L101" s="7"/>
      <c r="M101" s="7"/>
      <c r="N101" s="7"/>
      <c r="O101" s="7"/>
      <c r="P101" s="7"/>
      <c r="Q101" s="2"/>
      <c r="R101" s="8">
        <f t="shared" ref="R101:W101" si="28">SUM(R97:R100)</f>
        <v>0</v>
      </c>
      <c r="S101" s="8">
        <f t="shared" si="28"/>
        <v>0</v>
      </c>
      <c r="T101" s="8">
        <f t="shared" si="28"/>
        <v>0</v>
      </c>
      <c r="U101" s="8">
        <f t="shared" si="28"/>
        <v>0</v>
      </c>
      <c r="V101" s="8">
        <f t="shared" si="28"/>
        <v>0</v>
      </c>
      <c r="W101" s="8">
        <f t="shared" si="28"/>
        <v>0</v>
      </c>
    </row>
    <row r="102" spans="3:24" x14ac:dyDescent="0.2">
      <c r="C102" s="45" t="s">
        <v>52</v>
      </c>
      <c r="D102" s="45"/>
      <c r="E102" s="45"/>
      <c r="F102" s="45"/>
      <c r="G102" s="45"/>
      <c r="H102" s="2"/>
      <c r="I102" s="45"/>
      <c r="J102" s="45"/>
      <c r="K102" s="2"/>
      <c r="L102" s="45"/>
      <c r="M102" s="45"/>
      <c r="N102" s="45"/>
      <c r="O102" s="45"/>
      <c r="P102" s="45"/>
      <c r="Q102" s="2"/>
      <c r="R102" s="46">
        <f>R101-SUM(R$10:R$52)*business_case_dollars</f>
        <v>0</v>
      </c>
      <c r="S102" s="46">
        <f>S101-SUM(S$10:S$52)*business_case_dollars</f>
        <v>0</v>
      </c>
      <c r="T102" s="46">
        <f>T101-SUM(T$10:T$52)*business_case_dollars</f>
        <v>0</v>
      </c>
      <c r="U102" s="46">
        <f>U101-SUM(U$10:U$52)*business_case_dollars</f>
        <v>0</v>
      </c>
      <c r="V102" s="46">
        <f>V101-SUM(V$10:V$52)*business_case_dollars</f>
        <v>0</v>
      </c>
      <c r="W102" s="46">
        <f>W101-SUM(R$10:V$52)*business_case_dollars</f>
        <v>0</v>
      </c>
      <c r="X102" s="46">
        <f>SUM(R102:W102)</f>
        <v>0</v>
      </c>
    </row>
  </sheetData>
  <conditionalFormatting sqref="I10:I52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R66:W66">
    <cfRule type="expression" dxfId="29" priority="7">
      <formula>ABS(R66)&gt;0.001</formula>
    </cfRule>
  </conditionalFormatting>
  <conditionalFormatting sqref="R77:W80">
    <cfRule type="expression" dxfId="28" priority="4">
      <formula>ABS(R77)&gt;0.001</formula>
    </cfRule>
  </conditionalFormatting>
  <conditionalFormatting sqref="R92:W92">
    <cfRule type="expression" dxfId="27" priority="8">
      <formula>ABS(R92)&gt;0.001</formula>
    </cfRule>
  </conditionalFormatting>
  <conditionalFormatting sqref="R102:W102">
    <cfRule type="expression" dxfId="26" priority="1">
      <formula>ABS(R102)&gt;0.001</formula>
    </cfRule>
  </conditionalFormatting>
  <conditionalFormatting sqref="X66">
    <cfRule type="expression" dxfId="25" priority="20">
      <formula>ABS(X66)&gt;0.001</formula>
    </cfRule>
  </conditionalFormatting>
  <conditionalFormatting sqref="X77:X80">
    <cfRule type="expression" dxfId="24" priority="5">
      <formula>ABS(X77)&gt;0.001</formula>
    </cfRule>
  </conditionalFormatting>
  <conditionalFormatting sqref="X92">
    <cfRule type="expression" dxfId="23" priority="10">
      <formula>ABS(X92)&gt;0.001</formula>
    </cfRule>
  </conditionalFormatting>
  <conditionalFormatting sqref="X102">
    <cfRule type="expression" dxfId="22" priority="2">
      <formula>ABS(X102)&gt;0.001</formula>
    </cfRule>
  </conditionalFormatting>
  <dataValidations count="3">
    <dataValidation type="list" allowBlank="1" showInputMessage="1" showErrorMessage="1" sqref="E10:E52" xr:uid="{B0E8B852-301B-4563-9163-FFDB1711704F}">
      <formula1>"Labour, Materials, Contracts"</formula1>
    </dataValidation>
    <dataValidation type="list" allowBlank="1" showInputMessage="1" showErrorMessage="1" sqref="D10:D52" xr:uid="{056126DF-837A-45EA-97BA-3AA3767E7A6C}">
      <formula1>"Capex, Opex"</formula1>
    </dataValidation>
    <dataValidation type="list" allowBlank="1" showInputMessage="1" showErrorMessage="1" sqref="G10:G52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R59:W59 R85:W8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AA102"/>
  <sheetViews>
    <sheetView showGridLines="0" zoomScale="80" zoomScaleNormal="80" workbookViewId="0">
      <pane ySplit="9" topLeftCell="A10" activePane="bottomLeft" state="frozen"/>
      <selection activeCell="C24" sqref="C24"/>
      <selection pane="bottomLeft" activeCell="M21" sqref="M21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75.7109375" style="1" customWidth="1"/>
    <col min="4" max="4" width="12.7109375" style="1" bestFit="1" customWidth="1"/>
    <col min="5" max="5" width="9.42578125" style="1" bestFit="1" customWidth="1"/>
    <col min="6" max="6" width="17.28515625" style="1" bestFit="1" customWidth="1"/>
    <col min="7" max="7" width="13" style="1" bestFit="1" customWidth="1"/>
    <col min="8" max="8" width="2.85546875" style="1" customWidth="1"/>
    <col min="9" max="9" width="12.140625" style="1" customWidth="1"/>
    <col min="10" max="10" width="6.28515625" style="9" bestFit="1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63" t="str">
        <f>Project_name</f>
        <v>Property recurrent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60" t="str">
        <f>Business</f>
        <v>United Energy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2" customFormat="1" ht="15.7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1"/>
      <c r="K3" s="30"/>
      <c r="L3" s="30"/>
      <c r="M3" s="30"/>
      <c r="N3" s="30"/>
      <c r="O3" s="30"/>
      <c r="P3" s="30"/>
      <c r="Q3" s="30"/>
      <c r="R3" s="13"/>
      <c r="S3" s="11"/>
      <c r="T3" s="11"/>
      <c r="U3" s="11"/>
      <c r="V3" s="11"/>
      <c r="X3" s="48" t="b">
        <f>SUM(X7:X53)=0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50" t="s">
        <v>40</v>
      </c>
      <c r="D7" s="65" t="s">
        <v>41</v>
      </c>
      <c r="E7" s="65" t="s">
        <v>42</v>
      </c>
      <c r="F7" s="65" t="s">
        <v>76</v>
      </c>
      <c r="G7" s="110" t="s">
        <v>43</v>
      </c>
      <c r="H7" s="16"/>
      <c r="I7" s="19" t="s">
        <v>10</v>
      </c>
      <c r="J7" s="19" t="s">
        <v>44</v>
      </c>
      <c r="L7" s="19" t="s">
        <v>45</v>
      </c>
      <c r="M7" s="20"/>
      <c r="N7" s="20"/>
      <c r="O7" s="20"/>
      <c r="P7" s="20"/>
      <c r="R7" s="19" t="s">
        <v>46</v>
      </c>
      <c r="S7" s="20"/>
      <c r="T7" s="20"/>
      <c r="U7" s="20"/>
      <c r="V7" s="20"/>
    </row>
    <row r="8" spans="1:27" ht="12.75" customHeight="1" x14ac:dyDescent="0.2">
      <c r="A8" s="4"/>
      <c r="B8" s="4"/>
      <c r="C8" s="100"/>
      <c r="D8" s="100" t="s">
        <v>39</v>
      </c>
      <c r="E8" s="100"/>
      <c r="F8" s="100"/>
      <c r="G8" s="100" t="s">
        <v>47</v>
      </c>
      <c r="H8" s="16"/>
      <c r="I8" s="109" t="s">
        <v>48</v>
      </c>
      <c r="J8" s="100"/>
      <c r="L8" s="51" t="s">
        <v>5</v>
      </c>
      <c r="M8" s="51" t="s">
        <v>6</v>
      </c>
      <c r="N8" s="51" t="s">
        <v>7</v>
      </c>
      <c r="O8" s="51" t="s">
        <v>8</v>
      </c>
      <c r="P8" s="51" t="s">
        <v>9</v>
      </c>
      <c r="R8" s="51" t="s">
        <v>5</v>
      </c>
      <c r="S8" s="51" t="s">
        <v>6</v>
      </c>
      <c r="T8" s="51" t="s">
        <v>7</v>
      </c>
      <c r="U8" s="51" t="s">
        <v>8</v>
      </c>
      <c r="V8" s="51" t="s">
        <v>9</v>
      </c>
    </row>
    <row r="9" spans="1:27" ht="12.75" customHeight="1" x14ac:dyDescent="0.2">
      <c r="H9" s="16"/>
    </row>
    <row r="10" spans="1:27" ht="12.75" customHeight="1" x14ac:dyDescent="0.2">
      <c r="A10" s="4"/>
      <c r="C10" s="81" t="s">
        <v>85</v>
      </c>
      <c r="D10" s="82" t="s">
        <v>50</v>
      </c>
      <c r="E10" s="82" t="s">
        <v>12</v>
      </c>
      <c r="F10" s="82" t="s">
        <v>65</v>
      </c>
      <c r="G10" s="80" t="s">
        <v>49</v>
      </c>
      <c r="H10" s="2"/>
      <c r="I10" s="64">
        <f>IF($E10="Labour",Assumptions!$B$14,)</f>
        <v>0</v>
      </c>
      <c r="J10" s="9" t="str">
        <f>IF($E10="Labour","Hours","$")</f>
        <v>$</v>
      </c>
      <c r="K10" s="2"/>
      <c r="L10" s="83">
        <v>52894</v>
      </c>
      <c r="M10" s="83">
        <v>52894</v>
      </c>
      <c r="N10" s="83">
        <v>52894</v>
      </c>
      <c r="O10" s="83">
        <v>52894</v>
      </c>
      <c r="P10" s="83">
        <v>52894</v>
      </c>
      <c r="Q10" s="2"/>
      <c r="R10" s="5">
        <f t="shared" ref="R10:R37" si="0">IF($E10="Labour",$I10*L10,L10)</f>
        <v>52894</v>
      </c>
      <c r="S10" s="5">
        <f t="shared" ref="S10:S37" si="1">IF($E10="Labour",$I10*M10,M10)</f>
        <v>52894</v>
      </c>
      <c r="T10" s="5">
        <f t="shared" ref="T10:T37" si="2">IF($E10="Labour",$I10*N10,N10)</f>
        <v>52894</v>
      </c>
      <c r="U10" s="5">
        <f t="shared" ref="U10:U37" si="3">IF($E10="Labour",$I10*O10,O10)</f>
        <v>52894</v>
      </c>
      <c r="V10" s="5">
        <f t="shared" ref="V10:V37" si="4">IF($E10="Labour",$I10*P10,P10)</f>
        <v>52894</v>
      </c>
    </row>
    <row r="11" spans="1:27" ht="12.75" customHeight="1" x14ac:dyDescent="0.2">
      <c r="A11" s="4"/>
      <c r="C11" s="81" t="s">
        <v>86</v>
      </c>
      <c r="D11" s="82" t="s">
        <v>50</v>
      </c>
      <c r="E11" s="82" t="s">
        <v>12</v>
      </c>
      <c r="F11" s="82" t="s">
        <v>65</v>
      </c>
      <c r="G11" s="80" t="s">
        <v>49</v>
      </c>
      <c r="H11" s="2"/>
      <c r="I11" s="64">
        <f>IF($E11="Labour",Assumptions!$B$14,)</f>
        <v>0</v>
      </c>
      <c r="J11" s="9" t="str">
        <f t="shared" ref="J11:J37" si="5">IF($E11="Labour","Hours","$")</f>
        <v>$</v>
      </c>
      <c r="K11" s="2"/>
      <c r="L11" s="83">
        <v>49139</v>
      </c>
      <c r="M11" s="83">
        <v>49139</v>
      </c>
      <c r="N11" s="83">
        <v>49139</v>
      </c>
      <c r="O11" s="83">
        <v>49139</v>
      </c>
      <c r="P11" s="83">
        <v>49139</v>
      </c>
      <c r="Q11" s="2"/>
      <c r="R11" s="5">
        <f t="shared" si="0"/>
        <v>49139</v>
      </c>
      <c r="S11" s="5">
        <f t="shared" si="1"/>
        <v>49139</v>
      </c>
      <c r="T11" s="5">
        <f t="shared" si="2"/>
        <v>49139</v>
      </c>
      <c r="U11" s="5">
        <f t="shared" si="3"/>
        <v>49139</v>
      </c>
      <c r="V11" s="5">
        <f t="shared" si="4"/>
        <v>49139</v>
      </c>
    </row>
    <row r="12" spans="1:27" ht="12.75" customHeight="1" x14ac:dyDescent="0.2">
      <c r="A12" s="4"/>
      <c r="C12" s="81" t="s">
        <v>103</v>
      </c>
      <c r="D12" s="82" t="s">
        <v>39</v>
      </c>
      <c r="E12" s="82" t="s">
        <v>13</v>
      </c>
      <c r="F12" s="82" t="s">
        <v>65</v>
      </c>
      <c r="G12" s="80" t="s">
        <v>49</v>
      </c>
      <c r="H12" s="2"/>
      <c r="I12" s="64">
        <f>IF($E12="Labour",Assumptions!$B$14,)</f>
        <v>0</v>
      </c>
      <c r="J12" s="9" t="str">
        <f t="shared" si="5"/>
        <v>$</v>
      </c>
      <c r="K12" s="2"/>
      <c r="L12" s="83">
        <v>16829.5</v>
      </c>
      <c r="M12" s="83">
        <v>16829.5</v>
      </c>
      <c r="N12" s="83">
        <v>16829.5</v>
      </c>
      <c r="O12" s="83">
        <v>16829.5</v>
      </c>
      <c r="P12" s="83">
        <v>16829.5</v>
      </c>
      <c r="Q12" s="2"/>
      <c r="R12" s="5">
        <f t="shared" si="0"/>
        <v>16829.5</v>
      </c>
      <c r="S12" s="5">
        <f t="shared" si="1"/>
        <v>16829.5</v>
      </c>
      <c r="T12" s="5">
        <f t="shared" si="2"/>
        <v>16829.5</v>
      </c>
      <c r="U12" s="5">
        <f t="shared" si="3"/>
        <v>16829.5</v>
      </c>
      <c r="V12" s="5">
        <f t="shared" si="4"/>
        <v>16829.5</v>
      </c>
    </row>
    <row r="13" spans="1:27" ht="12.75" customHeight="1" x14ac:dyDescent="0.25">
      <c r="A13" s="4"/>
      <c r="C13" s="81" t="s">
        <v>104</v>
      </c>
      <c r="D13" s="82" t="s">
        <v>50</v>
      </c>
      <c r="E13" s="82" t="s">
        <v>10</v>
      </c>
      <c r="F13" s="82" t="s">
        <v>65</v>
      </c>
      <c r="G13" s="80" t="s">
        <v>49</v>
      </c>
      <c r="H13" s="2"/>
      <c r="I13" s="64">
        <f>IF($E13="Labour",Assumptions!$B$14,)</f>
        <v>145.77740895836223</v>
      </c>
      <c r="J13" s="9" t="str">
        <f t="shared" si="5"/>
        <v>Hours</v>
      </c>
      <c r="K13" s="2"/>
      <c r="L13" s="83">
        <f>46918/I13</f>
        <v>321.84685086151438</v>
      </c>
      <c r="M13" s="83">
        <f>46918/I13</f>
        <v>321.84685086151438</v>
      </c>
      <c r="N13" s="83">
        <f>46918/I13</f>
        <v>321.84685086151438</v>
      </c>
      <c r="O13" s="83">
        <f>46918/I13</f>
        <v>321.84685086151438</v>
      </c>
      <c r="P13" s="83">
        <f>46918/I13</f>
        <v>321.84685086151438</v>
      </c>
      <c r="Q13" s="2"/>
      <c r="R13" s="5">
        <f t="shared" si="0"/>
        <v>46918</v>
      </c>
      <c r="S13" s="5">
        <f t="shared" si="1"/>
        <v>46918</v>
      </c>
      <c r="T13" s="5">
        <f t="shared" si="2"/>
        <v>46918</v>
      </c>
      <c r="U13" s="5">
        <f t="shared" si="3"/>
        <v>46918</v>
      </c>
      <c r="V13" s="5">
        <f t="shared" si="4"/>
        <v>46918</v>
      </c>
      <c r="AA13"/>
    </row>
    <row r="14" spans="1:27" ht="12.75" customHeight="1" x14ac:dyDescent="0.25">
      <c r="A14" s="4"/>
      <c r="C14" s="81" t="s">
        <v>105</v>
      </c>
      <c r="D14" s="82" t="s">
        <v>50</v>
      </c>
      <c r="E14" s="82" t="s">
        <v>12</v>
      </c>
      <c r="F14" s="82" t="s">
        <v>65</v>
      </c>
      <c r="G14" s="80" t="s">
        <v>49</v>
      </c>
      <c r="H14" s="2"/>
      <c r="I14" s="64">
        <f>IF($E14="Labour",Assumptions!$B$14,)</f>
        <v>0</v>
      </c>
      <c r="J14" s="9" t="str">
        <f t="shared" si="5"/>
        <v>$</v>
      </c>
      <c r="K14" s="2"/>
      <c r="L14" s="83">
        <v>50000</v>
      </c>
      <c r="M14" s="83">
        <v>50000</v>
      </c>
      <c r="N14" s="83">
        <v>50000</v>
      </c>
      <c r="O14" s="83">
        <v>50000</v>
      </c>
      <c r="P14" s="83">
        <v>50000</v>
      </c>
      <c r="Q14" s="2"/>
      <c r="R14" s="5">
        <f t="shared" si="0"/>
        <v>50000</v>
      </c>
      <c r="S14" s="5">
        <f t="shared" si="1"/>
        <v>50000</v>
      </c>
      <c r="T14" s="5">
        <f t="shared" si="2"/>
        <v>50000</v>
      </c>
      <c r="U14" s="5">
        <f t="shared" si="3"/>
        <v>50000</v>
      </c>
      <c r="V14" s="5">
        <f t="shared" si="4"/>
        <v>50000</v>
      </c>
      <c r="AA14"/>
    </row>
    <row r="15" spans="1:27" ht="12.75" customHeight="1" x14ac:dyDescent="0.25">
      <c r="A15" s="4"/>
      <c r="C15" s="81" t="s">
        <v>106</v>
      </c>
      <c r="D15" s="82" t="s">
        <v>50</v>
      </c>
      <c r="E15" s="82" t="s">
        <v>12</v>
      </c>
      <c r="F15" s="82" t="s">
        <v>65</v>
      </c>
      <c r="G15" s="80" t="s">
        <v>49</v>
      </c>
      <c r="H15" s="2"/>
      <c r="I15" s="64">
        <f>IF($E15="Labour",Assumptions!$B$14,)</f>
        <v>0</v>
      </c>
      <c r="J15" s="9" t="str">
        <f t="shared" si="5"/>
        <v>$</v>
      </c>
      <c r="K15" s="2"/>
      <c r="L15" s="83">
        <v>71217</v>
      </c>
      <c r="M15" s="83">
        <v>71217</v>
      </c>
      <c r="N15" s="83">
        <v>71217</v>
      </c>
      <c r="O15" s="83">
        <v>71217</v>
      </c>
      <c r="P15" s="83">
        <v>71217</v>
      </c>
      <c r="Q15" s="2"/>
      <c r="R15" s="5">
        <f t="shared" si="0"/>
        <v>71217</v>
      </c>
      <c r="S15" s="5">
        <f t="shared" si="1"/>
        <v>71217</v>
      </c>
      <c r="T15" s="5">
        <f t="shared" si="2"/>
        <v>71217</v>
      </c>
      <c r="U15" s="5">
        <f t="shared" si="3"/>
        <v>71217</v>
      </c>
      <c r="V15" s="5">
        <f t="shared" si="4"/>
        <v>71217</v>
      </c>
      <c r="AA15"/>
    </row>
    <row r="16" spans="1:27" ht="12.75" customHeight="1" x14ac:dyDescent="0.25">
      <c r="A16" s="4"/>
      <c r="C16" s="81" t="s">
        <v>107</v>
      </c>
      <c r="D16" s="82" t="s">
        <v>50</v>
      </c>
      <c r="E16" s="82" t="s">
        <v>10</v>
      </c>
      <c r="F16" s="82" t="s">
        <v>65</v>
      </c>
      <c r="G16" s="80" t="s">
        <v>49</v>
      </c>
      <c r="H16" s="2"/>
      <c r="I16" s="64">
        <f>IF($E16="Labour",Assumptions!$B$14,)</f>
        <v>145.77740895836223</v>
      </c>
      <c r="J16" s="9" t="str">
        <f t="shared" si="5"/>
        <v>Hours</v>
      </c>
      <c r="K16" s="2"/>
      <c r="L16" s="83">
        <f>44800/I16</f>
        <v>307.3178506883466</v>
      </c>
      <c r="M16" s="83">
        <f>44800/I16</f>
        <v>307.3178506883466</v>
      </c>
      <c r="N16" s="83">
        <f>44800/I16</f>
        <v>307.3178506883466</v>
      </c>
      <c r="O16" s="83">
        <f>44800/I16</f>
        <v>307.3178506883466</v>
      </c>
      <c r="P16" s="83">
        <f>44800/I16</f>
        <v>307.3178506883466</v>
      </c>
      <c r="Q16" s="2"/>
      <c r="R16" s="5">
        <f t="shared" si="0"/>
        <v>44800</v>
      </c>
      <c r="S16" s="5">
        <f t="shared" si="1"/>
        <v>44800</v>
      </c>
      <c r="T16" s="5">
        <f t="shared" si="2"/>
        <v>44800</v>
      </c>
      <c r="U16" s="5">
        <f t="shared" si="3"/>
        <v>44800</v>
      </c>
      <c r="V16" s="5">
        <f t="shared" si="4"/>
        <v>44800</v>
      </c>
      <c r="AA16"/>
    </row>
    <row r="17" spans="1:27" ht="12.75" customHeight="1" x14ac:dyDescent="0.25">
      <c r="A17" s="4"/>
      <c r="C17" s="81" t="s">
        <v>108</v>
      </c>
      <c r="D17" s="82" t="s">
        <v>39</v>
      </c>
      <c r="E17" s="82" t="s">
        <v>10</v>
      </c>
      <c r="F17" s="82" t="s">
        <v>65</v>
      </c>
      <c r="G17" s="80" t="s">
        <v>49</v>
      </c>
      <c r="H17" s="2"/>
      <c r="I17" s="64">
        <f>IF($E17="Labour",Assumptions!$B$14,)</f>
        <v>145.77740895836223</v>
      </c>
      <c r="J17" s="9" t="str">
        <f t="shared" si="5"/>
        <v>Hours</v>
      </c>
      <c r="K17" s="2"/>
      <c r="L17" s="83">
        <f>26838/I17</f>
        <v>184.10259992798763</v>
      </c>
      <c r="M17" s="83">
        <f>26838/I17</f>
        <v>184.10259992798763</v>
      </c>
      <c r="N17" s="83">
        <f>26838/I17</f>
        <v>184.10259992798763</v>
      </c>
      <c r="O17" s="83">
        <f>26838/I17</f>
        <v>184.10259992798763</v>
      </c>
      <c r="P17" s="83">
        <f>26838/I17</f>
        <v>184.10259992798763</v>
      </c>
      <c r="Q17" s="2"/>
      <c r="R17" s="5">
        <f t="shared" si="0"/>
        <v>26838</v>
      </c>
      <c r="S17" s="5">
        <f t="shared" si="1"/>
        <v>26838</v>
      </c>
      <c r="T17" s="5">
        <f t="shared" si="2"/>
        <v>26838</v>
      </c>
      <c r="U17" s="5">
        <f t="shared" si="3"/>
        <v>26838</v>
      </c>
      <c r="V17" s="5">
        <f t="shared" si="4"/>
        <v>26838</v>
      </c>
      <c r="AA17"/>
    </row>
    <row r="18" spans="1:27" ht="12.75" customHeight="1" x14ac:dyDescent="0.25">
      <c r="A18" s="4"/>
      <c r="C18" s="81" t="s">
        <v>109</v>
      </c>
      <c r="D18" s="82" t="s">
        <v>39</v>
      </c>
      <c r="E18" s="82" t="s">
        <v>10</v>
      </c>
      <c r="F18" s="82" t="s">
        <v>65</v>
      </c>
      <c r="G18" s="80" t="s">
        <v>49</v>
      </c>
      <c r="H18" s="2"/>
      <c r="I18" s="64">
        <f>IF($E18="Labour",Assumptions!$B$14,)</f>
        <v>145.77740895836223</v>
      </c>
      <c r="J18" s="9" t="str">
        <f t="shared" si="5"/>
        <v>Hours</v>
      </c>
      <c r="K18" s="2"/>
      <c r="L18" s="83">
        <f>51856/I18</f>
        <v>355.72041217176115</v>
      </c>
      <c r="M18" s="83">
        <f>51856/I18</f>
        <v>355.72041217176115</v>
      </c>
      <c r="N18" s="83">
        <f>51856/I18</f>
        <v>355.72041217176115</v>
      </c>
      <c r="O18" s="83">
        <f>51856/I18</f>
        <v>355.72041217176115</v>
      </c>
      <c r="P18" s="83">
        <f>51856/I18</f>
        <v>355.72041217176115</v>
      </c>
      <c r="Q18" s="2"/>
      <c r="R18" s="5">
        <f t="shared" si="0"/>
        <v>51856</v>
      </c>
      <c r="S18" s="5">
        <f t="shared" si="1"/>
        <v>51856</v>
      </c>
      <c r="T18" s="5">
        <f t="shared" si="2"/>
        <v>51856</v>
      </c>
      <c r="U18" s="5">
        <f t="shared" si="3"/>
        <v>51856</v>
      </c>
      <c r="V18" s="5">
        <f t="shared" si="4"/>
        <v>51856</v>
      </c>
      <c r="AA18"/>
    </row>
    <row r="19" spans="1:27" ht="12.75" customHeight="1" x14ac:dyDescent="0.25">
      <c r="A19" s="4"/>
      <c r="C19" s="81" t="s">
        <v>110</v>
      </c>
      <c r="D19" s="82" t="s">
        <v>39</v>
      </c>
      <c r="E19" s="82" t="s">
        <v>10</v>
      </c>
      <c r="F19" s="82" t="s">
        <v>65</v>
      </c>
      <c r="G19" s="80" t="s">
        <v>49</v>
      </c>
      <c r="H19" s="2"/>
      <c r="I19" s="64">
        <f>IF($E19="Labour",Assumptions!$B$14,)</f>
        <v>145.77740895836223</v>
      </c>
      <c r="J19" s="9" t="str">
        <f t="shared" si="5"/>
        <v>Hours</v>
      </c>
      <c r="K19" s="2"/>
      <c r="L19" s="83">
        <f>52041.15/I19</f>
        <v>356.99049922655911</v>
      </c>
      <c r="M19" s="83">
        <f>52041.15/I19</f>
        <v>356.99049922655911</v>
      </c>
      <c r="N19" s="83">
        <f>52041.15/I19</f>
        <v>356.99049922655911</v>
      </c>
      <c r="O19" s="83">
        <f>52041.15/I19</f>
        <v>356.99049922655911</v>
      </c>
      <c r="P19" s="83">
        <f>52041.15/I19</f>
        <v>356.99049922655911</v>
      </c>
      <c r="Q19" s="2"/>
      <c r="R19" s="5">
        <f t="shared" si="0"/>
        <v>52041.15</v>
      </c>
      <c r="S19" s="5">
        <f t="shared" si="1"/>
        <v>52041.15</v>
      </c>
      <c r="T19" s="5">
        <f t="shared" si="2"/>
        <v>52041.15</v>
      </c>
      <c r="U19" s="5">
        <f t="shared" si="3"/>
        <v>52041.15</v>
      </c>
      <c r="V19" s="5">
        <f t="shared" si="4"/>
        <v>52041.15</v>
      </c>
      <c r="AA19"/>
    </row>
    <row r="20" spans="1:27" ht="12.75" customHeight="1" x14ac:dyDescent="0.25">
      <c r="A20" s="4"/>
      <c r="C20" s="81" t="s">
        <v>111</v>
      </c>
      <c r="D20" s="82" t="s">
        <v>39</v>
      </c>
      <c r="E20" s="82" t="s">
        <v>10</v>
      </c>
      <c r="F20" s="82" t="s">
        <v>65</v>
      </c>
      <c r="G20" s="80" t="s">
        <v>49</v>
      </c>
      <c r="H20" s="2"/>
      <c r="I20" s="64">
        <f>IF($E20="Labour",Assumptions!$B$14,)</f>
        <v>145.77740895836223</v>
      </c>
      <c r="J20" s="9" t="str">
        <f t="shared" si="5"/>
        <v>Hours</v>
      </c>
      <c r="K20" s="2"/>
      <c r="L20" s="83">
        <f>7264.384/I20</f>
        <v>49.832028514616383</v>
      </c>
      <c r="M20" s="83">
        <f>7264.384/I20</f>
        <v>49.832028514616383</v>
      </c>
      <c r="N20" s="83">
        <f>7264.384/I20</f>
        <v>49.832028514616383</v>
      </c>
      <c r="O20" s="83">
        <f>7264.384/I20</f>
        <v>49.832028514616383</v>
      </c>
      <c r="P20" s="83">
        <f>7264.384/I20</f>
        <v>49.832028514616383</v>
      </c>
      <c r="Q20" s="2"/>
      <c r="R20" s="5">
        <f t="shared" si="0"/>
        <v>7264.384</v>
      </c>
      <c r="S20" s="5">
        <f t="shared" si="1"/>
        <v>7264.384</v>
      </c>
      <c r="T20" s="5">
        <f t="shared" si="2"/>
        <v>7264.384</v>
      </c>
      <c r="U20" s="5">
        <f t="shared" si="3"/>
        <v>7264.384</v>
      </c>
      <c r="V20" s="5">
        <f t="shared" si="4"/>
        <v>7264.384</v>
      </c>
      <c r="AA20"/>
    </row>
    <row r="21" spans="1:27" ht="12.75" customHeight="1" x14ac:dyDescent="0.25">
      <c r="A21" s="4"/>
      <c r="C21" s="81" t="s">
        <v>36</v>
      </c>
      <c r="D21" s="82" t="s">
        <v>39</v>
      </c>
      <c r="E21" s="82" t="s">
        <v>13</v>
      </c>
      <c r="F21" s="82" t="s">
        <v>65</v>
      </c>
      <c r="G21" s="80" t="s">
        <v>49</v>
      </c>
      <c r="H21" s="2"/>
      <c r="I21" s="64">
        <f>IF($E21="Labour",Assumptions!$B$14,)</f>
        <v>0</v>
      </c>
      <c r="J21" s="9" t="str">
        <f t="shared" si="5"/>
        <v>$</v>
      </c>
      <c r="K21" s="2"/>
      <c r="L21" s="83">
        <v>7147.5</v>
      </c>
      <c r="M21" s="83">
        <v>7147.5</v>
      </c>
      <c r="N21" s="83">
        <v>7147.5</v>
      </c>
      <c r="O21" s="83">
        <v>7147.5</v>
      </c>
      <c r="P21" s="83">
        <v>7147.5</v>
      </c>
      <c r="Q21" s="2"/>
      <c r="R21" s="5">
        <f t="shared" si="0"/>
        <v>7147.5</v>
      </c>
      <c r="S21" s="5">
        <f t="shared" si="1"/>
        <v>7147.5</v>
      </c>
      <c r="T21" s="5">
        <f t="shared" si="2"/>
        <v>7147.5</v>
      </c>
      <c r="U21" s="5">
        <f t="shared" si="3"/>
        <v>7147.5</v>
      </c>
      <c r="V21" s="5">
        <f t="shared" si="4"/>
        <v>7147.5</v>
      </c>
      <c r="AA21"/>
    </row>
    <row r="22" spans="1:27" ht="12.75" customHeight="1" x14ac:dyDescent="0.25">
      <c r="A22" s="4"/>
      <c r="C22" s="81" t="s">
        <v>37</v>
      </c>
      <c r="D22" s="82" t="s">
        <v>39</v>
      </c>
      <c r="E22" s="82" t="s">
        <v>13</v>
      </c>
      <c r="F22" s="82" t="s">
        <v>65</v>
      </c>
      <c r="G22" s="80" t="s">
        <v>49</v>
      </c>
      <c r="H22" s="2"/>
      <c r="I22" s="64">
        <f>IF($E22="Labour",Assumptions!$B$14,)</f>
        <v>0</v>
      </c>
      <c r="J22" s="9" t="str">
        <f t="shared" si="5"/>
        <v>$</v>
      </c>
      <c r="K22" s="2"/>
      <c r="L22" s="83">
        <v>2387.5</v>
      </c>
      <c r="M22" s="83">
        <v>2387.5</v>
      </c>
      <c r="N22" s="83">
        <v>2387.5</v>
      </c>
      <c r="O22" s="83">
        <v>2387.5</v>
      </c>
      <c r="P22" s="83">
        <v>2387.5</v>
      </c>
      <c r="Q22" s="2"/>
      <c r="R22" s="5">
        <f t="shared" si="0"/>
        <v>2387.5</v>
      </c>
      <c r="S22" s="5">
        <f t="shared" si="1"/>
        <v>2387.5</v>
      </c>
      <c r="T22" s="5">
        <f t="shared" si="2"/>
        <v>2387.5</v>
      </c>
      <c r="U22" s="5">
        <f t="shared" si="3"/>
        <v>2387.5</v>
      </c>
      <c r="V22" s="5">
        <f t="shared" si="4"/>
        <v>2387.5</v>
      </c>
      <c r="AA22"/>
    </row>
    <row r="23" spans="1:27" ht="12.75" customHeight="1" x14ac:dyDescent="0.25">
      <c r="A23" s="4"/>
      <c r="C23" s="81" t="s">
        <v>38</v>
      </c>
      <c r="D23" s="82" t="s">
        <v>39</v>
      </c>
      <c r="E23" s="82" t="s">
        <v>13</v>
      </c>
      <c r="F23" s="82" t="s">
        <v>65</v>
      </c>
      <c r="G23" s="80" t="s">
        <v>49</v>
      </c>
      <c r="H23" s="2"/>
      <c r="I23" s="64">
        <f>IF($E23="Labour",Assumptions!$B$14,)</f>
        <v>0</v>
      </c>
      <c r="J23" s="9" t="str">
        <f t="shared" si="5"/>
        <v>$</v>
      </c>
      <c r="K23" s="2"/>
      <c r="L23" s="83">
        <v>2525</v>
      </c>
      <c r="M23" s="83">
        <v>2525</v>
      </c>
      <c r="N23" s="83">
        <v>2525</v>
      </c>
      <c r="O23" s="83">
        <v>2525</v>
      </c>
      <c r="P23" s="83">
        <v>2525</v>
      </c>
      <c r="Q23" s="2"/>
      <c r="R23" s="5">
        <f t="shared" si="0"/>
        <v>2525</v>
      </c>
      <c r="S23" s="5">
        <f t="shared" si="1"/>
        <v>2525</v>
      </c>
      <c r="T23" s="5">
        <f t="shared" si="2"/>
        <v>2525</v>
      </c>
      <c r="U23" s="5">
        <f t="shared" si="3"/>
        <v>2525</v>
      </c>
      <c r="V23" s="5">
        <f t="shared" si="4"/>
        <v>2525</v>
      </c>
      <c r="AA23"/>
    </row>
    <row r="24" spans="1:27" ht="12.75" customHeight="1" x14ac:dyDescent="0.25">
      <c r="A24" s="4"/>
      <c r="C24" s="81" t="s">
        <v>96</v>
      </c>
      <c r="D24" s="82" t="s">
        <v>50</v>
      </c>
      <c r="E24" s="82" t="s">
        <v>10</v>
      </c>
      <c r="F24" s="82" t="s">
        <v>65</v>
      </c>
      <c r="G24" s="80" t="s">
        <v>49</v>
      </c>
      <c r="H24" s="2"/>
      <c r="I24" s="64">
        <f>IF($E24="Labour",Assumptions!$B$14,)</f>
        <v>145.77740895836223</v>
      </c>
      <c r="J24" s="9" t="str">
        <f t="shared" si="5"/>
        <v>Hours</v>
      </c>
      <c r="K24" s="2"/>
      <c r="L24" s="83">
        <v>28</v>
      </c>
      <c r="M24" s="83">
        <v>28</v>
      </c>
      <c r="N24" s="83">
        <v>28</v>
      </c>
      <c r="O24" s="83">
        <v>28</v>
      </c>
      <c r="P24" s="83">
        <v>28</v>
      </c>
      <c r="Q24" s="2"/>
      <c r="R24" s="5">
        <f t="shared" si="0"/>
        <v>4081.7674508341424</v>
      </c>
      <c r="S24" s="5">
        <f t="shared" si="1"/>
        <v>4081.7674508341424</v>
      </c>
      <c r="T24" s="5">
        <f t="shared" si="2"/>
        <v>4081.7674508341424</v>
      </c>
      <c r="U24" s="5">
        <f t="shared" si="3"/>
        <v>4081.7674508341424</v>
      </c>
      <c r="V24" s="5">
        <f t="shared" si="4"/>
        <v>4081.7674508341424</v>
      </c>
      <c r="AA24"/>
    </row>
    <row r="25" spans="1:27" ht="12.75" customHeight="1" x14ac:dyDescent="0.25">
      <c r="A25" s="4"/>
      <c r="C25" s="81" t="s">
        <v>112</v>
      </c>
      <c r="D25" s="82" t="s">
        <v>50</v>
      </c>
      <c r="E25" s="82" t="s">
        <v>10</v>
      </c>
      <c r="F25" s="82" t="s">
        <v>65</v>
      </c>
      <c r="G25" s="80" t="s">
        <v>49</v>
      </c>
      <c r="H25" s="2"/>
      <c r="I25" s="64">
        <f>IF($E25="Labour",Assumptions!$B$14,)</f>
        <v>145.77740895836223</v>
      </c>
      <c r="J25" s="9" t="str">
        <f t="shared" si="5"/>
        <v>Hours</v>
      </c>
      <c r="K25" s="2"/>
      <c r="L25" s="83">
        <v>87.5</v>
      </c>
      <c r="M25" s="83">
        <v>87.5</v>
      </c>
      <c r="N25" s="83">
        <v>87.5</v>
      </c>
      <c r="O25" s="83">
        <v>87.5</v>
      </c>
      <c r="P25" s="83">
        <v>87.5</v>
      </c>
      <c r="Q25" s="2"/>
      <c r="R25" s="5">
        <f t="shared" si="0"/>
        <v>12755.523283856695</v>
      </c>
      <c r="S25" s="5">
        <f t="shared" si="1"/>
        <v>12755.523283856695</v>
      </c>
      <c r="T25" s="5">
        <f t="shared" si="2"/>
        <v>12755.523283856695</v>
      </c>
      <c r="U25" s="5">
        <f t="shared" si="3"/>
        <v>12755.523283856695</v>
      </c>
      <c r="V25" s="5">
        <f t="shared" si="4"/>
        <v>12755.523283856695</v>
      </c>
      <c r="AA25"/>
    </row>
    <row r="26" spans="1:27" ht="12.75" customHeight="1" x14ac:dyDescent="0.25">
      <c r="A26" s="4"/>
      <c r="C26" s="81" t="s">
        <v>113</v>
      </c>
      <c r="D26" s="82" t="s">
        <v>50</v>
      </c>
      <c r="E26" s="82" t="s">
        <v>12</v>
      </c>
      <c r="F26" s="82" t="s">
        <v>65</v>
      </c>
      <c r="G26" s="80" t="s">
        <v>49</v>
      </c>
      <c r="H26" s="2"/>
      <c r="I26" s="64">
        <f>IF($E26="Labour",Assumptions!$B$14,)</f>
        <v>0</v>
      </c>
      <c r="J26" s="9" t="str">
        <f t="shared" si="5"/>
        <v>$</v>
      </c>
      <c r="K26" s="2"/>
      <c r="L26" s="83">
        <v>14000</v>
      </c>
      <c r="M26" s="83">
        <v>14000</v>
      </c>
      <c r="N26" s="83">
        <v>14000</v>
      </c>
      <c r="O26" s="83">
        <v>14000</v>
      </c>
      <c r="P26" s="83">
        <v>14000</v>
      </c>
      <c r="Q26" s="2"/>
      <c r="R26" s="5">
        <f t="shared" si="0"/>
        <v>14000</v>
      </c>
      <c r="S26" s="5">
        <f t="shared" si="1"/>
        <v>14000</v>
      </c>
      <c r="T26" s="5">
        <f t="shared" si="2"/>
        <v>14000</v>
      </c>
      <c r="U26" s="5">
        <f t="shared" si="3"/>
        <v>14000</v>
      </c>
      <c r="V26" s="5">
        <f t="shared" si="4"/>
        <v>14000</v>
      </c>
      <c r="AA26"/>
    </row>
    <row r="27" spans="1:27" ht="12.75" customHeight="1" x14ac:dyDescent="0.25">
      <c r="A27" s="4"/>
      <c r="C27" s="81" t="s">
        <v>114</v>
      </c>
      <c r="D27" s="82" t="s">
        <v>50</v>
      </c>
      <c r="E27" s="82" t="s">
        <v>10</v>
      </c>
      <c r="F27" s="82" t="s">
        <v>65</v>
      </c>
      <c r="G27" s="80" t="s">
        <v>49</v>
      </c>
      <c r="H27" s="2"/>
      <c r="I27" s="64">
        <f>IF($E27="Labour",Assumptions!$B$14,)</f>
        <v>145.77740895836223</v>
      </c>
      <c r="J27" s="9" t="str">
        <f t="shared" si="5"/>
        <v>Hours</v>
      </c>
      <c r="K27" s="2"/>
      <c r="L27" s="83">
        <v>10.5</v>
      </c>
      <c r="M27" s="83">
        <v>10.5</v>
      </c>
      <c r="N27" s="83">
        <v>10.5</v>
      </c>
      <c r="O27" s="83">
        <v>10.5</v>
      </c>
      <c r="P27" s="83">
        <v>10.5</v>
      </c>
      <c r="Q27" s="2"/>
      <c r="R27" s="5">
        <f t="shared" si="0"/>
        <v>1530.6627940628034</v>
      </c>
      <c r="S27" s="5">
        <f t="shared" si="1"/>
        <v>1530.6627940628034</v>
      </c>
      <c r="T27" s="5">
        <f t="shared" si="2"/>
        <v>1530.6627940628034</v>
      </c>
      <c r="U27" s="5">
        <f t="shared" si="3"/>
        <v>1530.6627940628034</v>
      </c>
      <c r="V27" s="5">
        <f t="shared" si="4"/>
        <v>1530.6627940628034</v>
      </c>
      <c r="AA27"/>
    </row>
    <row r="28" spans="1:27" ht="12.75" customHeight="1" x14ac:dyDescent="0.25">
      <c r="A28" s="4"/>
      <c r="C28" s="81" t="s">
        <v>100</v>
      </c>
      <c r="D28" s="82" t="s">
        <v>39</v>
      </c>
      <c r="E28" s="82" t="s">
        <v>13</v>
      </c>
      <c r="F28" s="82" t="s">
        <v>65</v>
      </c>
      <c r="G28" s="80" t="s">
        <v>49</v>
      </c>
      <c r="H28" s="2"/>
      <c r="I28" s="64">
        <f>IF($E28="Labour",Assumptions!$B$14,)</f>
        <v>0</v>
      </c>
      <c r="J28" s="9" t="str">
        <f t="shared" si="5"/>
        <v>$</v>
      </c>
      <c r="K28" s="2"/>
      <c r="L28" s="83">
        <v>1400</v>
      </c>
      <c r="M28" s="83">
        <v>1400</v>
      </c>
      <c r="N28" s="83">
        <v>1400</v>
      </c>
      <c r="O28" s="83">
        <v>1400</v>
      </c>
      <c r="P28" s="83">
        <v>1400</v>
      </c>
      <c r="Q28" s="2"/>
      <c r="R28" s="5">
        <f t="shared" si="0"/>
        <v>1400</v>
      </c>
      <c r="S28" s="5">
        <f t="shared" si="1"/>
        <v>1400</v>
      </c>
      <c r="T28" s="5">
        <f t="shared" si="2"/>
        <v>1400</v>
      </c>
      <c r="U28" s="5">
        <f t="shared" si="3"/>
        <v>1400</v>
      </c>
      <c r="V28" s="5">
        <f t="shared" si="4"/>
        <v>1400</v>
      </c>
      <c r="AA28"/>
    </row>
    <row r="29" spans="1:27" ht="12.75" customHeight="1" x14ac:dyDescent="0.25">
      <c r="A29" s="4"/>
      <c r="C29" s="81" t="s">
        <v>101</v>
      </c>
      <c r="D29" s="82" t="s">
        <v>39</v>
      </c>
      <c r="E29" s="82" t="s">
        <v>13</v>
      </c>
      <c r="F29" s="82" t="s">
        <v>65</v>
      </c>
      <c r="G29" s="80" t="s">
        <v>49</v>
      </c>
      <c r="H29" s="2"/>
      <c r="I29" s="64">
        <f>IF($E29="Labour",Assumptions!$B$14,)</f>
        <v>0</v>
      </c>
      <c r="J29" s="9" t="str">
        <f t="shared" si="5"/>
        <v>$</v>
      </c>
      <c r="K29" s="2"/>
      <c r="L29" s="83">
        <v>280</v>
      </c>
      <c r="M29" s="83">
        <v>280</v>
      </c>
      <c r="N29" s="83">
        <v>280</v>
      </c>
      <c r="O29" s="83">
        <v>280</v>
      </c>
      <c r="P29" s="83">
        <v>280</v>
      </c>
      <c r="Q29" s="2"/>
      <c r="R29" s="5">
        <f t="shared" si="0"/>
        <v>280</v>
      </c>
      <c r="S29" s="5">
        <f t="shared" si="1"/>
        <v>280</v>
      </c>
      <c r="T29" s="5">
        <f t="shared" si="2"/>
        <v>280</v>
      </c>
      <c r="U29" s="5">
        <f t="shared" si="3"/>
        <v>280</v>
      </c>
      <c r="V29" s="5">
        <f t="shared" si="4"/>
        <v>280</v>
      </c>
      <c r="AA29"/>
    </row>
    <row r="30" spans="1:27" ht="12.75" customHeight="1" x14ac:dyDescent="0.25">
      <c r="A30" s="4"/>
      <c r="C30" s="81" t="s">
        <v>102</v>
      </c>
      <c r="D30" s="82" t="s">
        <v>39</v>
      </c>
      <c r="E30" s="82" t="s">
        <v>13</v>
      </c>
      <c r="F30" s="82" t="s">
        <v>65</v>
      </c>
      <c r="G30" s="80" t="s">
        <v>49</v>
      </c>
      <c r="H30" s="2"/>
      <c r="I30" s="64"/>
      <c r="K30" s="2"/>
      <c r="L30" s="83">
        <v>700</v>
      </c>
      <c r="M30" s="83">
        <v>700</v>
      </c>
      <c r="N30" s="83">
        <v>700</v>
      </c>
      <c r="O30" s="83">
        <v>700</v>
      </c>
      <c r="P30" s="83">
        <v>700</v>
      </c>
      <c r="Q30" s="2"/>
      <c r="R30" s="5">
        <f t="shared" ref="R30:R36" si="6">IF($E30="Labour",$I30*L30,L30)</f>
        <v>700</v>
      </c>
      <c r="S30" s="5">
        <f t="shared" ref="S30:S36" si="7">IF($E30="Labour",$I30*M30,M30)</f>
        <v>700</v>
      </c>
      <c r="T30" s="5">
        <f t="shared" ref="T30:T36" si="8">IF($E30="Labour",$I30*N30,N30)</f>
        <v>700</v>
      </c>
      <c r="U30" s="5">
        <f t="shared" ref="U30:U36" si="9">IF($E30="Labour",$I30*O30,O30)</f>
        <v>700</v>
      </c>
      <c r="V30" s="5">
        <f t="shared" ref="V30:V36" si="10">IF($E30="Labour",$I30*P30,P30)</f>
        <v>700</v>
      </c>
      <c r="AA30"/>
    </row>
    <row r="31" spans="1:27" ht="12.75" customHeight="1" x14ac:dyDescent="0.25">
      <c r="A31" s="4"/>
      <c r="C31" s="81"/>
      <c r="D31" s="82"/>
      <c r="E31" s="82"/>
      <c r="F31" s="82"/>
      <c r="G31" s="80"/>
      <c r="H31" s="2"/>
      <c r="I31" s="64"/>
      <c r="K31" s="2"/>
      <c r="L31" s="83"/>
      <c r="M31" s="83"/>
      <c r="N31" s="83"/>
      <c r="O31" s="83"/>
      <c r="P31" s="83"/>
      <c r="Q31" s="2"/>
      <c r="R31" s="5">
        <f t="shared" si="6"/>
        <v>0</v>
      </c>
      <c r="S31" s="5">
        <f t="shared" si="7"/>
        <v>0</v>
      </c>
      <c r="T31" s="5">
        <f t="shared" si="8"/>
        <v>0</v>
      </c>
      <c r="U31" s="5">
        <f t="shared" si="9"/>
        <v>0</v>
      </c>
      <c r="V31" s="5">
        <f t="shared" si="10"/>
        <v>0</v>
      </c>
      <c r="AA31"/>
    </row>
    <row r="32" spans="1:27" ht="12.75" customHeight="1" x14ac:dyDescent="0.25">
      <c r="A32" s="4"/>
      <c r="C32" s="81"/>
      <c r="D32" s="82"/>
      <c r="E32" s="82"/>
      <c r="F32" s="82"/>
      <c r="G32" s="80"/>
      <c r="H32" s="2"/>
      <c r="I32" s="64"/>
      <c r="K32" s="2"/>
      <c r="L32" s="83"/>
      <c r="M32" s="83"/>
      <c r="N32" s="83"/>
      <c r="O32" s="83"/>
      <c r="P32" s="83"/>
      <c r="Q32" s="2"/>
      <c r="R32" s="5">
        <f t="shared" si="6"/>
        <v>0</v>
      </c>
      <c r="S32" s="5">
        <f t="shared" si="7"/>
        <v>0</v>
      </c>
      <c r="T32" s="5">
        <f t="shared" si="8"/>
        <v>0</v>
      </c>
      <c r="U32" s="5">
        <f t="shared" si="9"/>
        <v>0</v>
      </c>
      <c r="V32" s="5">
        <f t="shared" si="10"/>
        <v>0</v>
      </c>
      <c r="AA32"/>
    </row>
    <row r="33" spans="1:27" ht="12.75" customHeight="1" x14ac:dyDescent="0.25">
      <c r="A33" s="4"/>
      <c r="C33" s="81"/>
      <c r="D33" s="82"/>
      <c r="E33" s="82"/>
      <c r="F33" s="82"/>
      <c r="G33" s="80"/>
      <c r="H33" s="2"/>
      <c r="I33" s="64"/>
      <c r="K33" s="2"/>
      <c r="L33" s="83"/>
      <c r="M33" s="83"/>
      <c r="N33" s="83"/>
      <c r="O33" s="83"/>
      <c r="P33" s="83"/>
      <c r="Q33" s="2"/>
      <c r="R33" s="5">
        <f t="shared" si="6"/>
        <v>0</v>
      </c>
      <c r="S33" s="5">
        <f t="shared" si="7"/>
        <v>0</v>
      </c>
      <c r="T33" s="5">
        <f t="shared" si="8"/>
        <v>0</v>
      </c>
      <c r="U33" s="5">
        <f t="shared" si="9"/>
        <v>0</v>
      </c>
      <c r="V33" s="5">
        <f t="shared" si="10"/>
        <v>0</v>
      </c>
      <c r="AA33"/>
    </row>
    <row r="34" spans="1:27" ht="12.75" customHeight="1" x14ac:dyDescent="0.25">
      <c r="A34" s="4"/>
      <c r="C34" s="81"/>
      <c r="D34" s="82"/>
      <c r="E34" s="82"/>
      <c r="F34" s="82"/>
      <c r="G34" s="80"/>
      <c r="H34" s="2"/>
      <c r="I34" s="64"/>
      <c r="K34" s="2"/>
      <c r="L34" s="83"/>
      <c r="M34" s="83"/>
      <c r="N34" s="83"/>
      <c r="O34" s="83"/>
      <c r="P34" s="83"/>
      <c r="Q34" s="2"/>
      <c r="R34" s="5">
        <f t="shared" si="6"/>
        <v>0</v>
      </c>
      <c r="S34" s="5">
        <f t="shared" si="7"/>
        <v>0</v>
      </c>
      <c r="T34" s="5">
        <f t="shared" si="8"/>
        <v>0</v>
      </c>
      <c r="U34" s="5">
        <f t="shared" si="9"/>
        <v>0</v>
      </c>
      <c r="V34" s="5">
        <f t="shared" si="10"/>
        <v>0</v>
      </c>
      <c r="AA34"/>
    </row>
    <row r="35" spans="1:27" ht="12.75" customHeight="1" x14ac:dyDescent="0.25">
      <c r="A35" s="4"/>
      <c r="C35" s="81"/>
      <c r="D35" s="82"/>
      <c r="E35" s="82"/>
      <c r="F35" s="82"/>
      <c r="G35" s="80"/>
      <c r="H35" s="2"/>
      <c r="I35" s="64"/>
      <c r="K35" s="2"/>
      <c r="L35" s="83"/>
      <c r="M35" s="83"/>
      <c r="N35" s="83"/>
      <c r="O35" s="83"/>
      <c r="P35" s="83"/>
      <c r="Q35" s="2"/>
      <c r="R35" s="5">
        <f t="shared" si="6"/>
        <v>0</v>
      </c>
      <c r="S35" s="5">
        <f t="shared" si="7"/>
        <v>0</v>
      </c>
      <c r="T35" s="5">
        <f t="shared" si="8"/>
        <v>0</v>
      </c>
      <c r="U35" s="5">
        <f t="shared" si="9"/>
        <v>0</v>
      </c>
      <c r="V35" s="5">
        <f t="shared" si="10"/>
        <v>0</v>
      </c>
      <c r="AA35"/>
    </row>
    <row r="36" spans="1:27" ht="12.75" customHeight="1" x14ac:dyDescent="0.25">
      <c r="A36" s="4"/>
      <c r="C36" s="81"/>
      <c r="D36" s="82"/>
      <c r="E36" s="82"/>
      <c r="F36" s="82"/>
      <c r="G36" s="80"/>
      <c r="H36" s="2"/>
      <c r="I36" s="64"/>
      <c r="K36" s="2"/>
      <c r="L36" s="83"/>
      <c r="M36" s="83"/>
      <c r="N36" s="83"/>
      <c r="O36" s="83"/>
      <c r="P36" s="83"/>
      <c r="Q36" s="2"/>
      <c r="R36" s="5">
        <f t="shared" si="6"/>
        <v>0</v>
      </c>
      <c r="S36" s="5">
        <f t="shared" si="7"/>
        <v>0</v>
      </c>
      <c r="T36" s="5">
        <f t="shared" si="8"/>
        <v>0</v>
      </c>
      <c r="U36" s="5">
        <f t="shared" si="9"/>
        <v>0</v>
      </c>
      <c r="V36" s="5">
        <f t="shared" si="10"/>
        <v>0</v>
      </c>
      <c r="AA36"/>
    </row>
    <row r="37" spans="1:27" ht="12.75" customHeight="1" x14ac:dyDescent="0.25">
      <c r="A37" s="4"/>
      <c r="C37" s="81"/>
      <c r="D37" s="82"/>
      <c r="E37" s="82"/>
      <c r="F37" s="82"/>
      <c r="G37" s="80"/>
      <c r="H37" s="2"/>
      <c r="I37" s="64">
        <f>IF($E37="Labour",Assumptions!$B$14,)</f>
        <v>0</v>
      </c>
      <c r="J37" s="9" t="str">
        <f t="shared" si="5"/>
        <v>$</v>
      </c>
      <c r="K37" s="2"/>
      <c r="L37" s="83"/>
      <c r="M37" s="83"/>
      <c r="N37" s="83"/>
      <c r="O37" s="83"/>
      <c r="P37" s="83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25">
      <c r="A38" s="4"/>
      <c r="C38" s="81" t="s">
        <v>78</v>
      </c>
      <c r="D38" s="82" t="s">
        <v>50</v>
      </c>
      <c r="E38" s="82" t="s">
        <v>10</v>
      </c>
      <c r="F38" s="82" t="s">
        <v>77</v>
      </c>
      <c r="G38" s="80" t="s">
        <v>49</v>
      </c>
      <c r="H38" s="2"/>
      <c r="I38" s="145"/>
      <c r="J38" s="9" t="s">
        <v>79</v>
      </c>
      <c r="K38" s="2"/>
      <c r="L38" s="144">
        <v>31090.687690885039</v>
      </c>
      <c r="M38" s="144">
        <v>33361.163599320309</v>
      </c>
      <c r="N38" s="144">
        <v>35795.174623438528</v>
      </c>
      <c r="O38" s="144">
        <v>38407.933332140427</v>
      </c>
      <c r="P38" s="144">
        <v>45835.470097926176</v>
      </c>
      <c r="Q38" s="2"/>
      <c r="R38" s="5">
        <f>L38</f>
        <v>31090.687690885039</v>
      </c>
      <c r="S38" s="5">
        <f t="shared" ref="S38:V38" si="11">M38</f>
        <v>33361.163599320309</v>
      </c>
      <c r="T38" s="5">
        <f t="shared" si="11"/>
        <v>35795.174623438528</v>
      </c>
      <c r="U38" s="5">
        <f t="shared" si="11"/>
        <v>38407.933332140427</v>
      </c>
      <c r="V38" s="5">
        <f t="shared" si="11"/>
        <v>45835.470097926176</v>
      </c>
      <c r="AA38"/>
    </row>
    <row r="39" spans="1:27" ht="12.75" customHeight="1" x14ac:dyDescent="0.25">
      <c r="A39" s="4"/>
      <c r="C39" s="81" t="s">
        <v>78</v>
      </c>
      <c r="D39" s="82" t="s">
        <v>50</v>
      </c>
      <c r="E39" s="82" t="s">
        <v>12</v>
      </c>
      <c r="F39" s="82" t="s">
        <v>77</v>
      </c>
      <c r="G39" s="80" t="s">
        <v>49</v>
      </c>
      <c r="H39" s="2"/>
      <c r="I39" s="145"/>
      <c r="J39" s="9" t="s">
        <v>79</v>
      </c>
      <c r="K39" s="2"/>
      <c r="L39" s="144">
        <v>124362.75076354016</v>
      </c>
      <c r="M39" s="144">
        <v>133444.65439728124</v>
      </c>
      <c r="N39" s="144">
        <v>143180.69849375411</v>
      </c>
      <c r="O39" s="144">
        <v>153631.73332856171</v>
      </c>
      <c r="P39" s="144">
        <v>183341.8803917047</v>
      </c>
      <c r="Q39" s="2"/>
      <c r="R39" s="5">
        <f t="shared" ref="R39:R52" si="12">L39</f>
        <v>124362.75076354016</v>
      </c>
      <c r="S39" s="5">
        <f t="shared" ref="S39:S52" si="13">M39</f>
        <v>133444.65439728124</v>
      </c>
      <c r="T39" s="5">
        <f t="shared" ref="T39:T52" si="14">N39</f>
        <v>143180.69849375411</v>
      </c>
      <c r="U39" s="5">
        <f t="shared" ref="U39:U52" si="15">O39</f>
        <v>153631.73332856171</v>
      </c>
      <c r="V39" s="5">
        <f t="shared" ref="V39:V52" si="16">P39</f>
        <v>183341.8803917047</v>
      </c>
      <c r="AA39"/>
    </row>
    <row r="40" spans="1:27" ht="12.75" customHeight="1" x14ac:dyDescent="0.25">
      <c r="A40" s="4"/>
      <c r="C40" s="81"/>
      <c r="D40" s="82"/>
      <c r="E40" s="82"/>
      <c r="F40" s="82"/>
      <c r="G40" s="80"/>
      <c r="H40" s="2"/>
      <c r="I40" s="145"/>
      <c r="J40" s="9" t="s">
        <v>79</v>
      </c>
      <c r="K40" s="2"/>
      <c r="L40" s="83"/>
      <c r="M40" s="83"/>
      <c r="N40" s="83"/>
      <c r="O40" s="83"/>
      <c r="P40" s="83"/>
      <c r="Q40" s="2"/>
      <c r="R40" s="5">
        <f t="shared" si="12"/>
        <v>0</v>
      </c>
      <c r="S40" s="5">
        <f t="shared" si="13"/>
        <v>0</v>
      </c>
      <c r="T40" s="5">
        <f t="shared" si="14"/>
        <v>0</v>
      </c>
      <c r="U40" s="5">
        <f t="shared" si="15"/>
        <v>0</v>
      </c>
      <c r="V40" s="5">
        <f t="shared" si="16"/>
        <v>0</v>
      </c>
      <c r="AA40"/>
    </row>
    <row r="41" spans="1:27" ht="12.75" customHeight="1" x14ac:dyDescent="0.25">
      <c r="A41" s="4"/>
      <c r="C41" s="81"/>
      <c r="D41" s="82"/>
      <c r="E41" s="82"/>
      <c r="F41" s="82"/>
      <c r="G41" s="80"/>
      <c r="H41" s="2"/>
      <c r="I41" s="145"/>
      <c r="J41" s="9" t="s">
        <v>79</v>
      </c>
      <c r="K41" s="2"/>
      <c r="L41" s="83"/>
      <c r="M41" s="83"/>
      <c r="N41" s="83"/>
      <c r="O41" s="83"/>
      <c r="P41" s="83"/>
      <c r="Q41" s="2"/>
      <c r="R41" s="5">
        <f t="shared" si="12"/>
        <v>0</v>
      </c>
      <c r="S41" s="5">
        <f t="shared" si="13"/>
        <v>0</v>
      </c>
      <c r="T41" s="5">
        <f t="shared" si="14"/>
        <v>0</v>
      </c>
      <c r="U41" s="5">
        <f t="shared" si="15"/>
        <v>0</v>
      </c>
      <c r="V41" s="5">
        <f t="shared" si="16"/>
        <v>0</v>
      </c>
      <c r="AA41"/>
    </row>
    <row r="42" spans="1:27" ht="12.75" customHeight="1" x14ac:dyDescent="0.25">
      <c r="A42" s="4"/>
      <c r="C42" s="81" t="s">
        <v>81</v>
      </c>
      <c r="D42" s="82" t="s">
        <v>50</v>
      </c>
      <c r="E42" s="82" t="s">
        <v>12</v>
      </c>
      <c r="F42" s="82" t="s">
        <v>80</v>
      </c>
      <c r="G42" s="80" t="s">
        <v>49</v>
      </c>
      <c r="H42" s="2"/>
      <c r="I42" s="145"/>
      <c r="J42" s="9" t="s">
        <v>79</v>
      </c>
      <c r="K42" s="2"/>
      <c r="L42" s="83">
        <v>364136.81935959368</v>
      </c>
      <c r="M42" s="83">
        <v>235844.26873151</v>
      </c>
      <c r="N42" s="83">
        <v>153112.52518269428</v>
      </c>
      <c r="O42" s="83">
        <v>288294.03701606992</v>
      </c>
      <c r="P42" s="83">
        <v>0</v>
      </c>
      <c r="Q42" s="2"/>
      <c r="R42" s="5">
        <f t="shared" si="12"/>
        <v>364136.81935959368</v>
      </c>
      <c r="S42" s="5">
        <f t="shared" si="13"/>
        <v>235844.26873151</v>
      </c>
      <c r="T42" s="5">
        <f t="shared" si="14"/>
        <v>153112.52518269428</v>
      </c>
      <c r="U42" s="5">
        <f t="shared" si="15"/>
        <v>288294.03701606992</v>
      </c>
      <c r="V42" s="5">
        <f t="shared" si="16"/>
        <v>0</v>
      </c>
      <c r="AA42"/>
    </row>
    <row r="43" spans="1:27" ht="12.75" customHeight="1" x14ac:dyDescent="0.25">
      <c r="A43" s="4"/>
      <c r="C43" s="81" t="s">
        <v>81</v>
      </c>
      <c r="D43" s="82" t="s">
        <v>50</v>
      </c>
      <c r="E43" s="82" t="s">
        <v>13</v>
      </c>
      <c r="F43" s="82" t="s">
        <v>80</v>
      </c>
      <c r="G43" s="80" t="s">
        <v>49</v>
      </c>
      <c r="H43" s="2"/>
      <c r="I43" s="145"/>
      <c r="J43" s="9" t="s">
        <v>79</v>
      </c>
      <c r="K43" s="2"/>
      <c r="L43" s="83">
        <v>156058.6368683973</v>
      </c>
      <c r="M43" s="83">
        <v>101076.11517064716</v>
      </c>
      <c r="N43" s="83">
        <v>65619.653649726126</v>
      </c>
      <c r="O43" s="83">
        <v>123554.5872926014</v>
      </c>
      <c r="P43" s="83">
        <v>0</v>
      </c>
      <c r="Q43" s="2"/>
      <c r="R43" s="5">
        <f t="shared" si="12"/>
        <v>156058.6368683973</v>
      </c>
      <c r="S43" s="5">
        <f t="shared" si="13"/>
        <v>101076.11517064716</v>
      </c>
      <c r="T43" s="5">
        <f t="shared" si="14"/>
        <v>65619.653649726126</v>
      </c>
      <c r="U43" s="5">
        <f t="shared" si="15"/>
        <v>123554.5872926014</v>
      </c>
      <c r="V43" s="5">
        <f t="shared" si="16"/>
        <v>0</v>
      </c>
      <c r="AA43"/>
    </row>
    <row r="44" spans="1:27" ht="12.75" customHeight="1" x14ac:dyDescent="0.25">
      <c r="A44" s="4"/>
      <c r="C44" s="81"/>
      <c r="D44" s="82"/>
      <c r="E44" s="82"/>
      <c r="F44" s="82"/>
      <c r="G44" s="80"/>
      <c r="H44" s="2"/>
      <c r="I44" s="145"/>
      <c r="J44" s="9" t="s">
        <v>79</v>
      </c>
      <c r="K44" s="2"/>
      <c r="L44" s="83"/>
      <c r="M44" s="83"/>
      <c r="N44" s="83"/>
      <c r="O44" s="83"/>
      <c r="P44" s="83"/>
      <c r="Q44" s="2"/>
      <c r="R44" s="5">
        <f t="shared" si="12"/>
        <v>0</v>
      </c>
      <c r="S44" s="5">
        <f t="shared" si="13"/>
        <v>0</v>
      </c>
      <c r="T44" s="5">
        <f t="shared" si="14"/>
        <v>0</v>
      </c>
      <c r="U44" s="5">
        <f t="shared" si="15"/>
        <v>0</v>
      </c>
      <c r="V44" s="5">
        <f t="shared" si="16"/>
        <v>0</v>
      </c>
      <c r="AA44"/>
    </row>
    <row r="45" spans="1:27" ht="12.75" customHeight="1" x14ac:dyDescent="0.25">
      <c r="A45" s="4"/>
      <c r="C45" s="81"/>
      <c r="D45" s="82"/>
      <c r="E45" s="82"/>
      <c r="F45" s="82"/>
      <c r="G45" s="80"/>
      <c r="H45" s="2"/>
      <c r="I45" s="145"/>
      <c r="J45" s="9" t="s">
        <v>79</v>
      </c>
      <c r="K45" s="2"/>
      <c r="L45" s="83"/>
      <c r="M45" s="83"/>
      <c r="N45" s="83"/>
      <c r="O45" s="83"/>
      <c r="P45" s="83"/>
      <c r="Q45" s="2"/>
      <c r="R45" s="5">
        <f t="shared" si="12"/>
        <v>0</v>
      </c>
      <c r="S45" s="5">
        <f t="shared" si="13"/>
        <v>0</v>
      </c>
      <c r="T45" s="5">
        <f t="shared" si="14"/>
        <v>0</v>
      </c>
      <c r="U45" s="5">
        <f t="shared" si="15"/>
        <v>0</v>
      </c>
      <c r="V45" s="5">
        <f t="shared" si="16"/>
        <v>0</v>
      </c>
      <c r="AA45"/>
    </row>
    <row r="46" spans="1:27" ht="12.75" customHeight="1" x14ac:dyDescent="0.25">
      <c r="A46" s="4"/>
      <c r="C46" s="81"/>
      <c r="D46" s="82"/>
      <c r="E46" s="82"/>
      <c r="F46" s="82"/>
      <c r="G46" s="80"/>
      <c r="H46" s="2"/>
      <c r="I46" s="145"/>
      <c r="J46" s="9" t="s">
        <v>79</v>
      </c>
      <c r="K46" s="2"/>
      <c r="L46" s="83"/>
      <c r="M46" s="83"/>
      <c r="N46" s="83"/>
      <c r="O46" s="83"/>
      <c r="P46" s="83"/>
      <c r="Q46" s="2"/>
      <c r="R46" s="5">
        <f t="shared" si="12"/>
        <v>0</v>
      </c>
      <c r="S46" s="5">
        <f t="shared" si="13"/>
        <v>0</v>
      </c>
      <c r="T46" s="5">
        <f t="shared" si="14"/>
        <v>0</v>
      </c>
      <c r="U46" s="5">
        <f t="shared" si="15"/>
        <v>0</v>
      </c>
      <c r="V46" s="5">
        <f t="shared" si="16"/>
        <v>0</v>
      </c>
      <c r="AA46"/>
    </row>
    <row r="47" spans="1:27" ht="12.75" customHeight="1" x14ac:dyDescent="0.25">
      <c r="A47" s="4"/>
      <c r="C47" s="81"/>
      <c r="D47" s="82"/>
      <c r="E47" s="82"/>
      <c r="F47" s="82"/>
      <c r="G47" s="80"/>
      <c r="H47" s="2"/>
      <c r="I47" s="145"/>
      <c r="J47" s="9" t="s">
        <v>79</v>
      </c>
      <c r="K47" s="2"/>
      <c r="L47" s="83"/>
      <c r="M47" s="83"/>
      <c r="N47" s="83"/>
      <c r="O47" s="83"/>
      <c r="P47" s="83"/>
      <c r="Q47" s="2"/>
      <c r="R47" s="5">
        <f t="shared" si="12"/>
        <v>0</v>
      </c>
      <c r="S47" s="5">
        <f t="shared" si="13"/>
        <v>0</v>
      </c>
      <c r="T47" s="5">
        <f t="shared" si="14"/>
        <v>0</v>
      </c>
      <c r="U47" s="5">
        <f t="shared" si="15"/>
        <v>0</v>
      </c>
      <c r="V47" s="5">
        <f t="shared" si="16"/>
        <v>0</v>
      </c>
      <c r="AA47"/>
    </row>
    <row r="48" spans="1:27" ht="12.75" customHeight="1" x14ac:dyDescent="0.25">
      <c r="A48" s="4"/>
      <c r="C48" s="81"/>
      <c r="D48" s="82"/>
      <c r="E48" s="82"/>
      <c r="F48" s="82"/>
      <c r="G48" s="80"/>
      <c r="H48" s="2"/>
      <c r="I48" s="145"/>
      <c r="J48" s="9" t="s">
        <v>79</v>
      </c>
      <c r="K48" s="2"/>
      <c r="L48" s="83"/>
      <c r="M48" s="83"/>
      <c r="N48" s="83"/>
      <c r="O48" s="83"/>
      <c r="P48" s="83"/>
      <c r="Q48" s="2"/>
      <c r="R48" s="5">
        <f t="shared" si="12"/>
        <v>0</v>
      </c>
      <c r="S48" s="5">
        <f t="shared" si="13"/>
        <v>0</v>
      </c>
      <c r="T48" s="5">
        <f t="shared" si="14"/>
        <v>0</v>
      </c>
      <c r="U48" s="5">
        <f t="shared" si="15"/>
        <v>0</v>
      </c>
      <c r="V48" s="5">
        <f t="shared" si="16"/>
        <v>0</v>
      </c>
      <c r="AA48"/>
    </row>
    <row r="49" spans="1:27" ht="12.75" customHeight="1" x14ac:dyDescent="0.25">
      <c r="A49" s="4"/>
      <c r="C49" s="81"/>
      <c r="D49" s="82"/>
      <c r="E49" s="82"/>
      <c r="F49" s="82"/>
      <c r="G49" s="80"/>
      <c r="H49" s="2"/>
      <c r="I49" s="145"/>
      <c r="J49" s="9" t="s">
        <v>79</v>
      </c>
      <c r="K49" s="2"/>
      <c r="L49" s="83"/>
      <c r="M49" s="83"/>
      <c r="N49" s="83"/>
      <c r="O49" s="83"/>
      <c r="P49" s="83"/>
      <c r="Q49" s="2"/>
      <c r="R49" s="5">
        <f t="shared" si="12"/>
        <v>0</v>
      </c>
      <c r="S49" s="5">
        <f t="shared" si="13"/>
        <v>0</v>
      </c>
      <c r="T49" s="5">
        <f t="shared" si="14"/>
        <v>0</v>
      </c>
      <c r="U49" s="5">
        <f t="shared" si="15"/>
        <v>0</v>
      </c>
      <c r="V49" s="5">
        <f t="shared" si="16"/>
        <v>0</v>
      </c>
      <c r="AA49"/>
    </row>
    <row r="50" spans="1:27" ht="12.75" customHeight="1" x14ac:dyDescent="0.25">
      <c r="A50" s="4"/>
      <c r="C50" s="81"/>
      <c r="D50" s="82"/>
      <c r="E50" s="82"/>
      <c r="F50" s="82"/>
      <c r="G50" s="80"/>
      <c r="H50" s="2"/>
      <c r="I50" s="145"/>
      <c r="J50" s="9" t="s">
        <v>79</v>
      </c>
      <c r="K50" s="2"/>
      <c r="L50" s="83"/>
      <c r="M50" s="83"/>
      <c r="N50" s="83"/>
      <c r="O50" s="83"/>
      <c r="P50" s="83"/>
      <c r="Q50" s="2"/>
      <c r="R50" s="5">
        <f t="shared" si="12"/>
        <v>0</v>
      </c>
      <c r="S50" s="5">
        <f t="shared" si="13"/>
        <v>0</v>
      </c>
      <c r="T50" s="5">
        <f t="shared" si="14"/>
        <v>0</v>
      </c>
      <c r="U50" s="5">
        <f t="shared" si="15"/>
        <v>0</v>
      </c>
      <c r="V50" s="5">
        <f t="shared" si="16"/>
        <v>0</v>
      </c>
      <c r="AA50"/>
    </row>
    <row r="51" spans="1:27" ht="12.75" customHeight="1" x14ac:dyDescent="0.25">
      <c r="A51" s="4"/>
      <c r="C51" s="81"/>
      <c r="D51" s="82"/>
      <c r="E51" s="82"/>
      <c r="F51" s="82"/>
      <c r="G51" s="80"/>
      <c r="H51" s="2"/>
      <c r="I51" s="145"/>
      <c r="J51" s="9" t="s">
        <v>79</v>
      </c>
      <c r="K51" s="2"/>
      <c r="L51" s="83"/>
      <c r="M51" s="83"/>
      <c r="N51" s="83"/>
      <c r="O51" s="83"/>
      <c r="P51" s="83"/>
      <c r="Q51" s="2"/>
      <c r="R51" s="5">
        <f t="shared" si="12"/>
        <v>0</v>
      </c>
      <c r="S51" s="5">
        <f t="shared" si="13"/>
        <v>0</v>
      </c>
      <c r="T51" s="5">
        <f t="shared" si="14"/>
        <v>0</v>
      </c>
      <c r="U51" s="5">
        <f t="shared" si="15"/>
        <v>0</v>
      </c>
      <c r="V51" s="5">
        <f t="shared" si="16"/>
        <v>0</v>
      </c>
      <c r="AA51"/>
    </row>
    <row r="52" spans="1:27" ht="12.75" customHeight="1" x14ac:dyDescent="0.2">
      <c r="A52" s="4"/>
      <c r="C52" s="81"/>
      <c r="D52" s="82"/>
      <c r="E52" s="82"/>
      <c r="F52" s="82"/>
      <c r="G52" s="80"/>
      <c r="I52" s="145"/>
      <c r="J52" s="9" t="s">
        <v>79</v>
      </c>
      <c r="L52" s="83"/>
      <c r="M52" s="83"/>
      <c r="N52" s="83"/>
      <c r="O52" s="83"/>
      <c r="P52" s="83"/>
      <c r="R52" s="5">
        <f t="shared" si="12"/>
        <v>0</v>
      </c>
      <c r="S52" s="5">
        <f t="shared" si="13"/>
        <v>0</v>
      </c>
      <c r="T52" s="5">
        <f t="shared" si="14"/>
        <v>0</v>
      </c>
      <c r="U52" s="5">
        <f t="shared" si="15"/>
        <v>0</v>
      </c>
      <c r="V52" s="5">
        <f t="shared" si="16"/>
        <v>0</v>
      </c>
    </row>
    <row r="53" spans="1:27" ht="12.75" customHeight="1" x14ac:dyDescent="0.25">
      <c r="H53" s="2"/>
      <c r="K53" s="2"/>
      <c r="Q53" s="2"/>
      <c r="AA53"/>
    </row>
    <row r="54" spans="1:27" ht="12.75" customHeight="1" x14ac:dyDescent="0.25">
      <c r="H54" s="2"/>
      <c r="K54" s="2"/>
      <c r="Q54" s="2"/>
      <c r="AA54"/>
    </row>
    <row r="55" spans="1:27" ht="12.75" customHeight="1" x14ac:dyDescent="0.25">
      <c r="C55" s="3" t="s">
        <v>51</v>
      </c>
      <c r="H55" s="2"/>
      <c r="K55" s="2"/>
      <c r="Q55" s="2"/>
      <c r="R55" s="69" t="s">
        <v>5</v>
      </c>
      <c r="S55" s="69" t="s">
        <v>6</v>
      </c>
      <c r="T55" s="69" t="s">
        <v>7</v>
      </c>
      <c r="U55" s="69" t="s">
        <v>8</v>
      </c>
      <c r="V55" s="69" t="s">
        <v>9</v>
      </c>
      <c r="W55" s="69" t="s">
        <v>0</v>
      </c>
      <c r="AA55"/>
    </row>
    <row r="56" spans="1:27" ht="12.75" customHeight="1" x14ac:dyDescent="0.2">
      <c r="C56" s="24" t="s">
        <v>10</v>
      </c>
      <c r="D56" s="24" t="s">
        <v>50</v>
      </c>
      <c r="E56" s="24"/>
      <c r="F56" s="24"/>
      <c r="G56" s="24" t="s">
        <v>49</v>
      </c>
      <c r="H56" s="2"/>
      <c r="I56" s="66"/>
      <c r="J56" s="67"/>
      <c r="K56" s="2"/>
      <c r="L56" s="24"/>
      <c r="M56" s="24"/>
      <c r="N56" s="24"/>
      <c r="O56" s="24"/>
      <c r="P56" s="24"/>
      <c r="Q56" s="2"/>
      <c r="R56" s="25">
        <f t="shared" ref="R56:V58" si="17">SUMIFS(R$10:R$52,$E$10:$E$52,$C56,$D$10:$D$52,$D56,$G$10:$G$52,$G56)</f>
        <v>141176.6412196387</v>
      </c>
      <c r="S56" s="25">
        <f t="shared" si="17"/>
        <v>143447.11712807397</v>
      </c>
      <c r="T56" s="25">
        <f t="shared" si="17"/>
        <v>145881.12815219219</v>
      </c>
      <c r="U56" s="25">
        <f t="shared" si="17"/>
        <v>148493.8868608941</v>
      </c>
      <c r="V56" s="25">
        <f t="shared" si="17"/>
        <v>155921.42362667984</v>
      </c>
      <c r="W56" s="71">
        <f>SUM(R56:V56)</f>
        <v>734920.19698747888</v>
      </c>
    </row>
    <row r="57" spans="1:27" ht="12.75" customHeight="1" x14ac:dyDescent="0.2">
      <c r="C57" s="1" t="s">
        <v>12</v>
      </c>
      <c r="D57" s="1" t="s">
        <v>50</v>
      </c>
      <c r="G57" s="1" t="s">
        <v>49</v>
      </c>
      <c r="H57" s="2"/>
      <c r="I57" s="68"/>
      <c r="K57" s="2"/>
      <c r="Q57" s="2"/>
      <c r="R57" s="6">
        <f t="shared" si="17"/>
        <v>725749.57012313383</v>
      </c>
      <c r="S57" s="6">
        <f t="shared" si="17"/>
        <v>606538.92312879127</v>
      </c>
      <c r="T57" s="6">
        <f t="shared" si="17"/>
        <v>533543.22367644846</v>
      </c>
      <c r="U57" s="6">
        <f t="shared" si="17"/>
        <v>679175.77034463163</v>
      </c>
      <c r="V57" s="6">
        <f t="shared" si="17"/>
        <v>420591.88039170473</v>
      </c>
      <c r="W57" s="72">
        <f t="shared" ref="W57:W65" si="18">SUM(R57:V57)</f>
        <v>2965599.3676647102</v>
      </c>
    </row>
    <row r="58" spans="1:27" ht="12.75" customHeight="1" x14ac:dyDescent="0.2">
      <c r="C58" s="1" t="s">
        <v>13</v>
      </c>
      <c r="D58" s="1" t="s">
        <v>50</v>
      </c>
      <c r="G58" s="1" t="s">
        <v>49</v>
      </c>
      <c r="H58" s="2"/>
      <c r="I58" s="68"/>
      <c r="K58" s="2"/>
      <c r="Q58" s="2"/>
      <c r="R58" s="6">
        <f t="shared" si="17"/>
        <v>156058.6368683973</v>
      </c>
      <c r="S58" s="6">
        <f t="shared" si="17"/>
        <v>101076.11517064716</v>
      </c>
      <c r="T58" s="6">
        <f t="shared" si="17"/>
        <v>65619.653649726126</v>
      </c>
      <c r="U58" s="6">
        <f t="shared" si="17"/>
        <v>123554.5872926014</v>
      </c>
      <c r="V58" s="6">
        <f t="shared" si="17"/>
        <v>0</v>
      </c>
      <c r="W58" s="72">
        <f t="shared" si="18"/>
        <v>446308.99298137199</v>
      </c>
    </row>
    <row r="59" spans="1:27" ht="12.75" customHeight="1" x14ac:dyDescent="0.2">
      <c r="C59" s="21" t="s">
        <v>14</v>
      </c>
      <c r="D59" s="21" t="s">
        <v>50</v>
      </c>
      <c r="E59" s="102"/>
      <c r="F59" s="102"/>
      <c r="G59" s="103"/>
      <c r="H59" s="2"/>
      <c r="I59" s="103"/>
      <c r="J59" s="105"/>
      <c r="K59" s="104"/>
      <c r="L59" s="102"/>
      <c r="M59" s="102"/>
      <c r="N59" s="102"/>
      <c r="O59" s="102"/>
      <c r="P59" s="102"/>
      <c r="Q59" s="2"/>
      <c r="R59" s="22">
        <f t="shared" ref="R59:W59" si="19">SUM(R56:R58)</f>
        <v>1022984.8482111697</v>
      </c>
      <c r="S59" s="22">
        <f t="shared" si="19"/>
        <v>851062.15542751236</v>
      </c>
      <c r="T59" s="22">
        <f t="shared" si="19"/>
        <v>745044.00547836674</v>
      </c>
      <c r="U59" s="22">
        <f t="shared" si="19"/>
        <v>951224.24449812714</v>
      </c>
      <c r="V59" s="22">
        <f t="shared" si="19"/>
        <v>576513.30401838454</v>
      </c>
      <c r="W59" s="22">
        <f t="shared" si="19"/>
        <v>4146828.5576335611</v>
      </c>
    </row>
    <row r="60" spans="1:27" ht="12.75" customHeight="1" x14ac:dyDescent="0.2">
      <c r="C60" s="1" t="s">
        <v>10</v>
      </c>
      <c r="D60" s="1" t="s">
        <v>39</v>
      </c>
      <c r="G60" s="1" t="s">
        <v>49</v>
      </c>
      <c r="H60" s="2"/>
      <c r="I60" s="68"/>
      <c r="K60" s="2"/>
      <c r="Q60" s="2"/>
      <c r="R60" s="6">
        <f t="shared" ref="R60:V62" si="20">SUMIFS(R$10:R$52,$E$10:$E$52,$C60,$D$10:$D$52,$D60,$G$10:$G$52,$G60)</f>
        <v>137999.53399999999</v>
      </c>
      <c r="S60" s="6">
        <f t="shared" si="20"/>
        <v>137999.53399999999</v>
      </c>
      <c r="T60" s="6">
        <f t="shared" si="20"/>
        <v>137999.53399999999</v>
      </c>
      <c r="U60" s="6">
        <f t="shared" si="20"/>
        <v>137999.53399999999</v>
      </c>
      <c r="V60" s="6">
        <f t="shared" si="20"/>
        <v>137999.53399999999</v>
      </c>
      <c r="W60" s="72">
        <f t="shared" si="18"/>
        <v>689997.66999999993</v>
      </c>
    </row>
    <row r="61" spans="1:27" ht="12.75" customHeight="1" x14ac:dyDescent="0.2">
      <c r="C61" s="1" t="s">
        <v>12</v>
      </c>
      <c r="D61" s="1" t="s">
        <v>39</v>
      </c>
      <c r="G61" s="1" t="s">
        <v>49</v>
      </c>
      <c r="H61" s="2"/>
      <c r="I61" s="68"/>
      <c r="K61" s="2"/>
      <c r="Q61" s="2"/>
      <c r="R61" s="6">
        <f t="shared" si="20"/>
        <v>0</v>
      </c>
      <c r="S61" s="6">
        <f t="shared" si="20"/>
        <v>0</v>
      </c>
      <c r="T61" s="6">
        <f t="shared" si="20"/>
        <v>0</v>
      </c>
      <c r="U61" s="6">
        <f t="shared" si="20"/>
        <v>0</v>
      </c>
      <c r="V61" s="6">
        <f t="shared" si="20"/>
        <v>0</v>
      </c>
      <c r="W61" s="72">
        <f t="shared" si="18"/>
        <v>0</v>
      </c>
    </row>
    <row r="62" spans="1:27" ht="12.75" customHeight="1" x14ac:dyDescent="0.2">
      <c r="C62" s="1" t="s">
        <v>13</v>
      </c>
      <c r="D62" s="1" t="s">
        <v>39</v>
      </c>
      <c r="G62" s="1" t="s">
        <v>49</v>
      </c>
      <c r="H62" s="2"/>
      <c r="I62" s="68"/>
      <c r="K62" s="2"/>
      <c r="Q62" s="2"/>
      <c r="R62" s="6">
        <f t="shared" si="20"/>
        <v>31269.5</v>
      </c>
      <c r="S62" s="6">
        <f t="shared" si="20"/>
        <v>31269.5</v>
      </c>
      <c r="T62" s="6">
        <f t="shared" si="20"/>
        <v>31269.5</v>
      </c>
      <c r="U62" s="6">
        <f t="shared" si="20"/>
        <v>31269.5</v>
      </c>
      <c r="V62" s="6">
        <f t="shared" si="20"/>
        <v>31269.5</v>
      </c>
      <c r="W62" s="72">
        <f t="shared" si="18"/>
        <v>156347.5</v>
      </c>
    </row>
    <row r="63" spans="1:27" ht="12.75" customHeight="1" x14ac:dyDescent="0.2">
      <c r="C63" s="21" t="s">
        <v>16</v>
      </c>
      <c r="D63" s="21" t="s">
        <v>39</v>
      </c>
      <c r="E63" s="102"/>
      <c r="F63" s="102"/>
      <c r="G63" s="103"/>
      <c r="H63" s="2"/>
      <c r="I63" s="103"/>
      <c r="J63" s="105"/>
      <c r="K63" s="104"/>
      <c r="L63" s="102"/>
      <c r="M63" s="102"/>
      <c r="N63" s="102"/>
      <c r="O63" s="102"/>
      <c r="P63" s="102"/>
      <c r="Q63" s="2"/>
      <c r="R63" s="22">
        <f t="shared" ref="R63:W63" si="21">SUM(R60:R62)</f>
        <v>169269.03399999999</v>
      </c>
      <c r="S63" s="22">
        <f t="shared" si="21"/>
        <v>169269.03399999999</v>
      </c>
      <c r="T63" s="22">
        <f t="shared" si="21"/>
        <v>169269.03399999999</v>
      </c>
      <c r="U63" s="22">
        <f t="shared" si="21"/>
        <v>169269.03399999999</v>
      </c>
      <c r="V63" s="22">
        <f t="shared" si="21"/>
        <v>169269.03399999999</v>
      </c>
      <c r="W63" s="22">
        <f t="shared" si="21"/>
        <v>846345.16999999993</v>
      </c>
    </row>
    <row r="64" spans="1:27" ht="12.75" customHeight="1" x14ac:dyDescent="0.2">
      <c r="G64" s="68"/>
      <c r="H64" s="2"/>
      <c r="I64" s="68"/>
      <c r="K64" s="2"/>
      <c r="Q64" s="2"/>
      <c r="R64" s="6"/>
      <c r="S64" s="6"/>
      <c r="T64" s="6"/>
      <c r="U64" s="6"/>
      <c r="V64" s="6"/>
      <c r="W64" s="72"/>
    </row>
    <row r="65" spans="3:24" ht="12.75" customHeight="1" x14ac:dyDescent="0.2">
      <c r="C65" s="7" t="str">
        <f>"Total Expenditure ($ "&amp;Assumptions!$B$12&amp;")"</f>
        <v>Total Expenditure ($ June 2024)</v>
      </c>
      <c r="D65" s="7"/>
      <c r="E65" s="7"/>
      <c r="F65" s="7"/>
      <c r="G65" s="7"/>
      <c r="H65" s="2"/>
      <c r="I65" s="7"/>
      <c r="J65" s="10"/>
      <c r="K65" s="2"/>
      <c r="L65" s="7"/>
      <c r="M65" s="7"/>
      <c r="N65" s="7"/>
      <c r="O65" s="7"/>
      <c r="P65" s="7"/>
      <c r="Q65" s="2"/>
      <c r="R65" s="8">
        <f>R59+R63</f>
        <v>1192253.8822111697</v>
      </c>
      <c r="S65" s="8">
        <f>S59+S63</f>
        <v>1020331.1894275123</v>
      </c>
      <c r="T65" s="8">
        <f>T59+T63</f>
        <v>914313.03947836673</v>
      </c>
      <c r="U65" s="8">
        <f>U59+U63</f>
        <v>1120493.2784981271</v>
      </c>
      <c r="V65" s="8">
        <f>V59+V63</f>
        <v>745782.33801838453</v>
      </c>
      <c r="W65" s="73">
        <f t="shared" si="18"/>
        <v>4993173.727633561</v>
      </c>
    </row>
    <row r="66" spans="3:24" ht="12.75" customHeight="1" x14ac:dyDescent="0.2">
      <c r="C66" s="45" t="s">
        <v>52</v>
      </c>
      <c r="D66" s="45"/>
      <c r="E66" s="45"/>
      <c r="F66" s="45"/>
      <c r="G66" s="45"/>
      <c r="H66" s="2"/>
      <c r="I66" s="45"/>
      <c r="J66" s="45"/>
      <c r="K66" s="2"/>
      <c r="L66" s="45"/>
      <c r="M66" s="45"/>
      <c r="N66" s="45"/>
      <c r="O66" s="45"/>
      <c r="P66" s="45"/>
      <c r="Q66" s="2"/>
      <c r="R66" s="46">
        <f>R65-SUM(R$10:R$52)</f>
        <v>0</v>
      </c>
      <c r="S66" s="46">
        <f>S65-SUM(S$10:S$52)</f>
        <v>0</v>
      </c>
      <c r="T66" s="46">
        <f>T65-SUM(T$10:T$52)</f>
        <v>0</v>
      </c>
      <c r="U66" s="46">
        <f>U65-SUM(U$10:U$52)</f>
        <v>0</v>
      </c>
      <c r="V66" s="46">
        <f>V65-SUM(V$10:V$52)</f>
        <v>0</v>
      </c>
      <c r="W66" s="46">
        <f>W65-SUM(R$10:V$52)</f>
        <v>0</v>
      </c>
      <c r="X66" s="46">
        <f>SUM(R66:W66)</f>
        <v>0</v>
      </c>
    </row>
    <row r="67" spans="3:24" ht="12.75" customHeight="1" x14ac:dyDescent="0.2">
      <c r="H67" s="2"/>
      <c r="K67" s="2"/>
      <c r="Q67" s="2"/>
    </row>
    <row r="68" spans="3:24" ht="12.75" customHeight="1" x14ac:dyDescent="0.2">
      <c r="C68" s="55" t="str">
        <f>"NPV ($ "&amp;Assumptions!$B$12&amp;")"</f>
        <v>NPV ($ June 2024)</v>
      </c>
      <c r="D68" s="56">
        <f>NPV(Real_Discount_rate,R65:V65)</f>
        <v>4533458.0536454357</v>
      </c>
      <c r="H68" s="2"/>
      <c r="K68" s="2"/>
      <c r="Q68" s="2"/>
    </row>
    <row r="69" spans="3:24" ht="12.75" customHeight="1" x14ac:dyDescent="0.2">
      <c r="H69" s="2"/>
      <c r="K69" s="2"/>
      <c r="Q69" s="2"/>
    </row>
    <row r="70" spans="3:24" ht="12.75" customHeight="1" x14ac:dyDescent="0.2">
      <c r="H70" s="2"/>
      <c r="K70" s="2"/>
      <c r="Q70" s="2"/>
    </row>
    <row r="71" spans="3:24" ht="12.75" customHeight="1" x14ac:dyDescent="0.2">
      <c r="C71" s="4" t="s">
        <v>51</v>
      </c>
      <c r="G71" s="3"/>
      <c r="H71" s="2"/>
      <c r="K71" s="2"/>
      <c r="Q71" s="2"/>
      <c r="R71" s="69" t="s">
        <v>5</v>
      </c>
      <c r="S71" s="69" t="s">
        <v>6</v>
      </c>
      <c r="T71" s="69" t="s">
        <v>7</v>
      </c>
      <c r="U71" s="69" t="s">
        <v>8</v>
      </c>
      <c r="V71" s="69" t="s">
        <v>9</v>
      </c>
      <c r="W71" s="112" t="s">
        <v>0</v>
      </c>
    </row>
    <row r="72" spans="3:24" ht="12.75" customHeight="1" x14ac:dyDescent="0.2">
      <c r="C72" s="24" t="s">
        <v>65</v>
      </c>
      <c r="D72" s="24" t="s">
        <v>50</v>
      </c>
      <c r="E72" s="24"/>
      <c r="F72" s="24"/>
      <c r="G72" s="24" t="s">
        <v>49</v>
      </c>
      <c r="H72" s="2"/>
      <c r="I72" s="66"/>
      <c r="J72" s="67"/>
      <c r="K72" s="2"/>
      <c r="L72" s="24"/>
      <c r="M72" s="24"/>
      <c r="N72" s="24"/>
      <c r="O72" s="24"/>
      <c r="P72" s="24"/>
      <c r="Q72" s="2"/>
      <c r="R72" s="25">
        <f t="shared" ref="R72:V75" si="22">SUMIFS(R$10:R$52,$D$10:$D$52,$D72,$G$10:$G$52,$G72,$F$10:$F$52,$C72)</f>
        <v>347335.95352875366</v>
      </c>
      <c r="S72" s="25">
        <f t="shared" si="22"/>
        <v>347335.95352875366</v>
      </c>
      <c r="T72" s="25">
        <f t="shared" si="22"/>
        <v>347335.95352875366</v>
      </c>
      <c r="U72" s="25">
        <f t="shared" si="22"/>
        <v>347335.95352875366</v>
      </c>
      <c r="V72" s="147">
        <f t="shared" si="22"/>
        <v>347335.95352875366</v>
      </c>
      <c r="W72" s="72">
        <f t="shared" ref="W72:W75" si="23">SUM(R72:V72)</f>
        <v>1736679.7676437683</v>
      </c>
    </row>
    <row r="73" spans="3:24" ht="12.75" customHeight="1" x14ac:dyDescent="0.2">
      <c r="C73" s="1" t="s">
        <v>65</v>
      </c>
      <c r="D73" s="1" t="s">
        <v>39</v>
      </c>
      <c r="G73" s="1" t="s">
        <v>49</v>
      </c>
      <c r="H73" s="2"/>
      <c r="I73" s="68"/>
      <c r="K73" s="2"/>
      <c r="Q73" s="2"/>
      <c r="R73" s="6">
        <f t="shared" si="22"/>
        <v>169269.03399999999</v>
      </c>
      <c r="S73" s="6">
        <f t="shared" si="22"/>
        <v>169269.03399999999</v>
      </c>
      <c r="T73" s="6">
        <f t="shared" si="22"/>
        <v>169269.03399999999</v>
      </c>
      <c r="U73" s="6">
        <f t="shared" si="22"/>
        <v>169269.03399999999</v>
      </c>
      <c r="V73" s="148">
        <f t="shared" si="22"/>
        <v>169269.03399999999</v>
      </c>
      <c r="W73" s="72">
        <f t="shared" ref="W73" si="24">SUM(R73:V73)</f>
        <v>846345.16999999993</v>
      </c>
    </row>
    <row r="74" spans="3:24" ht="12.75" customHeight="1" x14ac:dyDescent="0.2">
      <c r="C74" s="1" t="s">
        <v>77</v>
      </c>
      <c r="D74" s="1" t="s">
        <v>50</v>
      </c>
      <c r="G74" s="1" t="s">
        <v>49</v>
      </c>
      <c r="H74" s="2"/>
      <c r="I74" s="68"/>
      <c r="K74" s="2"/>
      <c r="Q74" s="2"/>
      <c r="R74" s="6">
        <f t="shared" si="22"/>
        <v>155453.4384544252</v>
      </c>
      <c r="S74" s="6">
        <f t="shared" si="22"/>
        <v>166805.81799660155</v>
      </c>
      <c r="T74" s="6">
        <f t="shared" si="22"/>
        <v>178975.87311719265</v>
      </c>
      <c r="U74" s="6">
        <f t="shared" si="22"/>
        <v>192039.66666070215</v>
      </c>
      <c r="V74" s="6">
        <f t="shared" si="22"/>
        <v>229177.35048963089</v>
      </c>
      <c r="W74" s="72">
        <f t="shared" si="23"/>
        <v>922452.14671855234</v>
      </c>
    </row>
    <row r="75" spans="3:24" ht="12.75" customHeight="1" x14ac:dyDescent="0.2">
      <c r="C75" s="1" t="s">
        <v>80</v>
      </c>
      <c r="D75" s="1" t="s">
        <v>50</v>
      </c>
      <c r="G75" s="1" t="s">
        <v>49</v>
      </c>
      <c r="H75" s="2"/>
      <c r="K75" s="2"/>
      <c r="Q75" s="2"/>
      <c r="R75" s="146">
        <f t="shared" si="22"/>
        <v>520195.45622799097</v>
      </c>
      <c r="S75" s="146">
        <f t="shared" si="22"/>
        <v>336920.38390215719</v>
      </c>
      <c r="T75" s="146">
        <f t="shared" si="22"/>
        <v>218732.17883242041</v>
      </c>
      <c r="U75" s="146">
        <f t="shared" si="22"/>
        <v>411848.62430867134</v>
      </c>
      <c r="V75" s="146">
        <f t="shared" si="22"/>
        <v>0</v>
      </c>
      <c r="W75" s="6">
        <f t="shared" si="23"/>
        <v>1487696.6432712399</v>
      </c>
    </row>
    <row r="76" spans="3:24" ht="12.75" customHeight="1" x14ac:dyDescent="0.2">
      <c r="C76" s="7" t="str">
        <f>"Total Expenditure ($ "&amp;Assumptions!$B$12&amp;")"</f>
        <v>Total Expenditure ($ June 2024)</v>
      </c>
      <c r="D76" s="7"/>
      <c r="E76" s="7"/>
      <c r="F76" s="7"/>
      <c r="G76" s="7"/>
      <c r="H76" s="2"/>
      <c r="I76" s="7"/>
      <c r="J76" s="10"/>
      <c r="K76" s="2"/>
      <c r="L76" s="7"/>
      <c r="M76" s="7"/>
      <c r="N76" s="7"/>
      <c r="O76" s="7"/>
      <c r="P76" s="7"/>
      <c r="Q76" s="2"/>
      <c r="R76" s="8">
        <f>SUM(R72:R75)</f>
        <v>1192253.8822111699</v>
      </c>
      <c r="S76" s="8">
        <f>SUM(S72:S75)</f>
        <v>1020331.1894275123</v>
      </c>
      <c r="T76" s="8">
        <f>SUM(T72:T75)</f>
        <v>914313.03947836673</v>
      </c>
      <c r="U76" s="8">
        <f>SUM(U72:U75)</f>
        <v>1120493.2784981271</v>
      </c>
      <c r="V76" s="8">
        <f>SUM(V72:V75)</f>
        <v>745782.33801838453</v>
      </c>
      <c r="W76" s="73">
        <f t="shared" ref="W76" si="25">SUM(R76:V76)</f>
        <v>4993173.727633561</v>
      </c>
    </row>
    <row r="77" spans="3:24" ht="12.75" customHeight="1" x14ac:dyDescent="0.2">
      <c r="C77" s="45" t="s">
        <v>52</v>
      </c>
      <c r="D77" s="45"/>
      <c r="E77" s="45"/>
      <c r="F77" s="45"/>
      <c r="G77" s="45"/>
      <c r="H77" s="2"/>
      <c r="I77" s="45"/>
      <c r="J77" s="45"/>
      <c r="K77" s="2"/>
      <c r="L77" s="45"/>
      <c r="M77" s="45"/>
      <c r="N77" s="45"/>
      <c r="O77" s="45"/>
      <c r="P77" s="45"/>
      <c r="Q77" s="2"/>
      <c r="R77" s="46">
        <f>R76-SUM(R$10:R$52)</f>
        <v>0</v>
      </c>
      <c r="S77" s="46">
        <f>S76-SUM(S$10:S$52)</f>
        <v>0</v>
      </c>
      <c r="T77" s="46">
        <f>T76-SUM(T$10:T$52)</f>
        <v>0</v>
      </c>
      <c r="U77" s="46">
        <f>U76-SUM(U$10:U$52)</f>
        <v>0</v>
      </c>
      <c r="V77" s="46">
        <f>V76-SUM(V$10:V$52)</f>
        <v>0</v>
      </c>
      <c r="W77" s="46">
        <f>W76-SUM(R$10:V$52)</f>
        <v>0</v>
      </c>
      <c r="X77" s="46">
        <f>SUM(R77:W77)</f>
        <v>0</v>
      </c>
    </row>
    <row r="78" spans="3:24" ht="12.75" customHeight="1" x14ac:dyDescent="0.2">
      <c r="C78" s="114"/>
      <c r="D78" s="114"/>
      <c r="E78" s="114"/>
      <c r="F78" s="114"/>
      <c r="G78" s="114"/>
      <c r="H78" s="2"/>
      <c r="I78" s="114"/>
      <c r="J78" s="114"/>
      <c r="K78" s="2"/>
      <c r="L78" s="114"/>
      <c r="M78" s="114"/>
      <c r="N78" s="114"/>
      <c r="O78" s="114"/>
      <c r="P78" s="114"/>
      <c r="Q78" s="2"/>
      <c r="R78" s="115"/>
      <c r="S78" s="115"/>
      <c r="T78" s="115"/>
      <c r="U78" s="115"/>
      <c r="V78" s="115"/>
      <c r="W78" s="115"/>
      <c r="X78" s="115"/>
    </row>
    <row r="79" spans="3:24" ht="12.75" customHeight="1" x14ac:dyDescent="0.2">
      <c r="C79" s="114"/>
      <c r="D79" s="114"/>
      <c r="E79" s="114"/>
      <c r="F79" s="114"/>
      <c r="G79" s="114"/>
      <c r="H79" s="2"/>
      <c r="I79" s="114"/>
      <c r="J79" s="114"/>
      <c r="K79" s="2"/>
      <c r="L79" s="114"/>
      <c r="M79" s="114"/>
      <c r="N79" s="114"/>
      <c r="O79" s="114"/>
      <c r="P79" s="114"/>
      <c r="Q79" s="2"/>
      <c r="R79" s="115"/>
      <c r="S79" s="115"/>
      <c r="T79" s="115"/>
      <c r="U79" s="115"/>
      <c r="V79" s="115"/>
      <c r="W79" s="115"/>
      <c r="X79" s="115"/>
    </row>
    <row r="80" spans="3:24" ht="12.75" customHeight="1" x14ac:dyDescent="0.2">
      <c r="C80" s="114"/>
      <c r="D80" s="114"/>
      <c r="E80" s="114"/>
      <c r="F80" s="114"/>
      <c r="G80" s="114"/>
      <c r="H80" s="2"/>
      <c r="I80" s="114"/>
      <c r="J80" s="114"/>
      <c r="K80" s="2"/>
      <c r="L80" s="114"/>
      <c r="M80" s="114"/>
      <c r="N80" s="114"/>
      <c r="O80" s="114"/>
      <c r="P80" s="114"/>
      <c r="Q80" s="2"/>
      <c r="R80" s="115"/>
      <c r="S80" s="115"/>
      <c r="T80" s="115"/>
      <c r="U80" s="115"/>
      <c r="V80" s="115"/>
      <c r="W80" s="115"/>
      <c r="X80" s="115"/>
    </row>
    <row r="81" spans="3:24" ht="12.75" customHeight="1" x14ac:dyDescent="0.2">
      <c r="C81" s="76" t="s">
        <v>53</v>
      </c>
      <c r="H81" s="2"/>
      <c r="K81" s="2"/>
      <c r="Q81" s="2"/>
      <c r="R81" s="69" t="s">
        <v>5</v>
      </c>
      <c r="S81" s="69" t="s">
        <v>6</v>
      </c>
      <c r="T81" s="69" t="s">
        <v>7</v>
      </c>
      <c r="U81" s="69" t="s">
        <v>8</v>
      </c>
      <c r="V81" s="69" t="s">
        <v>9</v>
      </c>
      <c r="W81" s="69" t="s">
        <v>0</v>
      </c>
    </row>
    <row r="82" spans="3:24" ht="12.75" customHeight="1" x14ac:dyDescent="0.2">
      <c r="C82" s="24" t="s">
        <v>10</v>
      </c>
      <c r="D82" s="24" t="s">
        <v>50</v>
      </c>
      <c r="E82" s="24"/>
      <c r="F82" s="24"/>
      <c r="G82" s="24" t="s">
        <v>49</v>
      </c>
      <c r="H82" s="2"/>
      <c r="I82" s="66"/>
      <c r="J82" s="67"/>
      <c r="K82" s="2"/>
      <c r="L82" s="24"/>
      <c r="M82" s="24"/>
      <c r="N82" s="24"/>
      <c r="O82" s="24"/>
      <c r="P82" s="24"/>
      <c r="Q82" s="2"/>
      <c r="R82" s="34">
        <f t="shared" ref="R82:V84" si="26">R56*business_case_dollars</f>
        <v>157117.26939195447</v>
      </c>
      <c r="S82" s="34">
        <f t="shared" si="26"/>
        <v>159644.1107438363</v>
      </c>
      <c r="T82" s="34">
        <f t="shared" si="26"/>
        <v>162352.95239409487</v>
      </c>
      <c r="U82" s="34">
        <f t="shared" si="26"/>
        <v>165260.72460304433</v>
      </c>
      <c r="V82" s="34">
        <f t="shared" si="26"/>
        <v>173526.92420141152</v>
      </c>
      <c r="W82" s="71">
        <f>SUM(R82:V82)</f>
        <v>817901.98133434157</v>
      </c>
    </row>
    <row r="83" spans="3:24" ht="12.75" customHeight="1" x14ac:dyDescent="0.2">
      <c r="C83" s="1" t="s">
        <v>12</v>
      </c>
      <c r="D83" s="1" t="s">
        <v>50</v>
      </c>
      <c r="G83" s="1" t="s">
        <v>49</v>
      </c>
      <c r="H83" s="2"/>
      <c r="I83" s="68"/>
      <c r="K83" s="2"/>
      <c r="Q83" s="2"/>
      <c r="R83" s="6">
        <f t="shared" si="26"/>
        <v>807695.87472144421</v>
      </c>
      <c r="S83" s="6">
        <f t="shared" si="26"/>
        <v>675024.83809393574</v>
      </c>
      <c r="T83" s="6">
        <f t="shared" si="26"/>
        <v>593787.00103939837</v>
      </c>
      <c r="U83" s="6">
        <f t="shared" si="26"/>
        <v>755863.30395627464</v>
      </c>
      <c r="V83" s="6">
        <f t="shared" si="26"/>
        <v>468082.0226680648</v>
      </c>
      <c r="W83" s="72">
        <f t="shared" ref="W83:W91" si="27">SUM(R83:V83)</f>
        <v>3300453.040479118</v>
      </c>
    </row>
    <row r="84" spans="3:24" ht="12.75" customHeight="1" x14ac:dyDescent="0.2">
      <c r="C84" s="1" t="s">
        <v>13</v>
      </c>
      <c r="D84" s="1" t="s">
        <v>50</v>
      </c>
      <c r="G84" s="1" t="s">
        <v>49</v>
      </c>
      <c r="H84" s="2"/>
      <c r="I84" s="68"/>
      <c r="K84" s="2"/>
      <c r="Q84" s="2"/>
      <c r="R84" s="6">
        <f t="shared" si="26"/>
        <v>173679.63055337468</v>
      </c>
      <c r="S84" s="6">
        <f t="shared" si="26"/>
        <v>112488.88682407363</v>
      </c>
      <c r="T84" s="6">
        <f t="shared" si="26"/>
        <v>73028.94240025719</v>
      </c>
      <c r="U84" s="6">
        <f t="shared" si="26"/>
        <v>137505.46272071943</v>
      </c>
      <c r="V84" s="6">
        <f t="shared" si="26"/>
        <v>0</v>
      </c>
      <c r="W84" s="72">
        <f t="shared" si="27"/>
        <v>496702.92249842489</v>
      </c>
    </row>
    <row r="85" spans="3:24" ht="12.75" customHeight="1" x14ac:dyDescent="0.2">
      <c r="C85" s="21" t="s">
        <v>14</v>
      </c>
      <c r="D85" s="21" t="s">
        <v>50</v>
      </c>
      <c r="E85" s="102"/>
      <c r="F85" s="102"/>
      <c r="G85" s="103"/>
      <c r="H85" s="104"/>
      <c r="I85" s="103"/>
      <c r="J85" s="105"/>
      <c r="K85" s="104"/>
      <c r="L85" s="102"/>
      <c r="M85" s="102"/>
      <c r="N85" s="102"/>
      <c r="O85" s="102"/>
      <c r="P85" s="102"/>
      <c r="Q85" s="104"/>
      <c r="R85" s="22">
        <f t="shared" ref="R85:W85" si="28">SUM(R82:R84)</f>
        <v>1138492.7746667734</v>
      </c>
      <c r="S85" s="22">
        <f t="shared" si="28"/>
        <v>947157.83566184563</v>
      </c>
      <c r="T85" s="22">
        <f t="shared" si="28"/>
        <v>829168.89583375049</v>
      </c>
      <c r="U85" s="22">
        <f t="shared" si="28"/>
        <v>1058629.4912800384</v>
      </c>
      <c r="V85" s="22">
        <f t="shared" si="28"/>
        <v>641608.94686947635</v>
      </c>
      <c r="W85" s="22">
        <f t="shared" si="28"/>
        <v>4615057.9443118842</v>
      </c>
    </row>
    <row r="86" spans="3:24" ht="12.75" customHeight="1" x14ac:dyDescent="0.2">
      <c r="C86" s="1" t="s">
        <v>10</v>
      </c>
      <c r="D86" s="1" t="s">
        <v>39</v>
      </c>
      <c r="G86" s="1" t="s">
        <v>49</v>
      </c>
      <c r="H86" s="2"/>
      <c r="I86" s="68"/>
      <c r="K86" s="2"/>
      <c r="Q86" s="2"/>
      <c r="R86" s="116">
        <f t="shared" ref="R86:V88" si="29">R60*business_case_dollars</f>
        <v>153581.42658819709</v>
      </c>
      <c r="S86" s="116">
        <f t="shared" si="29"/>
        <v>153581.42658819709</v>
      </c>
      <c r="T86" s="116">
        <f t="shared" si="29"/>
        <v>153581.42658819709</v>
      </c>
      <c r="U86" s="116">
        <f t="shared" si="29"/>
        <v>153581.42658819709</v>
      </c>
      <c r="V86" s="116">
        <f t="shared" si="29"/>
        <v>153581.42658819709</v>
      </c>
      <c r="W86" s="72">
        <f>SUM(R86:V86)</f>
        <v>767907.1329409855</v>
      </c>
    </row>
    <row r="87" spans="3:24" ht="12.75" customHeight="1" x14ac:dyDescent="0.2">
      <c r="C87" s="1" t="s">
        <v>12</v>
      </c>
      <c r="D87" s="1" t="s">
        <v>39</v>
      </c>
      <c r="G87" s="1" t="s">
        <v>49</v>
      </c>
      <c r="H87" s="2"/>
      <c r="I87" s="68"/>
      <c r="K87" s="2"/>
      <c r="Q87" s="2"/>
      <c r="R87" s="6">
        <f t="shared" si="29"/>
        <v>0</v>
      </c>
      <c r="S87" s="6">
        <f t="shared" si="29"/>
        <v>0</v>
      </c>
      <c r="T87" s="6">
        <f t="shared" si="29"/>
        <v>0</v>
      </c>
      <c r="U87" s="6">
        <f t="shared" si="29"/>
        <v>0</v>
      </c>
      <c r="V87" s="6">
        <f t="shared" si="29"/>
        <v>0</v>
      </c>
      <c r="W87" s="72">
        <f t="shared" ref="W87:W88" si="30">SUM(R87:V87)</f>
        <v>0</v>
      </c>
    </row>
    <row r="88" spans="3:24" ht="12.75" customHeight="1" x14ac:dyDescent="0.2">
      <c r="C88" s="1" t="s">
        <v>13</v>
      </c>
      <c r="D88" s="1" t="s">
        <v>39</v>
      </c>
      <c r="G88" s="1" t="s">
        <v>49</v>
      </c>
      <c r="H88" s="2"/>
      <c r="I88" s="68"/>
      <c r="K88" s="2"/>
      <c r="Q88" s="2"/>
      <c r="R88" s="6">
        <f t="shared" si="29"/>
        <v>34800.221997123765</v>
      </c>
      <c r="S88" s="6">
        <f t="shared" si="29"/>
        <v>34800.221997123765</v>
      </c>
      <c r="T88" s="6">
        <f t="shared" si="29"/>
        <v>34800.221997123765</v>
      </c>
      <c r="U88" s="6">
        <f t="shared" si="29"/>
        <v>34800.221997123765</v>
      </c>
      <c r="V88" s="6">
        <f t="shared" si="29"/>
        <v>34800.221997123765</v>
      </c>
      <c r="W88" s="72">
        <f t="shared" si="30"/>
        <v>174001.10998561882</v>
      </c>
    </row>
    <row r="89" spans="3:24" ht="12.75" customHeight="1" x14ac:dyDescent="0.2">
      <c r="C89" s="21" t="s">
        <v>16</v>
      </c>
      <c r="D89" s="21" t="s">
        <v>39</v>
      </c>
      <c r="E89" s="102"/>
      <c r="F89" s="102"/>
      <c r="G89" s="103"/>
      <c r="H89" s="104"/>
      <c r="I89" s="103"/>
      <c r="J89" s="105"/>
      <c r="K89" s="104"/>
      <c r="L89" s="102"/>
      <c r="M89" s="102"/>
      <c r="N89" s="102"/>
      <c r="O89" s="102"/>
      <c r="P89" s="102"/>
      <c r="Q89" s="104"/>
      <c r="R89" s="22">
        <f t="shared" ref="R89:W89" si="31">SUM(R86:R88)</f>
        <v>188381.64858532086</v>
      </c>
      <c r="S89" s="22">
        <f t="shared" si="31"/>
        <v>188381.64858532086</v>
      </c>
      <c r="T89" s="22">
        <f t="shared" si="31"/>
        <v>188381.64858532086</v>
      </c>
      <c r="U89" s="22">
        <f t="shared" si="31"/>
        <v>188381.64858532086</v>
      </c>
      <c r="V89" s="22">
        <f t="shared" si="31"/>
        <v>188381.64858532086</v>
      </c>
      <c r="W89" s="22">
        <f t="shared" si="31"/>
        <v>941908.24292660435</v>
      </c>
    </row>
    <row r="90" spans="3:24" ht="12.75" customHeight="1" x14ac:dyDescent="0.2">
      <c r="H90" s="2"/>
      <c r="I90" s="68"/>
      <c r="K90" s="2"/>
      <c r="Q90" s="2"/>
      <c r="R90" s="6"/>
      <c r="S90" s="6"/>
      <c r="T90" s="6"/>
      <c r="U90" s="6"/>
      <c r="V90" s="6"/>
      <c r="W90" s="72"/>
    </row>
    <row r="91" spans="3:24" x14ac:dyDescent="0.2">
      <c r="C91" s="7" t="str">
        <f>"Total Expenditure ($ "&amp;Assumptions!$C$35&amp;")"</f>
        <v>Total Expenditure ($ June 2026)</v>
      </c>
      <c r="D91" s="7" t="s">
        <v>54</v>
      </c>
      <c r="E91" s="7"/>
      <c r="F91" s="7"/>
      <c r="G91" s="7"/>
      <c r="H91" s="2"/>
      <c r="I91" s="7"/>
      <c r="J91" s="10"/>
      <c r="K91" s="2"/>
      <c r="L91" s="7"/>
      <c r="M91" s="7"/>
      <c r="N91" s="7"/>
      <c r="O91" s="7"/>
      <c r="P91" s="7"/>
      <c r="Q91" s="2"/>
      <c r="R91" s="8">
        <f>R85+R89</f>
        <v>1326874.4232520943</v>
      </c>
      <c r="S91" s="8">
        <f>S85+S89</f>
        <v>1135539.4842471664</v>
      </c>
      <c r="T91" s="8">
        <f>T85+T89</f>
        <v>1017550.5444190714</v>
      </c>
      <c r="U91" s="8">
        <f>U85+U89</f>
        <v>1247011.1398653593</v>
      </c>
      <c r="V91" s="8">
        <f>V85+V89</f>
        <v>829990.59545479715</v>
      </c>
      <c r="W91" s="73">
        <f t="shared" si="27"/>
        <v>5556966.1872384883</v>
      </c>
    </row>
    <row r="92" spans="3:24" x14ac:dyDescent="0.2">
      <c r="H92" s="2"/>
      <c r="K92" s="2"/>
      <c r="Q92" s="2"/>
      <c r="R92" s="46">
        <f>SUM(R10:R52)*business_case_dollars-R91</f>
        <v>0</v>
      </c>
      <c r="S92" s="46">
        <f>SUM(S10:S52)*business_case_dollars-S91</f>
        <v>0</v>
      </c>
      <c r="T92" s="46">
        <f>SUM(T10:T52)*business_case_dollars-T91</f>
        <v>0</v>
      </c>
      <c r="U92" s="46">
        <f>SUM(U10:U52)*business_case_dollars-U91</f>
        <v>0</v>
      </c>
      <c r="V92" s="46">
        <f>SUM(V10:V52)*business_case_dollars-V91</f>
        <v>0</v>
      </c>
      <c r="W92" s="46">
        <f>SUM(R10:V52)*business_case_dollars-W91</f>
        <v>0</v>
      </c>
      <c r="X92" s="46">
        <f>SUM(R92:W92)</f>
        <v>0</v>
      </c>
    </row>
    <row r="93" spans="3:24" x14ac:dyDescent="0.2">
      <c r="C93" s="55" t="str">
        <f>"NPV ($ "&amp;Assumptions!$C$35&amp;")"</f>
        <v>NPV ($ June 2026)</v>
      </c>
      <c r="D93" s="56">
        <f>NPV(Real_Discount_rate,R91:V91)</f>
        <v>5045342.7999011762</v>
      </c>
      <c r="H93" s="2"/>
      <c r="K93" s="2"/>
      <c r="Q93" s="2"/>
      <c r="R93" s="52"/>
      <c r="S93" s="52"/>
      <c r="T93" s="52"/>
      <c r="U93" s="52"/>
      <c r="V93" s="52"/>
    </row>
    <row r="96" spans="3:24" x14ac:dyDescent="0.2">
      <c r="C96" s="4" t="s">
        <v>51</v>
      </c>
      <c r="G96" s="3"/>
      <c r="H96" s="2"/>
      <c r="K96" s="2"/>
      <c r="Q96" s="2"/>
      <c r="R96" s="69" t="s">
        <v>5</v>
      </c>
      <c r="S96" s="69" t="s">
        <v>6</v>
      </c>
      <c r="T96" s="69" t="s">
        <v>7</v>
      </c>
      <c r="U96" s="69" t="s">
        <v>8</v>
      </c>
      <c r="V96" s="69" t="s">
        <v>9</v>
      </c>
      <c r="W96" s="112" t="s">
        <v>0</v>
      </c>
    </row>
    <row r="97" spans="3:24" x14ac:dyDescent="0.2">
      <c r="C97" s="24" t="s">
        <v>65</v>
      </c>
      <c r="D97" s="24" t="s">
        <v>50</v>
      </c>
      <c r="E97" s="24"/>
      <c r="F97" s="24"/>
      <c r="G97" s="24" t="s">
        <v>49</v>
      </c>
      <c r="H97" s="2"/>
      <c r="I97" s="66"/>
      <c r="J97" s="67"/>
      <c r="K97" s="2"/>
      <c r="L97" s="24"/>
      <c r="M97" s="24"/>
      <c r="N97" s="24"/>
      <c r="O97" s="24"/>
      <c r="P97" s="24"/>
      <c r="Q97" s="2"/>
      <c r="R97" s="25">
        <f t="shared" ref="R97:V99" si="32">R72*business_case_dollars</f>
        <v>386554.57523731724</v>
      </c>
      <c r="S97" s="25">
        <f t="shared" si="32"/>
        <v>386554.57523731724</v>
      </c>
      <c r="T97" s="25">
        <f t="shared" si="32"/>
        <v>386554.57523731724</v>
      </c>
      <c r="U97" s="25">
        <f t="shared" si="32"/>
        <v>386554.57523731724</v>
      </c>
      <c r="V97" s="25">
        <f t="shared" si="32"/>
        <v>386554.57523731724</v>
      </c>
      <c r="W97" s="25">
        <f t="shared" ref="W97:W100" si="33">SUM(R97:V97)</f>
        <v>1932772.8761865862</v>
      </c>
    </row>
    <row r="98" spans="3:24" x14ac:dyDescent="0.2">
      <c r="C98" s="1" t="s">
        <v>65</v>
      </c>
      <c r="D98" s="1" t="s">
        <v>39</v>
      </c>
      <c r="G98" s="1" t="s">
        <v>49</v>
      </c>
      <c r="H98" s="2"/>
      <c r="I98" s="68"/>
      <c r="K98" s="2"/>
      <c r="Q98" s="2"/>
      <c r="R98" s="6">
        <f t="shared" si="32"/>
        <v>188381.64858532086</v>
      </c>
      <c r="S98" s="6">
        <f t="shared" si="32"/>
        <v>188381.64858532086</v>
      </c>
      <c r="T98" s="6">
        <f t="shared" si="32"/>
        <v>188381.64858532086</v>
      </c>
      <c r="U98" s="6">
        <f t="shared" si="32"/>
        <v>188381.64858532086</v>
      </c>
      <c r="V98" s="6">
        <f t="shared" si="32"/>
        <v>188381.64858532086</v>
      </c>
      <c r="W98" s="6">
        <f t="shared" si="33"/>
        <v>941908.24292660435</v>
      </c>
    </row>
    <row r="99" spans="3:24" x14ac:dyDescent="0.2">
      <c r="C99" s="1" t="s">
        <v>77</v>
      </c>
      <c r="D99" s="1" t="s">
        <v>50</v>
      </c>
      <c r="G99" s="1" t="s">
        <v>49</v>
      </c>
      <c r="H99" s="2"/>
      <c r="I99" s="68"/>
      <c r="K99" s="2"/>
      <c r="Q99" s="2"/>
      <c r="R99" s="6">
        <f t="shared" si="32"/>
        <v>173006.09758487387</v>
      </c>
      <c r="S99" s="6">
        <f t="shared" si="32"/>
        <v>185640.30434428298</v>
      </c>
      <c r="T99" s="6">
        <f t="shared" si="32"/>
        <v>199184.51259557588</v>
      </c>
      <c r="U99" s="6">
        <f t="shared" si="32"/>
        <v>213723.37364032309</v>
      </c>
      <c r="V99" s="6">
        <f t="shared" si="32"/>
        <v>255054.37163215902</v>
      </c>
      <c r="W99" s="6">
        <f t="shared" si="33"/>
        <v>1026608.6597972148</v>
      </c>
    </row>
    <row r="100" spans="3:24" x14ac:dyDescent="0.2">
      <c r="C100" s="1" t="s">
        <v>80</v>
      </c>
      <c r="D100" s="1" t="s">
        <v>50</v>
      </c>
      <c r="G100" s="1" t="s">
        <v>49</v>
      </c>
      <c r="H100" s="2"/>
      <c r="K100" s="2"/>
      <c r="Q100" s="2"/>
      <c r="R100" s="6">
        <f t="shared" ref="R100:V100" si="34">R75*business_case_dollars</f>
        <v>578932.10184458224</v>
      </c>
      <c r="S100" s="6">
        <f t="shared" si="34"/>
        <v>374962.95608024544</v>
      </c>
      <c r="T100" s="6">
        <f t="shared" si="34"/>
        <v>243429.80800085727</v>
      </c>
      <c r="U100" s="6">
        <f t="shared" si="34"/>
        <v>458351.54240239807</v>
      </c>
      <c r="V100" s="6">
        <f t="shared" si="34"/>
        <v>0</v>
      </c>
      <c r="W100" s="6">
        <f t="shared" si="33"/>
        <v>1655676.4083280831</v>
      </c>
    </row>
    <row r="101" spans="3:24" x14ac:dyDescent="0.2">
      <c r="C101" s="7" t="str">
        <f>"Total Expenditure ($ "&amp;Assumptions!$C$35&amp;")"</f>
        <v>Total Expenditure ($ June 2026)</v>
      </c>
      <c r="D101" s="7"/>
      <c r="E101" s="7"/>
      <c r="F101" s="7"/>
      <c r="G101" s="7"/>
      <c r="H101" s="2"/>
      <c r="I101" s="7"/>
      <c r="J101" s="10"/>
      <c r="K101" s="2"/>
      <c r="L101" s="7"/>
      <c r="M101" s="7"/>
      <c r="N101" s="7"/>
      <c r="O101" s="7"/>
      <c r="P101" s="7"/>
      <c r="Q101" s="2"/>
      <c r="R101" s="8">
        <f>SUM(R97:R100)</f>
        <v>1326874.4232520943</v>
      </c>
      <c r="S101" s="8">
        <f>SUM(S97:S100)</f>
        <v>1135539.4842471667</v>
      </c>
      <c r="T101" s="8">
        <f>SUM(T97:T100)</f>
        <v>1017550.5444190713</v>
      </c>
      <c r="U101" s="8">
        <f>SUM(U97:U100)</f>
        <v>1247011.1398653593</v>
      </c>
      <c r="V101" s="8">
        <f>SUM(V97:V100)</f>
        <v>829990.59545479715</v>
      </c>
      <c r="W101" s="73">
        <f t="shared" ref="W101" si="35">SUM(R101:V101)</f>
        <v>5556966.1872384883</v>
      </c>
    </row>
    <row r="102" spans="3:24" x14ac:dyDescent="0.2">
      <c r="C102" s="45" t="s">
        <v>52</v>
      </c>
      <c r="D102" s="45"/>
      <c r="E102" s="45"/>
      <c r="F102" s="45"/>
      <c r="G102" s="45"/>
      <c r="H102" s="2"/>
      <c r="I102" s="45"/>
      <c r="J102" s="45"/>
      <c r="K102" s="2"/>
      <c r="L102" s="45"/>
      <c r="M102" s="45"/>
      <c r="N102" s="45"/>
      <c r="O102" s="45"/>
      <c r="P102" s="45"/>
      <c r="Q102" s="2"/>
      <c r="R102" s="46">
        <f>R101-SUM(R$10:R$52)*business_case_dollars</f>
        <v>0</v>
      </c>
      <c r="S102" s="46">
        <f>S101-SUM(S$10:S$52)*business_case_dollars</f>
        <v>0</v>
      </c>
      <c r="T102" s="46">
        <f>T101-SUM(T$10:T$52)*business_case_dollars</f>
        <v>0</v>
      </c>
      <c r="U102" s="46">
        <f>U101-SUM(U$10:U$52)*business_case_dollars</f>
        <v>0</v>
      </c>
      <c r="V102" s="46">
        <f>V101-SUM(V$10:V$52)*business_case_dollars</f>
        <v>0</v>
      </c>
      <c r="W102" s="46">
        <f>W101-SUM(R$10:V$52)*business_case_dollars</f>
        <v>0</v>
      </c>
      <c r="X102" s="46">
        <f>SUM(R102:W102)</f>
        <v>0</v>
      </c>
    </row>
  </sheetData>
  <conditionalFormatting sqref="I10:I37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R66:W66">
    <cfRule type="expression" dxfId="18" priority="7">
      <formula>ABS(R66)&gt;0.001</formula>
    </cfRule>
  </conditionalFormatting>
  <conditionalFormatting sqref="R77:W80">
    <cfRule type="expression" dxfId="17" priority="4">
      <formula>ABS(R77)&gt;0.001</formula>
    </cfRule>
  </conditionalFormatting>
  <conditionalFormatting sqref="R92:W92">
    <cfRule type="expression" dxfId="16" priority="8">
      <formula>ABS(R92)&gt;0.001</formula>
    </cfRule>
  </conditionalFormatting>
  <conditionalFormatting sqref="R102:W102">
    <cfRule type="expression" dxfId="15" priority="1">
      <formula>ABS(R102)&gt;0.001</formula>
    </cfRule>
  </conditionalFormatting>
  <conditionalFormatting sqref="X66">
    <cfRule type="expression" dxfId="14" priority="17">
      <formula>ABS(X66)&gt;0.001</formula>
    </cfRule>
  </conditionalFormatting>
  <conditionalFormatting sqref="X77:X80">
    <cfRule type="expression" dxfId="13" priority="5">
      <formula>ABS(X77)&gt;0.001</formula>
    </cfRule>
  </conditionalFormatting>
  <conditionalFormatting sqref="X92">
    <cfRule type="expression" dxfId="12" priority="9">
      <formula>ABS(X92)&gt;0.001</formula>
    </cfRule>
  </conditionalFormatting>
  <conditionalFormatting sqref="X102">
    <cfRule type="expression" dxfId="11" priority="2">
      <formula>ABS(X102)&gt;0.001</formula>
    </cfRule>
  </conditionalFormatting>
  <dataValidations count="3">
    <dataValidation type="list" allowBlank="1" showInputMessage="1" showErrorMessage="1" sqref="D10:D52" xr:uid="{2827424A-175C-47A9-8376-819542451550}">
      <formula1>"Capex, Opex"</formula1>
    </dataValidation>
    <dataValidation type="list" allowBlank="1" showInputMessage="1" showErrorMessage="1" sqref="G10:G52" xr:uid="{62F3F087-87F3-4E5A-B0D6-C76D92ABBAEF}">
      <formula1>"Recurrent, Non recurrent"</formula1>
    </dataValidation>
    <dataValidation type="list" allowBlank="1" showInputMessage="1" showErrorMessage="1" sqref="E10:E52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AC102"/>
  <sheetViews>
    <sheetView showGridLines="0" zoomScale="80" zoomScaleNormal="80" workbookViewId="0">
      <pane ySplit="9" topLeftCell="A10" activePane="bottomLeft" state="frozen"/>
      <selection activeCell="C24" sqref="C24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74.5703125" style="1" customWidth="1"/>
    <col min="4" max="4" width="12.7109375" style="1" customWidth="1"/>
    <col min="5" max="5" width="9.42578125" style="1" bestFit="1" customWidth="1"/>
    <col min="6" max="6" width="8.5703125" style="9" bestFit="1" customWidth="1"/>
    <col min="7" max="7" width="5.85546875" style="9" bestFit="1" customWidth="1"/>
    <col min="8" max="8" width="16.28515625" style="1" bestFit="1" customWidth="1"/>
    <col min="9" max="9" width="14.140625" style="1" customWidth="1"/>
    <col min="10" max="10" width="2.85546875" style="1" customWidth="1"/>
    <col min="11" max="11" width="8.42578125" style="1" bestFit="1" customWidth="1"/>
    <col min="12" max="12" width="6.28515625" style="9" bestFit="1" customWidth="1"/>
    <col min="13" max="13" width="2.85546875" style="1" customWidth="1"/>
    <col min="14" max="18" width="12.140625" style="1" customWidth="1"/>
    <col min="19" max="19" width="2.85546875" style="1" customWidth="1"/>
    <col min="20" max="24" width="12.140625" style="1" customWidth="1"/>
    <col min="25" max="25" width="13" style="1" customWidth="1"/>
    <col min="26" max="16384" width="9.140625" style="1"/>
  </cols>
  <sheetData>
    <row r="1" spans="1:29" ht="21" x14ac:dyDescent="0.35">
      <c r="A1" s="63" t="str">
        <f>Project_name</f>
        <v>Property recurrent</v>
      </c>
      <c r="B1" s="14"/>
      <c r="C1" s="11"/>
      <c r="D1" s="11"/>
      <c r="E1" s="11"/>
      <c r="F1" s="12"/>
      <c r="G1" s="12"/>
      <c r="H1" s="11"/>
      <c r="I1" s="11"/>
      <c r="J1" s="11"/>
      <c r="K1" s="11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9" ht="15.75" x14ac:dyDescent="0.25">
      <c r="A2" s="60" t="str">
        <f>Business</f>
        <v>United Energy</v>
      </c>
      <c r="B2" s="13"/>
      <c r="C2" s="11"/>
      <c r="D2" s="11"/>
      <c r="E2" s="11"/>
      <c r="F2" s="12"/>
      <c r="G2" s="12"/>
      <c r="H2" s="11"/>
      <c r="I2" s="11"/>
      <c r="J2" s="11"/>
      <c r="K2" s="11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9" s="32" customFormat="1" ht="15.75" x14ac:dyDescent="0.25">
      <c r="A3" s="30" t="s">
        <v>2</v>
      </c>
      <c r="B3" s="30"/>
      <c r="C3" s="30"/>
      <c r="D3" s="30"/>
      <c r="E3" s="30"/>
      <c r="F3" s="31"/>
      <c r="G3" s="31"/>
      <c r="H3" s="30"/>
      <c r="I3" s="30"/>
      <c r="J3" s="30"/>
      <c r="K3" s="30"/>
      <c r="L3" s="31"/>
      <c r="M3" s="30"/>
      <c r="N3" s="30"/>
      <c r="O3" s="30"/>
      <c r="P3" s="30"/>
      <c r="Q3" s="30"/>
      <c r="R3" s="30"/>
      <c r="S3" s="30"/>
      <c r="T3" s="13"/>
      <c r="U3" s="11"/>
      <c r="V3" s="11"/>
      <c r="W3" s="11"/>
      <c r="X3" s="11"/>
      <c r="Z3" s="48" t="b">
        <f>SUM(Z7:Z53)=0</f>
        <v>1</v>
      </c>
    </row>
    <row r="4" spans="1:29" ht="12.75" customHeight="1" x14ac:dyDescent="0.25">
      <c r="B4" s="15"/>
      <c r="C4" s="16"/>
      <c r="D4" s="16"/>
      <c r="E4" s="16"/>
      <c r="F4" s="17"/>
      <c r="G4" s="17"/>
      <c r="H4" s="16"/>
      <c r="I4" s="16"/>
      <c r="J4" s="16"/>
      <c r="K4" s="16"/>
      <c r="L4" s="17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9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7"/>
      <c r="G5" s="17"/>
      <c r="H5" s="16"/>
      <c r="I5" s="16"/>
      <c r="J5" s="16"/>
      <c r="K5" s="16"/>
      <c r="L5" s="17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9" ht="12.75" customHeight="1" x14ac:dyDescent="0.2">
      <c r="A6" s="4"/>
      <c r="J6" s="16"/>
    </row>
    <row r="7" spans="1:29" ht="12.75" customHeight="1" x14ac:dyDescent="0.2">
      <c r="A7" s="4"/>
      <c r="C7" s="50" t="s">
        <v>40</v>
      </c>
      <c r="D7" s="65" t="s">
        <v>41</v>
      </c>
      <c r="E7" s="65" t="s">
        <v>42</v>
      </c>
      <c r="F7" s="123" t="s">
        <v>59</v>
      </c>
      <c r="G7" s="123" t="s">
        <v>61</v>
      </c>
      <c r="H7" s="65" t="s">
        <v>76</v>
      </c>
      <c r="I7" s="110" t="s">
        <v>43</v>
      </c>
      <c r="J7" s="16"/>
      <c r="K7" s="19" t="s">
        <v>10</v>
      </c>
      <c r="L7" s="19" t="s">
        <v>44</v>
      </c>
      <c r="N7" s="19" t="s">
        <v>45</v>
      </c>
      <c r="O7" s="20"/>
      <c r="P7" s="20"/>
      <c r="Q7" s="20"/>
      <c r="R7" s="20"/>
      <c r="T7" s="19" t="s">
        <v>46</v>
      </c>
      <c r="U7" s="20"/>
      <c r="V7" s="20"/>
      <c r="W7" s="20"/>
      <c r="X7" s="20"/>
    </row>
    <row r="8" spans="1:29" ht="12.75" customHeight="1" x14ac:dyDescent="0.2">
      <c r="A8" s="4"/>
      <c r="B8" s="4"/>
      <c r="C8" s="100"/>
      <c r="D8" s="100" t="s">
        <v>39</v>
      </c>
      <c r="E8" s="100"/>
      <c r="F8" s="109" t="s">
        <v>60</v>
      </c>
      <c r="G8" s="109" t="s">
        <v>60</v>
      </c>
      <c r="H8" s="100"/>
      <c r="I8" s="100" t="s">
        <v>47</v>
      </c>
      <c r="J8" s="16"/>
      <c r="K8" s="109" t="s">
        <v>48</v>
      </c>
      <c r="L8" s="100"/>
      <c r="N8" s="51" t="s">
        <v>5</v>
      </c>
      <c r="O8" s="51" t="s">
        <v>6</v>
      </c>
      <c r="P8" s="51" t="s">
        <v>7</v>
      </c>
      <c r="Q8" s="51" t="s">
        <v>8</v>
      </c>
      <c r="R8" s="51" t="s">
        <v>9</v>
      </c>
      <c r="T8" s="51" t="s">
        <v>5</v>
      </c>
      <c r="U8" s="51" t="s">
        <v>6</v>
      </c>
      <c r="V8" s="51" t="s">
        <v>7</v>
      </c>
      <c r="W8" s="51" t="s">
        <v>8</v>
      </c>
      <c r="X8" s="51" t="s">
        <v>9</v>
      </c>
    </row>
    <row r="9" spans="1:29" ht="12.75" customHeight="1" x14ac:dyDescent="0.2">
      <c r="J9" s="16"/>
    </row>
    <row r="10" spans="1:29" ht="12.75" customHeight="1" x14ac:dyDescent="0.2">
      <c r="A10" s="4"/>
      <c r="C10" s="81" t="s">
        <v>85</v>
      </c>
      <c r="D10" s="82" t="s">
        <v>50</v>
      </c>
      <c r="E10" s="82" t="s">
        <v>12</v>
      </c>
      <c r="F10" s="120">
        <v>0</v>
      </c>
      <c r="G10" s="120">
        <v>1</v>
      </c>
      <c r="H10" s="82" t="s">
        <v>65</v>
      </c>
      <c r="I10" s="80" t="s">
        <v>49</v>
      </c>
      <c r="J10" s="2"/>
      <c r="K10" s="64">
        <f>IF($E10="Labour",Assumptions!$B$14,)</f>
        <v>0</v>
      </c>
      <c r="L10" s="9" t="str">
        <f>IF($E10="Labour","Hours","$")</f>
        <v>$</v>
      </c>
      <c r="M10" s="2"/>
      <c r="N10" s="83">
        <v>52894</v>
      </c>
      <c r="O10" s="83">
        <v>52894</v>
      </c>
      <c r="P10" s="83">
        <v>52894</v>
      </c>
      <c r="Q10" s="83">
        <v>52894</v>
      </c>
      <c r="R10" s="83">
        <v>52894</v>
      </c>
      <c r="S10" s="2"/>
      <c r="T10" s="5">
        <f>IF($E10="Labour",$K10*N10,N10)*$F10</f>
        <v>0</v>
      </c>
      <c r="U10" s="5">
        <f t="shared" ref="U10:X10" si="0">IF($E10="Labour",$K10*O10,O10)*$F10</f>
        <v>0</v>
      </c>
      <c r="V10" s="5">
        <f t="shared" si="0"/>
        <v>0</v>
      </c>
      <c r="W10" s="5">
        <f t="shared" si="0"/>
        <v>0</v>
      </c>
      <c r="X10" s="5">
        <f t="shared" si="0"/>
        <v>0</v>
      </c>
      <c r="Y10" s="118"/>
    </row>
    <row r="11" spans="1:29" ht="12.75" customHeight="1" x14ac:dyDescent="0.2">
      <c r="A11" s="4"/>
      <c r="C11" s="81" t="s">
        <v>86</v>
      </c>
      <c r="D11" s="82" t="s">
        <v>50</v>
      </c>
      <c r="E11" s="82" t="s">
        <v>12</v>
      </c>
      <c r="F11" s="120">
        <v>0</v>
      </c>
      <c r="G11" s="120">
        <v>1</v>
      </c>
      <c r="H11" s="82" t="s">
        <v>65</v>
      </c>
      <c r="I11" s="80" t="s">
        <v>49</v>
      </c>
      <c r="J11" s="2"/>
      <c r="K11" s="64">
        <f>IF($E11="Labour",Assumptions!$B$14,)</f>
        <v>0</v>
      </c>
      <c r="L11" s="9" t="str">
        <f t="shared" ref="L11:L39" si="1">IF($E11="Labour","Hours","$")</f>
        <v>$</v>
      </c>
      <c r="M11" s="2"/>
      <c r="N11" s="83">
        <v>49139</v>
      </c>
      <c r="O11" s="83">
        <v>49139</v>
      </c>
      <c r="P11" s="83">
        <v>49139</v>
      </c>
      <c r="Q11" s="83">
        <v>49139</v>
      </c>
      <c r="R11" s="83">
        <v>49139</v>
      </c>
      <c r="S11" s="2"/>
      <c r="T11" s="5">
        <f t="shared" ref="T11:T39" si="2">IF($E11="Labour",$K11*N11,N11)*$F11</f>
        <v>0</v>
      </c>
      <c r="U11" s="5">
        <f t="shared" ref="U11:U39" si="3">IF($E11="Labour",$K11*O11,O11)*$F11</f>
        <v>0</v>
      </c>
      <c r="V11" s="5">
        <f t="shared" ref="V11:V39" si="4">IF($E11="Labour",$K11*P11,P11)*$F11</f>
        <v>0</v>
      </c>
      <c r="W11" s="5">
        <f t="shared" ref="W11:W39" si="5">IF($E11="Labour",$K11*Q11,Q11)*$F11</f>
        <v>0</v>
      </c>
      <c r="X11" s="5">
        <f t="shared" ref="X11:X39" si="6">IF($E11="Labour",$K11*R11,R11)*$F11</f>
        <v>0</v>
      </c>
      <c r="Y11" s="118"/>
    </row>
    <row r="12" spans="1:29" ht="12.75" customHeight="1" x14ac:dyDescent="0.2">
      <c r="A12" s="4"/>
      <c r="C12" s="81" t="s">
        <v>56</v>
      </c>
      <c r="D12" s="82" t="s">
        <v>50</v>
      </c>
      <c r="E12" s="82" t="s">
        <v>12</v>
      </c>
      <c r="F12" s="120">
        <v>0.6</v>
      </c>
      <c r="G12" s="120">
        <v>0.4</v>
      </c>
      <c r="H12" s="82" t="s">
        <v>65</v>
      </c>
      <c r="I12" s="80" t="s">
        <v>49</v>
      </c>
      <c r="J12" s="2"/>
      <c r="K12" s="64">
        <f>IF($E12="Labour",Assumptions!$B$14,)</f>
        <v>0</v>
      </c>
      <c r="L12" s="9" t="str">
        <f t="shared" si="1"/>
        <v>$</v>
      </c>
      <c r="M12" s="2"/>
      <c r="N12" s="83">
        <v>49139</v>
      </c>
      <c r="O12" s="83">
        <v>49139</v>
      </c>
      <c r="P12" s="83">
        <v>49139</v>
      </c>
      <c r="Q12" s="83">
        <v>49139</v>
      </c>
      <c r="R12" s="83">
        <v>49139</v>
      </c>
      <c r="S12" s="2"/>
      <c r="T12" s="5">
        <f t="shared" si="2"/>
        <v>29483.399999999998</v>
      </c>
      <c r="U12" s="5">
        <f t="shared" si="3"/>
        <v>29483.399999999998</v>
      </c>
      <c r="V12" s="5">
        <f t="shared" si="4"/>
        <v>29483.399999999998</v>
      </c>
      <c r="W12" s="5">
        <f t="shared" si="5"/>
        <v>29483.399999999998</v>
      </c>
      <c r="X12" s="5">
        <f t="shared" si="6"/>
        <v>29483.399999999998</v>
      </c>
      <c r="Y12" s="118"/>
    </row>
    <row r="13" spans="1:29" ht="12.75" customHeight="1" x14ac:dyDescent="0.25">
      <c r="A13" s="4"/>
      <c r="C13" s="81" t="s">
        <v>57</v>
      </c>
      <c r="D13" s="82" t="s">
        <v>50</v>
      </c>
      <c r="E13" s="82" t="s">
        <v>10</v>
      </c>
      <c r="F13" s="120">
        <v>0.6</v>
      </c>
      <c r="G13" s="120">
        <v>0.4</v>
      </c>
      <c r="H13" s="82" t="s">
        <v>65</v>
      </c>
      <c r="I13" s="80" t="s">
        <v>49</v>
      </c>
      <c r="J13" s="2"/>
      <c r="K13" s="64">
        <f>IF($E13="Labour",Assumptions!$B$14,)</f>
        <v>145.77740895836223</v>
      </c>
      <c r="L13" s="9" t="str">
        <f t="shared" si="1"/>
        <v>Hours</v>
      </c>
      <c r="M13" s="2"/>
      <c r="N13" s="83">
        <f>59378/K13</f>
        <v>407.31962808421076</v>
      </c>
      <c r="O13" s="83">
        <f>59378/K13</f>
        <v>407.31962808421076</v>
      </c>
      <c r="P13" s="83">
        <f>59378/K13</f>
        <v>407.31962808421076</v>
      </c>
      <c r="Q13" s="83">
        <f>59378/K13</f>
        <v>407.31962808421076</v>
      </c>
      <c r="R13" s="83">
        <f>59378/K13</f>
        <v>407.31962808421076</v>
      </c>
      <c r="S13" s="2"/>
      <c r="T13" s="5">
        <f t="shared" si="2"/>
        <v>35626.799999999996</v>
      </c>
      <c r="U13" s="5">
        <f t="shared" si="3"/>
        <v>35626.799999999996</v>
      </c>
      <c r="V13" s="5">
        <f t="shared" si="4"/>
        <v>35626.799999999996</v>
      </c>
      <c r="W13" s="5">
        <f t="shared" si="5"/>
        <v>35626.799999999996</v>
      </c>
      <c r="X13" s="5">
        <f t="shared" si="6"/>
        <v>35626.799999999996</v>
      </c>
      <c r="Y13" s="118"/>
      <c r="AC13"/>
    </row>
    <row r="14" spans="1:29" ht="12.75" customHeight="1" x14ac:dyDescent="0.25">
      <c r="A14" s="4"/>
      <c r="C14" s="81" t="s">
        <v>55</v>
      </c>
      <c r="D14" s="82" t="s">
        <v>50</v>
      </c>
      <c r="E14" s="82" t="s">
        <v>12</v>
      </c>
      <c r="F14" s="120">
        <v>0.7</v>
      </c>
      <c r="G14" s="120">
        <v>0.3</v>
      </c>
      <c r="H14" s="82" t="s">
        <v>65</v>
      </c>
      <c r="I14" s="80" t="s">
        <v>49</v>
      </c>
      <c r="J14" s="2"/>
      <c r="K14" s="64">
        <f>IF($E14="Labour",Assumptions!$B$14,)</f>
        <v>0</v>
      </c>
      <c r="L14" s="9" t="str">
        <f t="shared" si="1"/>
        <v>$</v>
      </c>
      <c r="M14" s="2"/>
      <c r="N14" s="83">
        <v>75000</v>
      </c>
      <c r="O14" s="83">
        <v>75000</v>
      </c>
      <c r="P14" s="83">
        <v>75000</v>
      </c>
      <c r="Q14" s="83">
        <v>75000</v>
      </c>
      <c r="R14" s="83">
        <v>75000</v>
      </c>
      <c r="S14" s="2"/>
      <c r="T14" s="5">
        <f t="shared" si="2"/>
        <v>52500</v>
      </c>
      <c r="U14" s="5">
        <f t="shared" si="3"/>
        <v>52500</v>
      </c>
      <c r="V14" s="5">
        <f t="shared" si="4"/>
        <v>52500</v>
      </c>
      <c r="W14" s="5">
        <f t="shared" si="5"/>
        <v>52500</v>
      </c>
      <c r="X14" s="5">
        <f t="shared" si="6"/>
        <v>52500</v>
      </c>
      <c r="Y14" s="118"/>
      <c r="AC14"/>
    </row>
    <row r="15" spans="1:29" ht="12.75" customHeight="1" x14ac:dyDescent="0.25">
      <c r="A15" s="4"/>
      <c r="C15" s="81" t="s">
        <v>87</v>
      </c>
      <c r="D15" s="82" t="s">
        <v>50</v>
      </c>
      <c r="E15" s="82" t="s">
        <v>12</v>
      </c>
      <c r="F15" s="120">
        <v>0.6</v>
      </c>
      <c r="G15" s="120">
        <v>0.4</v>
      </c>
      <c r="H15" s="82" t="s">
        <v>65</v>
      </c>
      <c r="I15" s="80" t="s">
        <v>49</v>
      </c>
      <c r="J15" s="2"/>
      <c r="K15" s="64">
        <f>IF($E15="Labour",Assumptions!$B$14,)</f>
        <v>0</v>
      </c>
      <c r="L15" s="9" t="str">
        <f t="shared" si="1"/>
        <v>$</v>
      </c>
      <c r="M15" s="2"/>
      <c r="N15" s="83">
        <v>218400</v>
      </c>
      <c r="O15" s="83">
        <v>218400</v>
      </c>
      <c r="P15" s="83">
        <v>218400</v>
      </c>
      <c r="Q15" s="83">
        <v>218400</v>
      </c>
      <c r="R15" s="83">
        <v>218400</v>
      </c>
      <c r="S15" s="2"/>
      <c r="T15" s="5">
        <f t="shared" si="2"/>
        <v>131040</v>
      </c>
      <c r="U15" s="5">
        <f t="shared" si="3"/>
        <v>131040</v>
      </c>
      <c r="V15" s="5">
        <f t="shared" si="4"/>
        <v>131040</v>
      </c>
      <c r="W15" s="5">
        <f t="shared" si="5"/>
        <v>131040</v>
      </c>
      <c r="X15" s="5">
        <f t="shared" si="6"/>
        <v>131040</v>
      </c>
      <c r="Y15" s="118"/>
      <c r="AC15"/>
    </row>
    <row r="16" spans="1:29" ht="12.75" customHeight="1" x14ac:dyDescent="0.25">
      <c r="A16" s="4"/>
      <c r="C16" s="81" t="s">
        <v>88</v>
      </c>
      <c r="D16" s="82" t="s">
        <v>50</v>
      </c>
      <c r="E16" s="82" t="s">
        <v>10</v>
      </c>
      <c r="F16" s="120">
        <v>0.6</v>
      </c>
      <c r="G16" s="120">
        <v>0.4</v>
      </c>
      <c r="H16" s="82" t="s">
        <v>65</v>
      </c>
      <c r="I16" s="80" t="s">
        <v>49</v>
      </c>
      <c r="J16" s="2"/>
      <c r="K16" s="64">
        <f>IF($E16="Labour",Assumptions!$B$14,)</f>
        <v>145.77740895836223</v>
      </c>
      <c r="L16" s="9" t="str">
        <f t="shared" si="1"/>
        <v>Hours</v>
      </c>
      <c r="M16" s="2"/>
      <c r="N16" s="83">
        <f>134400/K16</f>
        <v>921.95355206503973</v>
      </c>
      <c r="O16" s="83">
        <f>134400/K16</f>
        <v>921.95355206503973</v>
      </c>
      <c r="P16" s="83">
        <f>134400/K16</f>
        <v>921.95355206503973</v>
      </c>
      <c r="Q16" s="83">
        <f>134400/K16</f>
        <v>921.95355206503973</v>
      </c>
      <c r="R16" s="83">
        <f>134400/K16</f>
        <v>921.95355206503973</v>
      </c>
      <c r="S16" s="2"/>
      <c r="T16" s="5">
        <f t="shared" si="2"/>
        <v>80640</v>
      </c>
      <c r="U16" s="5">
        <f t="shared" si="3"/>
        <v>80640</v>
      </c>
      <c r="V16" s="5">
        <f t="shared" si="4"/>
        <v>80640</v>
      </c>
      <c r="W16" s="5">
        <f t="shared" si="5"/>
        <v>80640</v>
      </c>
      <c r="X16" s="5">
        <f t="shared" si="6"/>
        <v>80640</v>
      </c>
      <c r="Y16" s="118"/>
      <c r="AC16"/>
    </row>
    <row r="17" spans="1:29" ht="12.75" customHeight="1" x14ac:dyDescent="0.25">
      <c r="A17" s="4"/>
      <c r="C17" s="81" t="s">
        <v>73</v>
      </c>
      <c r="D17" s="82" t="s">
        <v>50</v>
      </c>
      <c r="E17" s="82" t="s">
        <v>12</v>
      </c>
      <c r="F17" s="120">
        <v>0.6</v>
      </c>
      <c r="G17" s="120">
        <v>0.4</v>
      </c>
      <c r="H17" s="82" t="s">
        <v>65</v>
      </c>
      <c r="I17" s="80" t="s">
        <v>49</v>
      </c>
      <c r="J17" s="2"/>
      <c r="K17" s="64">
        <f>IF($E17="Labour",Assumptions!$B$14,)</f>
        <v>0</v>
      </c>
      <c r="L17" s="9" t="str">
        <f t="shared" si="1"/>
        <v>$</v>
      </c>
      <c r="M17" s="2"/>
      <c r="N17" s="83">
        <v>45000</v>
      </c>
      <c r="O17" s="83">
        <v>45000</v>
      </c>
      <c r="P17" s="83">
        <v>45000</v>
      </c>
      <c r="Q17" s="83">
        <v>45000</v>
      </c>
      <c r="R17" s="83">
        <v>45000</v>
      </c>
      <c r="S17" s="2"/>
      <c r="T17" s="5">
        <f t="shared" si="2"/>
        <v>27000</v>
      </c>
      <c r="U17" s="5">
        <f t="shared" si="3"/>
        <v>27000</v>
      </c>
      <c r="V17" s="5">
        <f t="shared" si="4"/>
        <v>27000</v>
      </c>
      <c r="W17" s="5">
        <f t="shared" si="5"/>
        <v>27000</v>
      </c>
      <c r="X17" s="5">
        <f t="shared" si="6"/>
        <v>27000</v>
      </c>
      <c r="Y17" s="118"/>
      <c r="AC17"/>
    </row>
    <row r="18" spans="1:29" ht="12.75" customHeight="1" x14ac:dyDescent="0.25">
      <c r="A18" s="4"/>
      <c r="C18" s="81" t="s">
        <v>89</v>
      </c>
      <c r="D18" s="82" t="s">
        <v>50</v>
      </c>
      <c r="E18" s="82" t="s">
        <v>12</v>
      </c>
      <c r="F18" s="120">
        <v>0.6</v>
      </c>
      <c r="G18" s="120">
        <v>0.4</v>
      </c>
      <c r="H18" s="82" t="s">
        <v>65</v>
      </c>
      <c r="I18" s="80" t="s">
        <v>49</v>
      </c>
      <c r="J18" s="2"/>
      <c r="K18" s="64">
        <f>IF($E18="Labour",Assumptions!$B$14,)</f>
        <v>0</v>
      </c>
      <c r="L18" s="9" t="str">
        <f t="shared" si="1"/>
        <v>$</v>
      </c>
      <c r="M18" s="2"/>
      <c r="N18" s="83">
        <v>90000</v>
      </c>
      <c r="O18" s="83">
        <v>90000</v>
      </c>
      <c r="P18" s="83">
        <v>90000</v>
      </c>
      <c r="Q18" s="83">
        <v>90000</v>
      </c>
      <c r="R18" s="83">
        <v>90000</v>
      </c>
      <c r="S18" s="2"/>
      <c r="T18" s="5">
        <f t="shared" si="2"/>
        <v>54000</v>
      </c>
      <c r="U18" s="5">
        <f t="shared" si="3"/>
        <v>54000</v>
      </c>
      <c r="V18" s="5">
        <f t="shared" si="4"/>
        <v>54000</v>
      </c>
      <c r="W18" s="5">
        <f t="shared" si="5"/>
        <v>54000</v>
      </c>
      <c r="X18" s="5">
        <f t="shared" si="6"/>
        <v>54000</v>
      </c>
      <c r="Y18" s="118"/>
      <c r="AC18"/>
    </row>
    <row r="19" spans="1:29" ht="12.75" customHeight="1" x14ac:dyDescent="0.25">
      <c r="A19" s="4"/>
      <c r="C19" s="81" t="s">
        <v>90</v>
      </c>
      <c r="D19" s="82" t="s">
        <v>50</v>
      </c>
      <c r="E19" s="82" t="s">
        <v>12</v>
      </c>
      <c r="F19" s="120">
        <v>0.6</v>
      </c>
      <c r="G19" s="120">
        <v>0.4</v>
      </c>
      <c r="H19" s="82" t="s">
        <v>65</v>
      </c>
      <c r="I19" s="80" t="s">
        <v>49</v>
      </c>
      <c r="J19" s="2"/>
      <c r="K19" s="64">
        <f>IF($E19="Labour",Assumptions!$B$14,)</f>
        <v>0</v>
      </c>
      <c r="L19" s="9" t="str">
        <f t="shared" si="1"/>
        <v>$</v>
      </c>
      <c r="M19" s="2"/>
      <c r="N19" s="83">
        <v>80000</v>
      </c>
      <c r="O19" s="83">
        <v>80000</v>
      </c>
      <c r="P19" s="83">
        <v>80000</v>
      </c>
      <c r="Q19" s="83">
        <v>80000</v>
      </c>
      <c r="R19" s="83">
        <v>80000</v>
      </c>
      <c r="S19" s="2"/>
      <c r="T19" s="5">
        <f t="shared" si="2"/>
        <v>48000</v>
      </c>
      <c r="U19" s="5">
        <f t="shared" si="3"/>
        <v>48000</v>
      </c>
      <c r="V19" s="5">
        <f t="shared" si="4"/>
        <v>48000</v>
      </c>
      <c r="W19" s="5">
        <f t="shared" si="5"/>
        <v>48000</v>
      </c>
      <c r="X19" s="5">
        <f t="shared" si="6"/>
        <v>48000</v>
      </c>
      <c r="Y19" s="118"/>
      <c r="AC19"/>
    </row>
    <row r="20" spans="1:29" ht="12.75" customHeight="1" x14ac:dyDescent="0.25">
      <c r="A20" s="4"/>
      <c r="C20" s="81"/>
      <c r="D20" s="82"/>
      <c r="E20" s="82"/>
      <c r="F20" s="119"/>
      <c r="G20" s="119"/>
      <c r="H20" s="82"/>
      <c r="I20" s="80"/>
      <c r="J20" s="2"/>
      <c r="K20" s="64">
        <f>IF($E20="Labour",Assumptions!$B$14,)</f>
        <v>0</v>
      </c>
      <c r="L20" s="9" t="str">
        <f t="shared" si="1"/>
        <v>$</v>
      </c>
      <c r="M20" s="2"/>
      <c r="N20" s="83"/>
      <c r="O20" s="83"/>
      <c r="P20" s="83"/>
      <c r="Q20" s="83"/>
      <c r="R20" s="83"/>
      <c r="S20" s="2"/>
      <c r="T20" s="5">
        <f t="shared" si="2"/>
        <v>0</v>
      </c>
      <c r="U20" s="5">
        <f t="shared" si="3"/>
        <v>0</v>
      </c>
      <c r="V20" s="5">
        <f t="shared" si="4"/>
        <v>0</v>
      </c>
      <c r="W20" s="5">
        <f t="shared" si="5"/>
        <v>0</v>
      </c>
      <c r="X20" s="5">
        <f t="shared" si="6"/>
        <v>0</v>
      </c>
      <c r="Y20" s="118"/>
      <c r="AC20"/>
    </row>
    <row r="21" spans="1:29" ht="12.75" customHeight="1" x14ac:dyDescent="0.25">
      <c r="A21" s="4"/>
      <c r="C21" s="81"/>
      <c r="D21" s="82"/>
      <c r="E21" s="82"/>
      <c r="F21" s="119"/>
      <c r="G21" s="119"/>
      <c r="H21" s="82"/>
      <c r="I21" s="80"/>
      <c r="J21" s="2"/>
      <c r="K21" s="64">
        <f>IF($E21="Labour",Assumptions!$B$14,)</f>
        <v>0</v>
      </c>
      <c r="L21" s="9" t="str">
        <f t="shared" si="1"/>
        <v>$</v>
      </c>
      <c r="M21" s="2"/>
      <c r="N21" s="83"/>
      <c r="O21" s="83"/>
      <c r="P21" s="83"/>
      <c r="Q21" s="83"/>
      <c r="R21" s="83"/>
      <c r="S21" s="2"/>
      <c r="T21" s="5">
        <f t="shared" si="2"/>
        <v>0</v>
      </c>
      <c r="U21" s="5">
        <f t="shared" si="3"/>
        <v>0</v>
      </c>
      <c r="V21" s="5">
        <f t="shared" si="4"/>
        <v>0</v>
      </c>
      <c r="W21" s="5">
        <f t="shared" si="5"/>
        <v>0</v>
      </c>
      <c r="X21" s="5">
        <f t="shared" si="6"/>
        <v>0</v>
      </c>
      <c r="Y21" s="118"/>
      <c r="AC21"/>
    </row>
    <row r="22" spans="1:29" ht="12.75" customHeight="1" x14ac:dyDescent="0.25">
      <c r="A22" s="4"/>
      <c r="C22" s="81"/>
      <c r="D22" s="82"/>
      <c r="E22" s="82"/>
      <c r="F22" s="119"/>
      <c r="G22" s="119"/>
      <c r="H22" s="82"/>
      <c r="I22" s="80"/>
      <c r="J22" s="2"/>
      <c r="K22" s="64">
        <f>IF($E22="Labour",Assumptions!$B$14,)</f>
        <v>0</v>
      </c>
      <c r="L22" s="9" t="str">
        <f t="shared" si="1"/>
        <v>$</v>
      </c>
      <c r="M22" s="2"/>
      <c r="N22" s="83"/>
      <c r="O22" s="83"/>
      <c r="P22" s="83"/>
      <c r="Q22" s="83"/>
      <c r="R22" s="83"/>
      <c r="S22" s="2"/>
      <c r="T22" s="5">
        <f t="shared" si="2"/>
        <v>0</v>
      </c>
      <c r="U22" s="5">
        <f t="shared" si="3"/>
        <v>0</v>
      </c>
      <c r="V22" s="5">
        <f t="shared" si="4"/>
        <v>0</v>
      </c>
      <c r="W22" s="5">
        <f t="shared" si="5"/>
        <v>0</v>
      </c>
      <c r="X22" s="5">
        <f t="shared" si="6"/>
        <v>0</v>
      </c>
      <c r="Y22" s="118"/>
      <c r="AC22"/>
    </row>
    <row r="23" spans="1:29" ht="12.75" customHeight="1" x14ac:dyDescent="0.25">
      <c r="A23" s="4"/>
      <c r="C23" s="81" t="s">
        <v>58</v>
      </c>
      <c r="D23" s="82" t="s">
        <v>50</v>
      </c>
      <c r="E23" s="82" t="s">
        <v>12</v>
      </c>
      <c r="F23" s="120">
        <v>0.7</v>
      </c>
      <c r="G23" s="120">
        <v>0.3</v>
      </c>
      <c r="H23" s="82" t="s">
        <v>65</v>
      </c>
      <c r="I23" s="80" t="s">
        <v>49</v>
      </c>
      <c r="J23" s="2"/>
      <c r="K23" s="64">
        <f>IF($E23="Labour",Assumptions!$B$14,)</f>
        <v>0</v>
      </c>
      <c r="L23" s="9" t="str">
        <f t="shared" si="1"/>
        <v>$</v>
      </c>
      <c r="M23" s="2"/>
      <c r="N23" s="83">
        <v>86190</v>
      </c>
      <c r="O23" s="83">
        <v>86190</v>
      </c>
      <c r="P23" s="83">
        <v>86190</v>
      </c>
      <c r="Q23" s="83">
        <v>86190</v>
      </c>
      <c r="R23" s="83">
        <v>86190</v>
      </c>
      <c r="S23" s="2"/>
      <c r="T23" s="5">
        <f t="shared" si="2"/>
        <v>60332.999999999993</v>
      </c>
      <c r="U23" s="5">
        <f t="shared" si="3"/>
        <v>60332.999999999993</v>
      </c>
      <c r="V23" s="5">
        <f t="shared" si="4"/>
        <v>60332.999999999993</v>
      </c>
      <c r="W23" s="5">
        <f t="shared" si="5"/>
        <v>60332.999999999993</v>
      </c>
      <c r="X23" s="5">
        <f t="shared" si="6"/>
        <v>60332.999999999993</v>
      </c>
      <c r="Y23" s="118"/>
      <c r="AC23"/>
    </row>
    <row r="24" spans="1:29" ht="12.75" customHeight="1" x14ac:dyDescent="0.25">
      <c r="A24" s="4"/>
      <c r="C24" s="81" t="s">
        <v>91</v>
      </c>
      <c r="D24" s="82" t="s">
        <v>50</v>
      </c>
      <c r="E24" s="82" t="s">
        <v>10</v>
      </c>
      <c r="F24" s="120">
        <v>0.7</v>
      </c>
      <c r="G24" s="120">
        <v>0.3</v>
      </c>
      <c r="H24" s="82" t="s">
        <v>65</v>
      </c>
      <c r="I24" s="80" t="s">
        <v>49</v>
      </c>
      <c r="J24" s="2"/>
      <c r="K24" s="64">
        <f>IF($E24="Labour",Assumptions!$B$14,)</f>
        <v>145.77740895836223</v>
      </c>
      <c r="L24" s="9" t="str">
        <f t="shared" si="1"/>
        <v>Hours</v>
      </c>
      <c r="M24" s="2"/>
      <c r="N24" s="83">
        <f>66799/K24</f>
        <v>458.22600687792107</v>
      </c>
      <c r="O24" s="83">
        <f>66799/K24</f>
        <v>458.22600687792107</v>
      </c>
      <c r="P24" s="83">
        <f>66799/K24</f>
        <v>458.22600687792107</v>
      </c>
      <c r="Q24" s="83">
        <f>66799/K24</f>
        <v>458.22600687792107</v>
      </c>
      <c r="R24" s="83">
        <f>66799/K24</f>
        <v>458.22600687792107</v>
      </c>
      <c r="S24" s="2"/>
      <c r="T24" s="5">
        <f t="shared" si="2"/>
        <v>46759.299999999996</v>
      </c>
      <c r="U24" s="5">
        <f t="shared" si="3"/>
        <v>46759.299999999996</v>
      </c>
      <c r="V24" s="5">
        <f t="shared" si="4"/>
        <v>46759.299999999996</v>
      </c>
      <c r="W24" s="5">
        <f t="shared" si="5"/>
        <v>46759.299999999996</v>
      </c>
      <c r="X24" s="5">
        <f t="shared" si="6"/>
        <v>46759.299999999996</v>
      </c>
      <c r="Y24" s="118"/>
      <c r="AC24"/>
    </row>
    <row r="25" spans="1:29" ht="12.75" customHeight="1" x14ac:dyDescent="0.25">
      <c r="A25" s="4"/>
      <c r="C25" s="81"/>
      <c r="D25" s="82"/>
      <c r="E25" s="82"/>
      <c r="F25" s="119"/>
      <c r="G25" s="119"/>
      <c r="H25" s="82"/>
      <c r="I25" s="80"/>
      <c r="J25" s="2"/>
      <c r="K25" s="64">
        <f>IF($E25="Labour",Assumptions!$B$14,)</f>
        <v>0</v>
      </c>
      <c r="L25" s="9" t="str">
        <f t="shared" si="1"/>
        <v>$</v>
      </c>
      <c r="M25" s="2"/>
      <c r="N25" s="83"/>
      <c r="O25" s="83"/>
      <c r="P25" s="83"/>
      <c r="Q25" s="83"/>
      <c r="R25" s="83"/>
      <c r="S25" s="2"/>
      <c r="T25" s="5">
        <f t="shared" si="2"/>
        <v>0</v>
      </c>
      <c r="U25" s="5">
        <f t="shared" si="3"/>
        <v>0</v>
      </c>
      <c r="V25" s="5">
        <f t="shared" si="4"/>
        <v>0</v>
      </c>
      <c r="W25" s="5">
        <f t="shared" si="5"/>
        <v>0</v>
      </c>
      <c r="X25" s="5">
        <f t="shared" si="6"/>
        <v>0</v>
      </c>
      <c r="Y25" s="118"/>
      <c r="AC25"/>
    </row>
    <row r="26" spans="1:29" ht="12.75" customHeight="1" x14ac:dyDescent="0.25">
      <c r="A26" s="4"/>
      <c r="C26" s="81"/>
      <c r="D26" s="82"/>
      <c r="E26" s="82"/>
      <c r="F26" s="119"/>
      <c r="G26" s="119"/>
      <c r="H26" s="82"/>
      <c r="I26" s="80"/>
      <c r="J26" s="2"/>
      <c r="K26" s="64">
        <f>IF($E26="Labour",Assumptions!$B$14,)</f>
        <v>0</v>
      </c>
      <c r="L26" s="9" t="str">
        <f t="shared" si="1"/>
        <v>$</v>
      </c>
      <c r="M26" s="2"/>
      <c r="N26" s="83"/>
      <c r="O26" s="83"/>
      <c r="P26" s="83"/>
      <c r="Q26" s="83"/>
      <c r="R26" s="83"/>
      <c r="S26" s="2"/>
      <c r="T26" s="5">
        <f t="shared" si="2"/>
        <v>0</v>
      </c>
      <c r="U26" s="5">
        <f t="shared" si="3"/>
        <v>0</v>
      </c>
      <c r="V26" s="5">
        <f t="shared" si="4"/>
        <v>0</v>
      </c>
      <c r="W26" s="5">
        <f t="shared" si="5"/>
        <v>0</v>
      </c>
      <c r="X26" s="5">
        <f t="shared" si="6"/>
        <v>0</v>
      </c>
      <c r="Y26" s="118"/>
      <c r="AC26"/>
    </row>
    <row r="27" spans="1:29" ht="12.75" customHeight="1" x14ac:dyDescent="0.25">
      <c r="A27" s="4"/>
      <c r="C27" s="81"/>
      <c r="D27" s="82"/>
      <c r="E27" s="82"/>
      <c r="F27" s="119"/>
      <c r="G27" s="119"/>
      <c r="H27" s="82"/>
      <c r="I27" s="80"/>
      <c r="J27" s="2"/>
      <c r="K27" s="64">
        <f>IF($E27="Labour",Assumptions!$B$14,)</f>
        <v>0</v>
      </c>
      <c r="L27" s="9" t="str">
        <f t="shared" si="1"/>
        <v>$</v>
      </c>
      <c r="M27" s="2"/>
      <c r="N27" s="83"/>
      <c r="O27" s="83"/>
      <c r="P27" s="83"/>
      <c r="Q27" s="83"/>
      <c r="R27" s="83"/>
      <c r="S27" s="2"/>
      <c r="T27" s="5">
        <f t="shared" si="2"/>
        <v>0</v>
      </c>
      <c r="U27" s="5">
        <f t="shared" si="3"/>
        <v>0</v>
      </c>
      <c r="V27" s="5">
        <f t="shared" si="4"/>
        <v>0</v>
      </c>
      <c r="W27" s="5">
        <f t="shared" si="5"/>
        <v>0</v>
      </c>
      <c r="X27" s="5">
        <f t="shared" si="6"/>
        <v>0</v>
      </c>
      <c r="Y27" s="118"/>
      <c r="AC27"/>
    </row>
    <row r="28" spans="1:29" ht="12.75" customHeight="1" x14ac:dyDescent="0.25">
      <c r="A28" s="4"/>
      <c r="C28" s="81" t="s">
        <v>92</v>
      </c>
      <c r="D28" s="82" t="s">
        <v>50</v>
      </c>
      <c r="E28" s="82" t="s">
        <v>10</v>
      </c>
      <c r="F28" s="120">
        <v>0</v>
      </c>
      <c r="G28" s="120">
        <v>1</v>
      </c>
      <c r="H28" s="82" t="s">
        <v>65</v>
      </c>
      <c r="I28" s="80" t="s">
        <v>49</v>
      </c>
      <c r="J28" s="2"/>
      <c r="K28" s="64">
        <f>IF($E28="Labour",Assumptions!$B$14,)</f>
        <v>145.77740895836223</v>
      </c>
      <c r="L28" s="9" t="str">
        <f t="shared" si="1"/>
        <v>Hours</v>
      </c>
      <c r="M28" s="2"/>
      <c r="N28" s="83">
        <v>168</v>
      </c>
      <c r="O28" s="83">
        <v>168</v>
      </c>
      <c r="P28" s="83">
        <v>168</v>
      </c>
      <c r="Q28" s="83">
        <v>168</v>
      </c>
      <c r="R28" s="83">
        <v>168</v>
      </c>
      <c r="S28" s="2"/>
      <c r="T28" s="5">
        <f t="shared" si="2"/>
        <v>0</v>
      </c>
      <c r="U28" s="5">
        <f t="shared" si="3"/>
        <v>0</v>
      </c>
      <c r="V28" s="5">
        <f t="shared" si="4"/>
        <v>0</v>
      </c>
      <c r="W28" s="5">
        <f t="shared" si="5"/>
        <v>0</v>
      </c>
      <c r="X28" s="5">
        <f t="shared" si="6"/>
        <v>0</v>
      </c>
      <c r="Y28" s="118"/>
      <c r="AC28"/>
    </row>
    <row r="29" spans="1:29" ht="12.75" customHeight="1" x14ac:dyDescent="0.25">
      <c r="A29" s="4"/>
      <c r="C29" s="81" t="s">
        <v>93</v>
      </c>
      <c r="D29" s="82" t="s">
        <v>50</v>
      </c>
      <c r="E29" s="82" t="s">
        <v>10</v>
      </c>
      <c r="F29" s="120">
        <v>0</v>
      </c>
      <c r="G29" s="120">
        <v>1</v>
      </c>
      <c r="H29" s="82" t="s">
        <v>65</v>
      </c>
      <c r="I29" s="80" t="s">
        <v>49</v>
      </c>
      <c r="J29" s="2"/>
      <c r="K29" s="64">
        <f>IF($E29="Labour",Assumptions!$B$14,)</f>
        <v>145.77740895836223</v>
      </c>
      <c r="L29" s="9" t="str">
        <f t="shared" si="1"/>
        <v>Hours</v>
      </c>
      <c r="M29" s="2"/>
      <c r="N29" s="83">
        <v>56</v>
      </c>
      <c r="O29" s="83">
        <v>56</v>
      </c>
      <c r="P29" s="83">
        <v>56</v>
      </c>
      <c r="Q29" s="83">
        <v>56</v>
      </c>
      <c r="R29" s="83">
        <v>56</v>
      </c>
      <c r="S29" s="2"/>
      <c r="T29" s="5">
        <f t="shared" si="2"/>
        <v>0</v>
      </c>
      <c r="U29" s="5">
        <f t="shared" si="3"/>
        <v>0</v>
      </c>
      <c r="V29" s="5">
        <f t="shared" si="4"/>
        <v>0</v>
      </c>
      <c r="W29" s="5">
        <f t="shared" si="5"/>
        <v>0</v>
      </c>
      <c r="X29" s="5">
        <f t="shared" si="6"/>
        <v>0</v>
      </c>
      <c r="Y29" s="118"/>
      <c r="AC29"/>
    </row>
    <row r="30" spans="1:29" ht="12.75" customHeight="1" x14ac:dyDescent="0.25">
      <c r="A30" s="4"/>
      <c r="C30" s="81" t="s">
        <v>94</v>
      </c>
      <c r="D30" s="82" t="s">
        <v>50</v>
      </c>
      <c r="E30" s="82" t="s">
        <v>10</v>
      </c>
      <c r="F30" s="120">
        <v>0</v>
      </c>
      <c r="G30" s="120">
        <v>1</v>
      </c>
      <c r="H30" s="82" t="s">
        <v>65</v>
      </c>
      <c r="I30" s="80" t="s">
        <v>49</v>
      </c>
      <c r="J30" s="2"/>
      <c r="K30" s="64">
        <f>IF($E30="Labour",Assumptions!$B$14,)</f>
        <v>145.77740895836223</v>
      </c>
      <c r="L30" s="9" t="str">
        <f t="shared" si="1"/>
        <v>Hours</v>
      </c>
      <c r="M30" s="2"/>
      <c r="N30" s="83">
        <v>28</v>
      </c>
      <c r="O30" s="83">
        <v>28</v>
      </c>
      <c r="P30" s="83">
        <v>28</v>
      </c>
      <c r="Q30" s="83">
        <v>28</v>
      </c>
      <c r="R30" s="83">
        <v>28</v>
      </c>
      <c r="S30" s="2"/>
      <c r="T30" s="5">
        <f t="shared" si="2"/>
        <v>0</v>
      </c>
      <c r="U30" s="5">
        <f t="shared" si="3"/>
        <v>0</v>
      </c>
      <c r="V30" s="5">
        <f t="shared" si="4"/>
        <v>0</v>
      </c>
      <c r="W30" s="5">
        <f t="shared" si="5"/>
        <v>0</v>
      </c>
      <c r="X30" s="5">
        <f t="shared" si="6"/>
        <v>0</v>
      </c>
      <c r="Y30" s="118"/>
      <c r="AC30"/>
    </row>
    <row r="31" spans="1:29" ht="12.75" customHeight="1" x14ac:dyDescent="0.25">
      <c r="A31" s="4"/>
      <c r="C31" s="81" t="s">
        <v>95</v>
      </c>
      <c r="D31" s="82" t="s">
        <v>50</v>
      </c>
      <c r="E31" s="82" t="s">
        <v>10</v>
      </c>
      <c r="F31" s="120">
        <v>0</v>
      </c>
      <c r="G31" s="120">
        <v>1</v>
      </c>
      <c r="H31" s="82" t="s">
        <v>65</v>
      </c>
      <c r="I31" s="80" t="s">
        <v>49</v>
      </c>
      <c r="J31" s="2"/>
      <c r="K31" s="64">
        <f>IF($E31="Labour",Assumptions!$B$14,)</f>
        <v>145.77740895836223</v>
      </c>
      <c r="L31" s="9" t="str">
        <f t="shared" si="1"/>
        <v>Hours</v>
      </c>
      <c r="M31" s="2"/>
      <c r="N31" s="83">
        <v>28</v>
      </c>
      <c r="O31" s="83">
        <v>28</v>
      </c>
      <c r="P31" s="83">
        <v>28</v>
      </c>
      <c r="Q31" s="83">
        <v>28</v>
      </c>
      <c r="R31" s="83">
        <v>28</v>
      </c>
      <c r="S31" s="2"/>
      <c r="T31" s="5">
        <f t="shared" si="2"/>
        <v>0</v>
      </c>
      <c r="U31" s="5">
        <f t="shared" si="3"/>
        <v>0</v>
      </c>
      <c r="V31" s="5">
        <f t="shared" si="4"/>
        <v>0</v>
      </c>
      <c r="W31" s="5">
        <f t="shared" si="5"/>
        <v>0</v>
      </c>
      <c r="X31" s="5">
        <f t="shared" si="6"/>
        <v>0</v>
      </c>
      <c r="Y31" s="118"/>
      <c r="AC31"/>
    </row>
    <row r="32" spans="1:29" ht="12.75" customHeight="1" x14ac:dyDescent="0.25">
      <c r="A32" s="4"/>
      <c r="C32" s="81" t="s">
        <v>96</v>
      </c>
      <c r="D32" s="82" t="s">
        <v>50</v>
      </c>
      <c r="E32" s="82" t="s">
        <v>10</v>
      </c>
      <c r="F32" s="120">
        <v>0</v>
      </c>
      <c r="G32" s="120">
        <v>1</v>
      </c>
      <c r="H32" s="82" t="s">
        <v>65</v>
      </c>
      <c r="I32" s="80" t="s">
        <v>49</v>
      </c>
      <c r="J32" s="2"/>
      <c r="K32" s="64">
        <f>IF($E32="Labour",Assumptions!$B$14,)</f>
        <v>145.77740895836223</v>
      </c>
      <c r="L32" s="9" t="str">
        <f t="shared" si="1"/>
        <v>Hours</v>
      </c>
      <c r="M32" s="2"/>
      <c r="N32" s="83">
        <v>28</v>
      </c>
      <c r="O32" s="83">
        <v>28</v>
      </c>
      <c r="P32" s="83">
        <v>28</v>
      </c>
      <c r="Q32" s="83">
        <v>28</v>
      </c>
      <c r="R32" s="83">
        <v>28</v>
      </c>
      <c r="S32" s="2"/>
      <c r="T32" s="5">
        <f t="shared" si="2"/>
        <v>0</v>
      </c>
      <c r="U32" s="5">
        <f t="shared" si="3"/>
        <v>0</v>
      </c>
      <c r="V32" s="5">
        <f t="shared" si="4"/>
        <v>0</v>
      </c>
      <c r="W32" s="5">
        <f t="shared" si="5"/>
        <v>0</v>
      </c>
      <c r="X32" s="5">
        <f t="shared" si="6"/>
        <v>0</v>
      </c>
      <c r="Y32" s="118"/>
      <c r="AC32"/>
    </row>
    <row r="33" spans="1:29" ht="12.75" customHeight="1" x14ac:dyDescent="0.25">
      <c r="A33" s="4"/>
      <c r="C33" s="81" t="s">
        <v>97</v>
      </c>
      <c r="D33" s="82" t="s">
        <v>50</v>
      </c>
      <c r="E33" s="82" t="s">
        <v>12</v>
      </c>
      <c r="F33" s="120">
        <v>0</v>
      </c>
      <c r="G33" s="120">
        <v>1</v>
      </c>
      <c r="H33" s="82" t="s">
        <v>65</v>
      </c>
      <c r="I33" s="80" t="s">
        <v>49</v>
      </c>
      <c r="J33" s="2"/>
      <c r="K33" s="64">
        <f>IF($E33="Labour",Assumptions!$B$14,)</f>
        <v>0</v>
      </c>
      <c r="L33" s="9" t="str">
        <f t="shared" si="1"/>
        <v>$</v>
      </c>
      <c r="M33" s="2"/>
      <c r="N33" s="83">
        <v>35000</v>
      </c>
      <c r="O33" s="83">
        <v>35000</v>
      </c>
      <c r="P33" s="83">
        <v>35000</v>
      </c>
      <c r="Q33" s="83">
        <v>35000</v>
      </c>
      <c r="R33" s="83">
        <v>35000</v>
      </c>
      <c r="S33" s="2"/>
      <c r="T33" s="5">
        <f t="shared" si="2"/>
        <v>0</v>
      </c>
      <c r="U33" s="5">
        <f t="shared" si="3"/>
        <v>0</v>
      </c>
      <c r="V33" s="5">
        <f t="shared" si="4"/>
        <v>0</v>
      </c>
      <c r="W33" s="5">
        <f t="shared" si="5"/>
        <v>0</v>
      </c>
      <c r="X33" s="5">
        <f t="shared" si="6"/>
        <v>0</v>
      </c>
      <c r="Y33" s="118"/>
      <c r="AC33"/>
    </row>
    <row r="34" spans="1:29" ht="12.75" customHeight="1" x14ac:dyDescent="0.25">
      <c r="A34" s="4"/>
      <c r="C34" s="81" t="s">
        <v>98</v>
      </c>
      <c r="D34" s="82" t="s">
        <v>50</v>
      </c>
      <c r="E34" s="82" t="s">
        <v>12</v>
      </c>
      <c r="F34" s="120">
        <v>0</v>
      </c>
      <c r="G34" s="120">
        <v>1</v>
      </c>
      <c r="H34" s="82" t="s">
        <v>65</v>
      </c>
      <c r="I34" s="80" t="s">
        <v>49</v>
      </c>
      <c r="J34" s="2"/>
      <c r="K34" s="64">
        <f>IF($E34="Labour",Assumptions!$B$14,)</f>
        <v>0</v>
      </c>
      <c r="L34" s="9" t="str">
        <f t="shared" si="1"/>
        <v>$</v>
      </c>
      <c r="M34" s="2"/>
      <c r="N34" s="83">
        <v>140000</v>
      </c>
      <c r="O34" s="83">
        <v>140000</v>
      </c>
      <c r="P34" s="83">
        <v>140000</v>
      </c>
      <c r="Q34" s="83">
        <v>140000</v>
      </c>
      <c r="R34" s="83">
        <v>140000</v>
      </c>
      <c r="S34" s="2"/>
      <c r="T34" s="5">
        <f t="shared" si="2"/>
        <v>0</v>
      </c>
      <c r="U34" s="5">
        <f t="shared" si="3"/>
        <v>0</v>
      </c>
      <c r="V34" s="5">
        <f t="shared" si="4"/>
        <v>0</v>
      </c>
      <c r="W34" s="5">
        <f t="shared" si="5"/>
        <v>0</v>
      </c>
      <c r="X34" s="5">
        <f t="shared" si="6"/>
        <v>0</v>
      </c>
      <c r="Y34" s="118"/>
      <c r="AC34"/>
    </row>
    <row r="35" spans="1:29" ht="12.75" customHeight="1" x14ac:dyDescent="0.25">
      <c r="A35" s="4"/>
      <c r="C35" s="81" t="s">
        <v>99</v>
      </c>
      <c r="D35" s="82" t="s">
        <v>50</v>
      </c>
      <c r="E35" s="82" t="s">
        <v>12</v>
      </c>
      <c r="F35" s="120">
        <v>0</v>
      </c>
      <c r="G35" s="120">
        <v>1</v>
      </c>
      <c r="H35" s="82" t="s">
        <v>65</v>
      </c>
      <c r="I35" s="80" t="s">
        <v>49</v>
      </c>
      <c r="J35" s="2"/>
      <c r="K35" s="64">
        <f>IF($E35="Labour",Assumptions!$B$14,)</f>
        <v>0</v>
      </c>
      <c r="L35" s="9" t="str">
        <f t="shared" si="1"/>
        <v>$</v>
      </c>
      <c r="M35" s="2"/>
      <c r="N35" s="83">
        <v>4200</v>
      </c>
      <c r="O35" s="83">
        <v>4200</v>
      </c>
      <c r="P35" s="83">
        <v>4200</v>
      </c>
      <c r="Q35" s="83">
        <v>4200</v>
      </c>
      <c r="R35" s="83">
        <v>4200</v>
      </c>
      <c r="S35" s="2"/>
      <c r="T35" s="5">
        <f t="shared" si="2"/>
        <v>0</v>
      </c>
      <c r="U35" s="5">
        <f t="shared" si="3"/>
        <v>0</v>
      </c>
      <c r="V35" s="5">
        <f t="shared" si="4"/>
        <v>0</v>
      </c>
      <c r="W35" s="5">
        <f t="shared" si="5"/>
        <v>0</v>
      </c>
      <c r="X35" s="5">
        <f t="shared" si="6"/>
        <v>0</v>
      </c>
      <c r="Y35" s="118"/>
      <c r="AC35"/>
    </row>
    <row r="36" spans="1:29" ht="12.75" customHeight="1" x14ac:dyDescent="0.25">
      <c r="A36" s="4"/>
      <c r="C36" s="81"/>
      <c r="D36" s="82"/>
      <c r="E36" s="82"/>
      <c r="F36" s="119"/>
      <c r="G36" s="119"/>
      <c r="H36" s="82"/>
      <c r="I36" s="80"/>
      <c r="J36" s="2"/>
      <c r="K36" s="64">
        <f>IF($E36="Labour",Assumptions!$B$14,)</f>
        <v>0</v>
      </c>
      <c r="L36" s="9" t="str">
        <f t="shared" si="1"/>
        <v>$</v>
      </c>
      <c r="M36" s="2"/>
      <c r="N36" s="83"/>
      <c r="O36" s="83"/>
      <c r="P36" s="83"/>
      <c r="Q36" s="83"/>
      <c r="R36" s="83"/>
      <c r="S36" s="2"/>
      <c r="T36" s="5">
        <f t="shared" si="2"/>
        <v>0</v>
      </c>
      <c r="U36" s="5">
        <f t="shared" si="3"/>
        <v>0</v>
      </c>
      <c r="V36" s="5">
        <f t="shared" si="4"/>
        <v>0</v>
      </c>
      <c r="W36" s="5">
        <f t="shared" si="5"/>
        <v>0</v>
      </c>
      <c r="X36" s="5">
        <f t="shared" si="6"/>
        <v>0</v>
      </c>
      <c r="Y36" s="118"/>
      <c r="AC36"/>
    </row>
    <row r="37" spans="1:29" ht="12.75" customHeight="1" x14ac:dyDescent="0.25">
      <c r="A37" s="4"/>
      <c r="C37" s="81"/>
      <c r="D37" s="82"/>
      <c r="E37" s="82"/>
      <c r="F37" s="119"/>
      <c r="G37" s="119"/>
      <c r="H37" s="82"/>
      <c r="I37" s="80"/>
      <c r="J37" s="2"/>
      <c r="K37" s="64">
        <f>IF($E37="Labour",Assumptions!$B$14,)</f>
        <v>0</v>
      </c>
      <c r="L37" s="9" t="str">
        <f t="shared" si="1"/>
        <v>$</v>
      </c>
      <c r="M37" s="2"/>
      <c r="N37" s="83"/>
      <c r="O37" s="83"/>
      <c r="P37" s="83"/>
      <c r="Q37" s="83"/>
      <c r="R37" s="83"/>
      <c r="S37" s="2"/>
      <c r="T37" s="5">
        <f t="shared" si="2"/>
        <v>0</v>
      </c>
      <c r="U37" s="5">
        <f t="shared" si="3"/>
        <v>0</v>
      </c>
      <c r="V37" s="5">
        <f t="shared" si="4"/>
        <v>0</v>
      </c>
      <c r="W37" s="5">
        <f t="shared" si="5"/>
        <v>0</v>
      </c>
      <c r="X37" s="5">
        <f t="shared" si="6"/>
        <v>0</v>
      </c>
      <c r="Y37" s="118"/>
      <c r="AC37"/>
    </row>
    <row r="38" spans="1:29" ht="12.75" customHeight="1" x14ac:dyDescent="0.25">
      <c r="A38" s="4"/>
      <c r="C38" s="81"/>
      <c r="D38" s="82"/>
      <c r="E38" s="82"/>
      <c r="F38" s="119"/>
      <c r="G38" s="119"/>
      <c r="H38" s="82"/>
      <c r="I38" s="80"/>
      <c r="J38" s="2"/>
      <c r="K38" s="64">
        <f>IF($E38="Labour",Assumptions!$B$14,)</f>
        <v>0</v>
      </c>
      <c r="L38" s="9" t="str">
        <f t="shared" si="1"/>
        <v>$</v>
      </c>
      <c r="M38" s="2"/>
      <c r="N38" s="83"/>
      <c r="O38" s="83"/>
      <c r="P38" s="83"/>
      <c r="Q38" s="83"/>
      <c r="R38" s="83"/>
      <c r="S38" s="2"/>
      <c r="T38" s="5">
        <f t="shared" si="2"/>
        <v>0</v>
      </c>
      <c r="U38" s="5">
        <f t="shared" si="3"/>
        <v>0</v>
      </c>
      <c r="V38" s="5">
        <f t="shared" si="4"/>
        <v>0</v>
      </c>
      <c r="W38" s="5">
        <f t="shared" si="5"/>
        <v>0</v>
      </c>
      <c r="X38" s="5">
        <f t="shared" si="6"/>
        <v>0</v>
      </c>
      <c r="Y38" s="118"/>
      <c r="AC38"/>
    </row>
    <row r="39" spans="1:29" ht="12.75" customHeight="1" x14ac:dyDescent="0.25">
      <c r="A39" s="4"/>
      <c r="C39" s="81"/>
      <c r="D39" s="117"/>
      <c r="E39" s="82"/>
      <c r="F39" s="120"/>
      <c r="G39" s="120"/>
      <c r="H39" s="82"/>
      <c r="I39" s="80"/>
      <c r="J39" s="2"/>
      <c r="K39" s="64">
        <f>IF($E39="Labour",Assumptions!$B$14,)</f>
        <v>0</v>
      </c>
      <c r="L39" s="9" t="str">
        <f t="shared" si="1"/>
        <v>$</v>
      </c>
      <c r="M39" s="2"/>
      <c r="N39" s="83"/>
      <c r="O39" s="83"/>
      <c r="P39" s="83"/>
      <c r="Q39" s="83"/>
      <c r="R39" s="83"/>
      <c r="S39" s="2"/>
      <c r="T39" s="5">
        <f t="shared" si="2"/>
        <v>0</v>
      </c>
      <c r="U39" s="5">
        <f t="shared" si="3"/>
        <v>0</v>
      </c>
      <c r="V39" s="5">
        <f t="shared" si="4"/>
        <v>0</v>
      </c>
      <c r="W39" s="5">
        <f t="shared" si="5"/>
        <v>0</v>
      </c>
      <c r="X39" s="5">
        <f t="shared" si="6"/>
        <v>0</v>
      </c>
      <c r="Y39" s="118"/>
      <c r="AC39"/>
    </row>
    <row r="40" spans="1:29" ht="12.75" customHeight="1" x14ac:dyDescent="0.25">
      <c r="A40" s="4"/>
      <c r="C40" s="81" t="s">
        <v>78</v>
      </c>
      <c r="D40" s="82" t="s">
        <v>50</v>
      </c>
      <c r="E40" s="82" t="s">
        <v>10</v>
      </c>
      <c r="F40" s="120">
        <v>1</v>
      </c>
      <c r="G40" s="120">
        <v>0</v>
      </c>
      <c r="H40" s="82" t="s">
        <v>77</v>
      </c>
      <c r="I40" s="80" t="s">
        <v>49</v>
      </c>
      <c r="J40" s="2"/>
      <c r="K40" s="145"/>
      <c r="L40" s="9" t="s">
        <v>79</v>
      </c>
      <c r="M40" s="2"/>
      <c r="N40" s="144">
        <v>31090.687690885039</v>
      </c>
      <c r="O40" s="144">
        <v>33361.163599320309</v>
      </c>
      <c r="P40" s="144">
        <v>35795.174623438528</v>
      </c>
      <c r="Q40" s="144">
        <v>38407.933332140427</v>
      </c>
      <c r="R40" s="144">
        <v>45835.470097926176</v>
      </c>
      <c r="S40" s="2"/>
      <c r="T40" s="5">
        <f t="shared" ref="T40:T52" si="7">$F40*N40</f>
        <v>31090.687690885039</v>
      </c>
      <c r="U40" s="5">
        <f t="shared" ref="U40:U52" si="8">$F40*O40</f>
        <v>33361.163599320309</v>
      </c>
      <c r="V40" s="5">
        <f t="shared" ref="V40:V52" si="9">$F40*P40</f>
        <v>35795.174623438528</v>
      </c>
      <c r="W40" s="5">
        <f t="shared" ref="W40:W52" si="10">$F40*Q40</f>
        <v>38407.933332140427</v>
      </c>
      <c r="X40" s="5">
        <f t="shared" ref="X40:X52" si="11">$F40*R40</f>
        <v>45835.470097926176</v>
      </c>
      <c r="AC40"/>
    </row>
    <row r="41" spans="1:29" ht="12.75" customHeight="1" x14ac:dyDescent="0.25">
      <c r="A41" s="4"/>
      <c r="C41" s="81" t="s">
        <v>78</v>
      </c>
      <c r="D41" s="82" t="s">
        <v>50</v>
      </c>
      <c r="E41" s="82" t="s">
        <v>12</v>
      </c>
      <c r="F41" s="120">
        <v>1</v>
      </c>
      <c r="G41" s="120">
        <v>0</v>
      </c>
      <c r="H41" s="82" t="s">
        <v>77</v>
      </c>
      <c r="I41" s="80" t="s">
        <v>49</v>
      </c>
      <c r="J41" s="2"/>
      <c r="K41" s="145"/>
      <c r="L41" s="9" t="s">
        <v>79</v>
      </c>
      <c r="M41" s="2"/>
      <c r="N41" s="144">
        <v>124362.75076354016</v>
      </c>
      <c r="O41" s="144">
        <v>133444.65439728124</v>
      </c>
      <c r="P41" s="144">
        <v>143180.69849375411</v>
      </c>
      <c r="Q41" s="144">
        <v>153631.73332856171</v>
      </c>
      <c r="R41" s="144">
        <v>183341.8803917047</v>
      </c>
      <c r="S41" s="2"/>
      <c r="T41" s="5">
        <f t="shared" si="7"/>
        <v>124362.75076354016</v>
      </c>
      <c r="U41" s="5">
        <f t="shared" si="8"/>
        <v>133444.65439728124</v>
      </c>
      <c r="V41" s="5">
        <f t="shared" si="9"/>
        <v>143180.69849375411</v>
      </c>
      <c r="W41" s="5">
        <f t="shared" si="10"/>
        <v>153631.73332856171</v>
      </c>
      <c r="X41" s="5">
        <f t="shared" si="11"/>
        <v>183341.8803917047</v>
      </c>
      <c r="AC41"/>
    </row>
    <row r="42" spans="1:29" ht="12.75" customHeight="1" x14ac:dyDescent="0.25">
      <c r="A42" s="4"/>
      <c r="C42" s="81"/>
      <c r="D42" s="82"/>
      <c r="E42" s="82"/>
      <c r="F42" s="119"/>
      <c r="G42" s="119"/>
      <c r="H42" s="82"/>
      <c r="I42" s="80"/>
      <c r="J42" s="2"/>
      <c r="K42" s="145"/>
      <c r="L42" s="9" t="s">
        <v>79</v>
      </c>
      <c r="M42" s="2"/>
      <c r="N42" s="83"/>
      <c r="O42" s="83"/>
      <c r="P42" s="83"/>
      <c r="Q42" s="83"/>
      <c r="R42" s="83"/>
      <c r="S42" s="2"/>
      <c r="T42" s="5">
        <f t="shared" si="7"/>
        <v>0</v>
      </c>
      <c r="U42" s="5">
        <f t="shared" si="8"/>
        <v>0</v>
      </c>
      <c r="V42" s="5">
        <f t="shared" si="9"/>
        <v>0</v>
      </c>
      <c r="W42" s="5">
        <f t="shared" si="10"/>
        <v>0</v>
      </c>
      <c r="X42" s="5">
        <f t="shared" si="11"/>
        <v>0</v>
      </c>
      <c r="AC42"/>
    </row>
    <row r="43" spans="1:29" ht="12.75" customHeight="1" x14ac:dyDescent="0.25">
      <c r="A43" s="4"/>
      <c r="C43" s="81"/>
      <c r="D43" s="82"/>
      <c r="E43" s="82"/>
      <c r="F43" s="120"/>
      <c r="G43" s="120"/>
      <c r="H43" s="82"/>
      <c r="I43" s="80"/>
      <c r="J43" s="2"/>
      <c r="K43" s="145"/>
      <c r="L43" s="9" t="s">
        <v>79</v>
      </c>
      <c r="M43" s="2"/>
      <c r="N43" s="83"/>
      <c r="O43" s="83"/>
      <c r="P43" s="83"/>
      <c r="Q43" s="83"/>
      <c r="R43" s="83"/>
      <c r="S43" s="2"/>
      <c r="T43" s="5">
        <f t="shared" si="7"/>
        <v>0</v>
      </c>
      <c r="U43" s="5">
        <f t="shared" si="8"/>
        <v>0</v>
      </c>
      <c r="V43" s="5">
        <f t="shared" si="9"/>
        <v>0</v>
      </c>
      <c r="W43" s="5">
        <f t="shared" si="10"/>
        <v>0</v>
      </c>
      <c r="X43" s="5">
        <f t="shared" si="11"/>
        <v>0</v>
      </c>
      <c r="AC43"/>
    </row>
    <row r="44" spans="1:29" ht="12.75" customHeight="1" x14ac:dyDescent="0.25">
      <c r="A44" s="4"/>
      <c r="C44" s="81"/>
      <c r="D44" s="82"/>
      <c r="E44" s="82"/>
      <c r="F44" s="120"/>
      <c r="G44" s="120"/>
      <c r="H44" s="82"/>
      <c r="I44" s="80"/>
      <c r="J44" s="2"/>
      <c r="K44" s="145"/>
      <c r="L44" s="9" t="s">
        <v>79</v>
      </c>
      <c r="M44" s="2"/>
      <c r="N44" s="83"/>
      <c r="O44" s="83"/>
      <c r="P44" s="83"/>
      <c r="Q44" s="83"/>
      <c r="R44" s="83"/>
      <c r="S44" s="2"/>
      <c r="T44" s="5">
        <f t="shared" si="7"/>
        <v>0</v>
      </c>
      <c r="U44" s="5">
        <f t="shared" si="8"/>
        <v>0</v>
      </c>
      <c r="V44" s="5">
        <f t="shared" si="9"/>
        <v>0</v>
      </c>
      <c r="W44" s="5">
        <f t="shared" si="10"/>
        <v>0</v>
      </c>
      <c r="X44" s="5">
        <f t="shared" si="11"/>
        <v>0</v>
      </c>
      <c r="AC44"/>
    </row>
    <row r="45" spans="1:29" ht="12.75" customHeight="1" x14ac:dyDescent="0.25">
      <c r="A45" s="4"/>
      <c r="C45" s="81"/>
      <c r="D45" s="82"/>
      <c r="E45" s="82"/>
      <c r="F45" s="119"/>
      <c r="G45" s="119"/>
      <c r="H45" s="82"/>
      <c r="I45" s="80"/>
      <c r="J45" s="2"/>
      <c r="K45" s="145"/>
      <c r="L45" s="9" t="s">
        <v>79</v>
      </c>
      <c r="M45" s="2"/>
      <c r="N45" s="83"/>
      <c r="O45" s="83"/>
      <c r="P45" s="83"/>
      <c r="Q45" s="83"/>
      <c r="R45" s="83"/>
      <c r="S45" s="2"/>
      <c r="T45" s="5">
        <f t="shared" si="7"/>
        <v>0</v>
      </c>
      <c r="U45" s="5">
        <f t="shared" si="8"/>
        <v>0</v>
      </c>
      <c r="V45" s="5">
        <f t="shared" si="9"/>
        <v>0</v>
      </c>
      <c r="W45" s="5">
        <f t="shared" si="10"/>
        <v>0</v>
      </c>
      <c r="X45" s="5">
        <f t="shared" si="11"/>
        <v>0</v>
      </c>
      <c r="AC45"/>
    </row>
    <row r="46" spans="1:29" ht="12.75" customHeight="1" x14ac:dyDescent="0.25">
      <c r="A46" s="4"/>
      <c r="C46" s="81"/>
      <c r="D46" s="82"/>
      <c r="E46" s="82"/>
      <c r="F46" s="119"/>
      <c r="G46" s="119"/>
      <c r="H46" s="82"/>
      <c r="I46" s="80"/>
      <c r="J46" s="2"/>
      <c r="K46" s="145"/>
      <c r="L46" s="9" t="s">
        <v>79</v>
      </c>
      <c r="M46" s="2"/>
      <c r="N46" s="83"/>
      <c r="O46" s="83"/>
      <c r="P46" s="83"/>
      <c r="Q46" s="83"/>
      <c r="R46" s="83"/>
      <c r="S46" s="2"/>
      <c r="T46" s="5">
        <f t="shared" si="7"/>
        <v>0</v>
      </c>
      <c r="U46" s="5">
        <f t="shared" si="8"/>
        <v>0</v>
      </c>
      <c r="V46" s="5">
        <f t="shared" si="9"/>
        <v>0</v>
      </c>
      <c r="W46" s="5">
        <f t="shared" si="10"/>
        <v>0</v>
      </c>
      <c r="X46" s="5">
        <f t="shared" si="11"/>
        <v>0</v>
      </c>
      <c r="AC46"/>
    </row>
    <row r="47" spans="1:29" ht="12.75" customHeight="1" x14ac:dyDescent="0.2">
      <c r="A47" s="4"/>
      <c r="C47" s="81" t="s">
        <v>81</v>
      </c>
      <c r="D47" s="82" t="s">
        <v>50</v>
      </c>
      <c r="E47" s="82" t="s">
        <v>12</v>
      </c>
      <c r="F47" s="120">
        <v>1</v>
      </c>
      <c r="G47" s="120">
        <v>0</v>
      </c>
      <c r="H47" s="82" t="s">
        <v>80</v>
      </c>
      <c r="I47" s="80" t="s">
        <v>49</v>
      </c>
      <c r="K47" s="145"/>
      <c r="L47" s="9" t="s">
        <v>79</v>
      </c>
      <c r="N47" s="83">
        <v>888634.50220519304</v>
      </c>
      <c r="O47" s="83">
        <v>235844.26873151</v>
      </c>
      <c r="P47" s="83">
        <v>153112.52518269428</v>
      </c>
      <c r="Q47" s="83">
        <v>498093.11015430948</v>
      </c>
      <c r="R47" s="83">
        <v>0</v>
      </c>
      <c r="T47" s="5">
        <f t="shared" si="7"/>
        <v>888634.50220519304</v>
      </c>
      <c r="U47" s="5">
        <f t="shared" si="8"/>
        <v>235844.26873151</v>
      </c>
      <c r="V47" s="5">
        <f t="shared" si="9"/>
        <v>153112.52518269428</v>
      </c>
      <c r="W47" s="5">
        <f t="shared" si="10"/>
        <v>498093.11015430948</v>
      </c>
      <c r="X47" s="5">
        <f t="shared" si="11"/>
        <v>0</v>
      </c>
    </row>
    <row r="48" spans="1:29" ht="12.75" customHeight="1" x14ac:dyDescent="0.2">
      <c r="A48" s="4"/>
      <c r="C48" s="81" t="s">
        <v>81</v>
      </c>
      <c r="D48" s="82" t="s">
        <v>50</v>
      </c>
      <c r="E48" s="82" t="s">
        <v>13</v>
      </c>
      <c r="F48" s="120">
        <v>1</v>
      </c>
      <c r="G48" s="120">
        <v>0</v>
      </c>
      <c r="H48" s="82" t="s">
        <v>80</v>
      </c>
      <c r="I48" s="80" t="s">
        <v>49</v>
      </c>
      <c r="K48" s="145"/>
      <c r="L48" s="9" t="s">
        <v>79</v>
      </c>
      <c r="N48" s="83">
        <v>380843.35808793985</v>
      </c>
      <c r="O48" s="83">
        <v>101076.11517064716</v>
      </c>
      <c r="P48" s="83">
        <v>65619.653649726126</v>
      </c>
      <c r="Q48" s="83">
        <v>213468.47578041838</v>
      </c>
      <c r="R48" s="83">
        <v>0</v>
      </c>
      <c r="T48" s="5">
        <f t="shared" si="7"/>
        <v>380843.35808793985</v>
      </c>
      <c r="U48" s="5">
        <f t="shared" si="8"/>
        <v>101076.11517064716</v>
      </c>
      <c r="V48" s="5">
        <f t="shared" si="9"/>
        <v>65619.653649726126</v>
      </c>
      <c r="W48" s="5">
        <f t="shared" si="10"/>
        <v>213468.47578041838</v>
      </c>
      <c r="X48" s="5">
        <f t="shared" si="11"/>
        <v>0</v>
      </c>
    </row>
    <row r="49" spans="1:29" ht="12.75" customHeight="1" x14ac:dyDescent="0.2">
      <c r="A49" s="4"/>
      <c r="C49" s="81"/>
      <c r="D49" s="82"/>
      <c r="E49" s="82"/>
      <c r="F49" s="119"/>
      <c r="G49" s="119"/>
      <c r="H49" s="82"/>
      <c r="I49" s="80"/>
      <c r="K49" s="145"/>
      <c r="L49" s="9" t="s">
        <v>79</v>
      </c>
      <c r="N49" s="83"/>
      <c r="O49" s="83"/>
      <c r="P49" s="83"/>
      <c r="Q49" s="83"/>
      <c r="R49" s="83"/>
      <c r="T49" s="5">
        <f t="shared" si="7"/>
        <v>0</v>
      </c>
      <c r="U49" s="5">
        <f t="shared" si="8"/>
        <v>0</v>
      </c>
      <c r="V49" s="5">
        <f t="shared" si="9"/>
        <v>0</v>
      </c>
      <c r="W49" s="5">
        <f t="shared" si="10"/>
        <v>0</v>
      </c>
      <c r="X49" s="5">
        <f t="shared" si="11"/>
        <v>0</v>
      </c>
    </row>
    <row r="50" spans="1:29" ht="12.75" customHeight="1" x14ac:dyDescent="0.2">
      <c r="A50" s="4"/>
      <c r="C50" s="81"/>
      <c r="D50" s="82"/>
      <c r="E50" s="82"/>
      <c r="F50" s="119"/>
      <c r="G50" s="119"/>
      <c r="H50" s="82"/>
      <c r="I50" s="80"/>
      <c r="K50" s="145"/>
      <c r="L50" s="9" t="s">
        <v>79</v>
      </c>
      <c r="N50" s="83"/>
      <c r="O50" s="83"/>
      <c r="P50" s="83"/>
      <c r="Q50" s="83"/>
      <c r="R50" s="83"/>
      <c r="T50" s="5">
        <f t="shared" si="7"/>
        <v>0</v>
      </c>
      <c r="U50" s="5">
        <f t="shared" si="8"/>
        <v>0</v>
      </c>
      <c r="V50" s="5">
        <f t="shared" si="9"/>
        <v>0</v>
      </c>
      <c r="W50" s="5">
        <f t="shared" si="10"/>
        <v>0</v>
      </c>
      <c r="X50" s="5">
        <f t="shared" si="11"/>
        <v>0</v>
      </c>
    </row>
    <row r="51" spans="1:29" ht="12.75" customHeight="1" x14ac:dyDescent="0.2">
      <c r="A51" s="4"/>
      <c r="C51" s="81"/>
      <c r="D51" s="82"/>
      <c r="E51" s="82"/>
      <c r="F51" s="119"/>
      <c r="G51" s="119"/>
      <c r="H51" s="82"/>
      <c r="I51" s="80"/>
      <c r="K51" s="145"/>
      <c r="L51" s="9" t="s">
        <v>79</v>
      </c>
      <c r="N51" s="83"/>
      <c r="O51" s="83"/>
      <c r="P51" s="83"/>
      <c r="Q51" s="83"/>
      <c r="R51" s="83"/>
      <c r="T51" s="5">
        <f t="shared" si="7"/>
        <v>0</v>
      </c>
      <c r="U51" s="5">
        <f t="shared" si="8"/>
        <v>0</v>
      </c>
      <c r="V51" s="5">
        <f t="shared" si="9"/>
        <v>0</v>
      </c>
      <c r="W51" s="5">
        <f t="shared" si="10"/>
        <v>0</v>
      </c>
      <c r="X51" s="5">
        <f t="shared" si="11"/>
        <v>0</v>
      </c>
    </row>
    <row r="52" spans="1:29" ht="12.75" customHeight="1" x14ac:dyDescent="0.2">
      <c r="A52" s="4"/>
      <c r="C52" s="81"/>
      <c r="D52" s="82"/>
      <c r="E52" s="82"/>
      <c r="F52" s="119"/>
      <c r="G52" s="119"/>
      <c r="H52" s="82"/>
      <c r="I52" s="80"/>
      <c r="K52" s="145"/>
      <c r="L52" s="9" t="s">
        <v>79</v>
      </c>
      <c r="N52" s="83"/>
      <c r="O52" s="83"/>
      <c r="P52" s="83"/>
      <c r="Q52" s="83"/>
      <c r="R52" s="83"/>
      <c r="T52" s="5">
        <f t="shared" si="7"/>
        <v>0</v>
      </c>
      <c r="U52" s="5">
        <f t="shared" si="8"/>
        <v>0</v>
      </c>
      <c r="V52" s="5">
        <f t="shared" si="9"/>
        <v>0</v>
      </c>
      <c r="W52" s="5">
        <f t="shared" si="10"/>
        <v>0</v>
      </c>
      <c r="X52" s="5">
        <f t="shared" si="11"/>
        <v>0</v>
      </c>
    </row>
    <row r="53" spans="1:29" ht="12.75" customHeight="1" x14ac:dyDescent="0.25">
      <c r="J53" s="2"/>
      <c r="M53" s="2"/>
      <c r="S53" s="2"/>
      <c r="AC53"/>
    </row>
    <row r="54" spans="1:29" ht="12.75" customHeight="1" x14ac:dyDescent="0.25">
      <c r="J54" s="2"/>
      <c r="M54" s="2"/>
      <c r="S54" s="2"/>
      <c r="AC54"/>
    </row>
    <row r="55" spans="1:29" ht="12.75" customHeight="1" x14ac:dyDescent="0.25">
      <c r="C55" s="3" t="s">
        <v>51</v>
      </c>
      <c r="J55" s="2"/>
      <c r="M55" s="2"/>
      <c r="S55" s="2"/>
      <c r="T55" s="69" t="s">
        <v>5</v>
      </c>
      <c r="U55" s="69" t="s">
        <v>6</v>
      </c>
      <c r="V55" s="69" t="s">
        <v>7</v>
      </c>
      <c r="W55" s="69" t="s">
        <v>8</v>
      </c>
      <c r="X55" s="69" t="s">
        <v>9</v>
      </c>
      <c r="Y55" s="69" t="s">
        <v>0</v>
      </c>
      <c r="AC55"/>
    </row>
    <row r="56" spans="1:29" ht="12.75" customHeight="1" x14ac:dyDescent="0.2">
      <c r="C56" s="24" t="s">
        <v>10</v>
      </c>
      <c r="D56" s="24" t="s">
        <v>50</v>
      </c>
      <c r="E56" s="24"/>
      <c r="F56" s="67"/>
      <c r="G56" s="67"/>
      <c r="H56" s="24"/>
      <c r="I56" s="24" t="s">
        <v>49</v>
      </c>
      <c r="J56" s="2"/>
      <c r="K56" s="66"/>
      <c r="L56" s="67"/>
      <c r="M56" s="2"/>
      <c r="N56" s="24"/>
      <c r="O56" s="24"/>
      <c r="P56" s="24"/>
      <c r="Q56" s="24"/>
      <c r="R56" s="24"/>
      <c r="S56" s="2"/>
      <c r="T56" s="25">
        <f t="shared" ref="T56:X58" si="12">SUMIFS(T$10:T$52,$E$10:$E$52,$C56,$D$10:$D$52,$D56,$I$10:$I$52,$I56)</f>
        <v>194116.78769088502</v>
      </c>
      <c r="U56" s="25">
        <f t="shared" si="12"/>
        <v>196387.26359932029</v>
      </c>
      <c r="V56" s="25">
        <f t="shared" si="12"/>
        <v>198821.27462343851</v>
      </c>
      <c r="W56" s="25">
        <f t="shared" si="12"/>
        <v>201434.03333214042</v>
      </c>
      <c r="X56" s="25">
        <f t="shared" si="12"/>
        <v>208861.57009792616</v>
      </c>
      <c r="Y56" s="71">
        <f>SUM(T56:X56)</f>
        <v>999620.92934371042</v>
      </c>
    </row>
    <row r="57" spans="1:29" ht="12.75" customHeight="1" x14ac:dyDescent="0.2">
      <c r="C57" s="1" t="s">
        <v>12</v>
      </c>
      <c r="D57" s="1" t="s">
        <v>50</v>
      </c>
      <c r="I57" s="1" t="s">
        <v>49</v>
      </c>
      <c r="J57" s="2"/>
      <c r="K57" s="68"/>
      <c r="M57" s="2"/>
      <c r="S57" s="2"/>
      <c r="T57" s="6">
        <f t="shared" si="12"/>
        <v>1415353.6529687331</v>
      </c>
      <c r="U57" s="6">
        <f t="shared" si="12"/>
        <v>771645.32312879129</v>
      </c>
      <c r="V57" s="6">
        <f t="shared" si="12"/>
        <v>698649.62367644848</v>
      </c>
      <c r="W57" s="6">
        <f t="shared" si="12"/>
        <v>1054081.2434828712</v>
      </c>
      <c r="X57" s="6">
        <f t="shared" si="12"/>
        <v>585698.28039170476</v>
      </c>
      <c r="Y57" s="72">
        <f t="shared" ref="Y57:Y65" si="13">SUM(T57:X57)</f>
        <v>4525428.1236485485</v>
      </c>
    </row>
    <row r="58" spans="1:29" ht="12.75" customHeight="1" x14ac:dyDescent="0.2">
      <c r="C58" s="1" t="s">
        <v>13</v>
      </c>
      <c r="D58" s="1" t="s">
        <v>50</v>
      </c>
      <c r="I58" s="1" t="s">
        <v>49</v>
      </c>
      <c r="J58" s="2"/>
      <c r="K58" s="68"/>
      <c r="M58" s="2"/>
      <c r="S58" s="2"/>
      <c r="T58" s="6">
        <f t="shared" si="12"/>
        <v>380843.35808793985</v>
      </c>
      <c r="U58" s="6">
        <f t="shared" si="12"/>
        <v>101076.11517064716</v>
      </c>
      <c r="V58" s="6">
        <f t="shared" si="12"/>
        <v>65619.653649726126</v>
      </c>
      <c r="W58" s="6">
        <f t="shared" si="12"/>
        <v>213468.47578041838</v>
      </c>
      <c r="X58" s="6">
        <f t="shared" si="12"/>
        <v>0</v>
      </c>
      <c r="Y58" s="72">
        <f t="shared" si="13"/>
        <v>761007.60268873151</v>
      </c>
    </row>
    <row r="59" spans="1:29" ht="12.75" customHeight="1" x14ac:dyDescent="0.2">
      <c r="C59" s="21" t="s">
        <v>14</v>
      </c>
      <c r="D59" s="21" t="s">
        <v>50</v>
      </c>
      <c r="E59" s="102"/>
      <c r="F59" s="105"/>
      <c r="G59" s="105"/>
      <c r="H59" s="102"/>
      <c r="I59" s="103"/>
      <c r="J59" s="2"/>
      <c r="K59" s="103"/>
      <c r="L59" s="105"/>
      <c r="M59" s="104"/>
      <c r="N59" s="102"/>
      <c r="O59" s="102"/>
      <c r="P59" s="102"/>
      <c r="Q59" s="102"/>
      <c r="R59" s="102"/>
      <c r="S59" s="2"/>
      <c r="T59" s="22">
        <f t="shared" ref="T59:Y59" si="14">SUM(T56:T58)</f>
        <v>1990313.7987475579</v>
      </c>
      <c r="U59" s="22">
        <f t="shared" si="14"/>
        <v>1069108.7018987588</v>
      </c>
      <c r="V59" s="22">
        <f t="shared" si="14"/>
        <v>963090.55194961303</v>
      </c>
      <c r="W59" s="22">
        <f t="shared" si="14"/>
        <v>1468983.75259543</v>
      </c>
      <c r="X59" s="22">
        <f t="shared" si="14"/>
        <v>794559.85048963095</v>
      </c>
      <c r="Y59" s="22">
        <f t="shared" si="14"/>
        <v>6286056.6556809908</v>
      </c>
    </row>
    <row r="60" spans="1:29" ht="12.75" customHeight="1" x14ac:dyDescent="0.2">
      <c r="C60" s="1" t="s">
        <v>10</v>
      </c>
      <c r="D60" s="1" t="s">
        <v>39</v>
      </c>
      <c r="I60" s="1" t="s">
        <v>49</v>
      </c>
      <c r="J60" s="2"/>
      <c r="K60" s="68"/>
      <c r="M60" s="2"/>
      <c r="S60" s="2"/>
      <c r="T60" s="6">
        <f t="shared" ref="T60:X62" si="15">SUMIFS(T$10:T$52,$E$10:$E$52,$C60,$D$10:$D$52,$D60,$I$10:$I$52,$I60)</f>
        <v>0</v>
      </c>
      <c r="U60" s="6">
        <f t="shared" si="15"/>
        <v>0</v>
      </c>
      <c r="V60" s="6">
        <f t="shared" si="15"/>
        <v>0</v>
      </c>
      <c r="W60" s="6">
        <f t="shared" si="15"/>
        <v>0</v>
      </c>
      <c r="X60" s="6">
        <f t="shared" si="15"/>
        <v>0</v>
      </c>
      <c r="Y60" s="72">
        <f t="shared" si="13"/>
        <v>0</v>
      </c>
    </row>
    <row r="61" spans="1:29" ht="12.75" customHeight="1" x14ac:dyDescent="0.2">
      <c r="C61" s="1" t="s">
        <v>12</v>
      </c>
      <c r="D61" s="1" t="s">
        <v>39</v>
      </c>
      <c r="I61" s="1" t="s">
        <v>49</v>
      </c>
      <c r="J61" s="2"/>
      <c r="K61" s="68"/>
      <c r="M61" s="2"/>
      <c r="S61" s="2"/>
      <c r="T61" s="6">
        <f t="shared" si="15"/>
        <v>0</v>
      </c>
      <c r="U61" s="6">
        <f t="shared" si="15"/>
        <v>0</v>
      </c>
      <c r="V61" s="6">
        <f t="shared" si="15"/>
        <v>0</v>
      </c>
      <c r="W61" s="6">
        <f t="shared" si="15"/>
        <v>0</v>
      </c>
      <c r="X61" s="6">
        <f t="shared" si="15"/>
        <v>0</v>
      </c>
      <c r="Y61" s="72">
        <f t="shared" si="13"/>
        <v>0</v>
      </c>
    </row>
    <row r="62" spans="1:29" ht="12.75" customHeight="1" x14ac:dyDescent="0.2">
      <c r="C62" s="1" t="s">
        <v>13</v>
      </c>
      <c r="D62" s="1" t="s">
        <v>39</v>
      </c>
      <c r="I62" s="1" t="s">
        <v>49</v>
      </c>
      <c r="J62" s="2"/>
      <c r="K62" s="68"/>
      <c r="M62" s="2"/>
      <c r="S62" s="2"/>
      <c r="T62" s="6">
        <f t="shared" si="15"/>
        <v>0</v>
      </c>
      <c r="U62" s="6">
        <f t="shared" si="15"/>
        <v>0</v>
      </c>
      <c r="V62" s="6">
        <f t="shared" si="15"/>
        <v>0</v>
      </c>
      <c r="W62" s="6">
        <f t="shared" si="15"/>
        <v>0</v>
      </c>
      <c r="X62" s="6">
        <f t="shared" si="15"/>
        <v>0</v>
      </c>
      <c r="Y62" s="72">
        <f t="shared" si="13"/>
        <v>0</v>
      </c>
    </row>
    <row r="63" spans="1:29" ht="12.75" customHeight="1" x14ac:dyDescent="0.2">
      <c r="C63" s="21" t="s">
        <v>16</v>
      </c>
      <c r="D63" s="21" t="s">
        <v>39</v>
      </c>
      <c r="E63" s="102"/>
      <c r="F63" s="105"/>
      <c r="G63" s="105"/>
      <c r="H63" s="102"/>
      <c r="I63" s="103"/>
      <c r="J63" s="2"/>
      <c r="K63" s="103"/>
      <c r="L63" s="105"/>
      <c r="M63" s="104"/>
      <c r="N63" s="102"/>
      <c r="O63" s="102"/>
      <c r="P63" s="102"/>
      <c r="Q63" s="102"/>
      <c r="R63" s="102"/>
      <c r="S63" s="2"/>
      <c r="T63" s="22">
        <f t="shared" ref="T63:Y63" si="16">SUM(T60:T62)</f>
        <v>0</v>
      </c>
      <c r="U63" s="22">
        <f t="shared" si="16"/>
        <v>0</v>
      </c>
      <c r="V63" s="22">
        <f t="shared" si="16"/>
        <v>0</v>
      </c>
      <c r="W63" s="22">
        <f t="shared" si="16"/>
        <v>0</v>
      </c>
      <c r="X63" s="22">
        <f t="shared" si="16"/>
        <v>0</v>
      </c>
      <c r="Y63" s="22">
        <f t="shared" si="16"/>
        <v>0</v>
      </c>
    </row>
    <row r="64" spans="1:29" ht="12.75" customHeight="1" x14ac:dyDescent="0.2">
      <c r="I64" s="68"/>
      <c r="J64" s="2"/>
      <c r="K64" s="68"/>
      <c r="M64" s="2"/>
      <c r="S64" s="2"/>
      <c r="T64" s="6"/>
      <c r="U64" s="6"/>
      <c r="V64" s="6"/>
      <c r="W64" s="6"/>
      <c r="X64" s="6"/>
      <c r="Y64" s="72"/>
    </row>
    <row r="65" spans="3:26" ht="12.75" customHeight="1" x14ac:dyDescent="0.2">
      <c r="C65" s="7" t="str">
        <f>"Total Expenditure ($ "&amp;Assumptions!$B$12&amp;")"</f>
        <v>Total Expenditure ($ June 2024)</v>
      </c>
      <c r="D65" s="7"/>
      <c r="E65" s="7"/>
      <c r="F65" s="10"/>
      <c r="G65" s="10"/>
      <c r="H65" s="7"/>
      <c r="I65" s="7"/>
      <c r="J65" s="2"/>
      <c r="K65" s="7"/>
      <c r="L65" s="10"/>
      <c r="M65" s="2"/>
      <c r="N65" s="7"/>
      <c r="O65" s="7"/>
      <c r="P65" s="7"/>
      <c r="Q65" s="7"/>
      <c r="R65" s="7"/>
      <c r="S65" s="2"/>
      <c r="T65" s="8">
        <f>T59+T63</f>
        <v>1990313.7987475579</v>
      </c>
      <c r="U65" s="8">
        <f>U59+U63</f>
        <v>1069108.7018987588</v>
      </c>
      <c r="V65" s="8">
        <f>V59+V63</f>
        <v>963090.55194961303</v>
      </c>
      <c r="W65" s="8">
        <f>W59+W63</f>
        <v>1468983.75259543</v>
      </c>
      <c r="X65" s="8">
        <f>X59+X63</f>
        <v>794559.85048963095</v>
      </c>
      <c r="Y65" s="73">
        <f t="shared" si="13"/>
        <v>6286056.6556809908</v>
      </c>
    </row>
    <row r="66" spans="3:26" ht="12.75" customHeight="1" x14ac:dyDescent="0.2">
      <c r="C66" s="45" t="s">
        <v>52</v>
      </c>
      <c r="D66" s="45"/>
      <c r="E66" s="45"/>
      <c r="F66" s="122"/>
      <c r="G66" s="122"/>
      <c r="H66" s="45"/>
      <c r="I66" s="45"/>
      <c r="J66" s="2"/>
      <c r="K66" s="45"/>
      <c r="L66" s="45"/>
      <c r="M66" s="2"/>
      <c r="N66" s="45"/>
      <c r="O66" s="45"/>
      <c r="P66" s="45"/>
      <c r="Q66" s="45"/>
      <c r="R66" s="45"/>
      <c r="S66" s="2"/>
      <c r="T66" s="46">
        <f>T65-SUM(T$10:T$52)</f>
        <v>0</v>
      </c>
      <c r="U66" s="46">
        <f>U65-SUM(U$10:U$52)</f>
        <v>0</v>
      </c>
      <c r="V66" s="46">
        <f>V65-SUM(V$10:V$52)</f>
        <v>0</v>
      </c>
      <c r="W66" s="46">
        <f>W65-SUM(W$10:W$52)</f>
        <v>0</v>
      </c>
      <c r="X66" s="46">
        <f>X65-SUM(X$10:X$52)</f>
        <v>0</v>
      </c>
      <c r="Y66" s="46">
        <f>Y65-SUM(T$10:X$52)</f>
        <v>0</v>
      </c>
      <c r="Z66" s="46">
        <f>SUM(T66:Y66)</f>
        <v>0</v>
      </c>
    </row>
    <row r="67" spans="3:26" ht="12.75" customHeight="1" x14ac:dyDescent="0.2">
      <c r="J67" s="2"/>
      <c r="M67" s="2"/>
      <c r="S67" s="2"/>
    </row>
    <row r="68" spans="3:26" ht="12.75" customHeight="1" x14ac:dyDescent="0.2">
      <c r="C68" s="55" t="str">
        <f>"NPV ($ "&amp;Assumptions!$B$12&amp;")"</f>
        <v>NPV ($ June 2024)</v>
      </c>
      <c r="D68" s="56">
        <f>NPV(Real_Discount_rate,T65:X65)</f>
        <v>5738817.9599016001</v>
      </c>
      <c r="J68" s="2"/>
      <c r="M68" s="2"/>
      <c r="S68" s="2"/>
    </row>
    <row r="69" spans="3:26" ht="12.75" customHeight="1" x14ac:dyDescent="0.2">
      <c r="J69" s="2"/>
      <c r="M69" s="2"/>
      <c r="S69" s="2"/>
    </row>
    <row r="70" spans="3:26" ht="12.75" customHeight="1" x14ac:dyDescent="0.2">
      <c r="J70" s="2"/>
      <c r="M70" s="2"/>
      <c r="S70" s="2"/>
    </row>
    <row r="71" spans="3:26" ht="12.75" customHeight="1" x14ac:dyDescent="0.2">
      <c r="C71" s="4" t="s">
        <v>51</v>
      </c>
      <c r="I71" s="3"/>
      <c r="J71" s="2"/>
      <c r="M71" s="2"/>
      <c r="S71" s="2"/>
      <c r="T71" s="69" t="s">
        <v>5</v>
      </c>
      <c r="U71" s="69" t="s">
        <v>6</v>
      </c>
      <c r="V71" s="69" t="s">
        <v>7</v>
      </c>
      <c r="W71" s="69" t="s">
        <v>8</v>
      </c>
      <c r="X71" s="69" t="s">
        <v>9</v>
      </c>
      <c r="Y71" s="112" t="s">
        <v>0</v>
      </c>
    </row>
    <row r="72" spans="3:26" ht="12.75" customHeight="1" x14ac:dyDescent="0.2">
      <c r="C72" s="24" t="s">
        <v>65</v>
      </c>
      <c r="D72" s="24" t="s">
        <v>50</v>
      </c>
      <c r="E72" s="24"/>
      <c r="F72" s="24"/>
      <c r="G72" s="24"/>
      <c r="H72" s="24"/>
      <c r="I72" s="24" t="s">
        <v>49</v>
      </c>
      <c r="J72" s="2"/>
      <c r="K72" s="66"/>
      <c r="L72" s="67"/>
      <c r="M72" s="2"/>
      <c r="N72" s="24"/>
      <c r="O72" s="24"/>
      <c r="P72" s="24"/>
      <c r="Q72" s="24"/>
      <c r="R72" s="24"/>
      <c r="S72" s="2"/>
      <c r="T72" s="25">
        <f t="shared" ref="T72:X75" si="17">SUMIFS(T$10:T$52,$D$10:$D$52,$D72,$I$10:$I$52,$I72,$H$10:$H$52,$C72)</f>
        <v>565382.5</v>
      </c>
      <c r="U72" s="25">
        <f t="shared" si="17"/>
        <v>565382.5</v>
      </c>
      <c r="V72" s="25">
        <f t="shared" si="17"/>
        <v>565382.5</v>
      </c>
      <c r="W72" s="25">
        <f t="shared" si="17"/>
        <v>565382.5</v>
      </c>
      <c r="X72" s="25">
        <f t="shared" si="17"/>
        <v>565382.5</v>
      </c>
      <c r="Y72" s="25">
        <f t="shared" ref="Y72:Y75" si="18">SUM(T72:X72)</f>
        <v>2826912.5</v>
      </c>
    </row>
    <row r="73" spans="3:26" ht="12.75" customHeight="1" x14ac:dyDescent="0.2">
      <c r="C73" s="1" t="s">
        <v>65</v>
      </c>
      <c r="D73" s="1" t="s">
        <v>39</v>
      </c>
      <c r="F73" s="1"/>
      <c r="G73" s="1"/>
      <c r="I73" s="1" t="s">
        <v>49</v>
      </c>
      <c r="J73" s="2"/>
      <c r="M73" s="2"/>
      <c r="S73" s="2"/>
      <c r="T73" s="6">
        <f t="shared" si="17"/>
        <v>0</v>
      </c>
      <c r="U73" s="6">
        <f t="shared" si="17"/>
        <v>0</v>
      </c>
      <c r="V73" s="6">
        <f t="shared" si="17"/>
        <v>0</v>
      </c>
      <c r="W73" s="6">
        <f t="shared" si="17"/>
        <v>0</v>
      </c>
      <c r="X73" s="6">
        <f t="shared" si="17"/>
        <v>0</v>
      </c>
      <c r="Y73" s="6">
        <f t="shared" si="18"/>
        <v>0</v>
      </c>
    </row>
    <row r="74" spans="3:26" ht="12.75" customHeight="1" x14ac:dyDescent="0.2">
      <c r="C74" s="1" t="s">
        <v>77</v>
      </c>
      <c r="D74" s="1" t="s">
        <v>50</v>
      </c>
      <c r="F74" s="1"/>
      <c r="G74" s="1"/>
      <c r="I74" s="1" t="s">
        <v>49</v>
      </c>
      <c r="J74" s="2"/>
      <c r="K74" s="68"/>
      <c r="M74" s="2"/>
      <c r="S74" s="2"/>
      <c r="T74" s="6">
        <f t="shared" si="17"/>
        <v>155453.4384544252</v>
      </c>
      <c r="U74" s="6">
        <f t="shared" si="17"/>
        <v>166805.81799660155</v>
      </c>
      <c r="V74" s="6">
        <f t="shared" si="17"/>
        <v>178975.87311719265</v>
      </c>
      <c r="W74" s="6">
        <f t="shared" si="17"/>
        <v>192039.66666070215</v>
      </c>
      <c r="X74" s="6">
        <f t="shared" si="17"/>
        <v>229177.35048963089</v>
      </c>
      <c r="Y74" s="6">
        <f t="shared" si="18"/>
        <v>922452.14671855234</v>
      </c>
    </row>
    <row r="75" spans="3:26" ht="12.75" customHeight="1" x14ac:dyDescent="0.2">
      <c r="C75" s="1" t="s">
        <v>80</v>
      </c>
      <c r="D75" s="1" t="s">
        <v>50</v>
      </c>
      <c r="F75" s="1"/>
      <c r="G75" s="1"/>
      <c r="I75" s="1" t="s">
        <v>49</v>
      </c>
      <c r="J75" s="2"/>
      <c r="K75" s="68"/>
      <c r="M75" s="2"/>
      <c r="S75" s="2"/>
      <c r="T75" s="146">
        <f t="shared" si="17"/>
        <v>1269477.860293133</v>
      </c>
      <c r="U75" s="146">
        <f t="shared" si="17"/>
        <v>336920.38390215719</v>
      </c>
      <c r="V75" s="146">
        <f t="shared" si="17"/>
        <v>218732.17883242041</v>
      </c>
      <c r="W75" s="146">
        <f t="shared" si="17"/>
        <v>711561.58593472792</v>
      </c>
      <c r="X75" s="146">
        <f t="shared" si="17"/>
        <v>0</v>
      </c>
      <c r="Y75" s="6">
        <f t="shared" si="18"/>
        <v>2536692.0089624384</v>
      </c>
    </row>
    <row r="76" spans="3:26" ht="12.75" customHeight="1" x14ac:dyDescent="0.2">
      <c r="C76" s="7" t="str">
        <f>"Total Expenditure ($ "&amp;Assumptions!$B$12&amp;")"</f>
        <v>Total Expenditure ($ June 2024)</v>
      </c>
      <c r="D76" s="7"/>
      <c r="E76" s="7"/>
      <c r="F76" s="10"/>
      <c r="G76" s="10"/>
      <c r="H76" s="7"/>
      <c r="I76" s="7"/>
      <c r="J76" s="2"/>
      <c r="K76" s="7"/>
      <c r="L76" s="10"/>
      <c r="M76" s="2"/>
      <c r="N76" s="7"/>
      <c r="O76" s="7"/>
      <c r="P76" s="7"/>
      <c r="Q76" s="7"/>
      <c r="R76" s="7"/>
      <c r="S76" s="2"/>
      <c r="T76" s="8">
        <f t="shared" ref="T76:Y76" si="19">SUM(T72:T75)</f>
        <v>1990313.7987475581</v>
      </c>
      <c r="U76" s="8">
        <f t="shared" si="19"/>
        <v>1069108.7018987588</v>
      </c>
      <c r="V76" s="8">
        <f t="shared" si="19"/>
        <v>963090.55194961303</v>
      </c>
      <c r="W76" s="8">
        <f t="shared" si="19"/>
        <v>1468983.75259543</v>
      </c>
      <c r="X76" s="8">
        <f t="shared" si="19"/>
        <v>794559.85048963083</v>
      </c>
      <c r="Y76" s="8">
        <f t="shared" si="19"/>
        <v>6286056.6556809908</v>
      </c>
    </row>
    <row r="77" spans="3:26" ht="12.75" customHeight="1" x14ac:dyDescent="0.2">
      <c r="C77" s="45" t="s">
        <v>52</v>
      </c>
      <c r="D77" s="45"/>
      <c r="E77" s="45"/>
      <c r="F77" s="122"/>
      <c r="G77" s="122"/>
      <c r="H77" s="45"/>
      <c r="I77" s="45"/>
      <c r="J77" s="2"/>
      <c r="K77" s="45"/>
      <c r="L77" s="45"/>
      <c r="M77" s="2"/>
      <c r="N77" s="45"/>
      <c r="O77" s="45"/>
      <c r="P77" s="45"/>
      <c r="Q77" s="45"/>
      <c r="R77" s="45"/>
      <c r="S77" s="2"/>
      <c r="T77" s="46">
        <f>T76-SUM(T$10:T$52)</f>
        <v>0</v>
      </c>
      <c r="U77" s="46">
        <f>U76-SUM(U$10:U$52)</f>
        <v>0</v>
      </c>
      <c r="V77" s="46">
        <f>V76-SUM(V$10:V$52)</f>
        <v>0</v>
      </c>
      <c r="W77" s="46">
        <f>W76-SUM(W$10:W$52)</f>
        <v>0</v>
      </c>
      <c r="X77" s="46">
        <f>X76-SUM(X$10:X$52)</f>
        <v>0</v>
      </c>
      <c r="Y77" s="46">
        <f>Y76-SUM(T$10:X$52)</f>
        <v>0</v>
      </c>
      <c r="Z77" s="46">
        <f>SUM(T77:Y77)</f>
        <v>0</v>
      </c>
    </row>
    <row r="78" spans="3:26" ht="12.75" customHeight="1" x14ac:dyDescent="0.2">
      <c r="C78" s="114"/>
      <c r="D78" s="114"/>
      <c r="E78" s="114"/>
      <c r="F78" s="121"/>
      <c r="G78" s="121"/>
      <c r="H78" s="114"/>
      <c r="I78" s="114"/>
      <c r="J78" s="2"/>
      <c r="K78" s="114"/>
      <c r="L78" s="114"/>
      <c r="M78" s="2"/>
      <c r="N78" s="114"/>
      <c r="O78" s="114"/>
      <c r="P78" s="114"/>
      <c r="Q78" s="114"/>
      <c r="R78" s="114"/>
      <c r="S78" s="2"/>
      <c r="T78" s="115"/>
      <c r="U78" s="115"/>
      <c r="V78" s="115"/>
      <c r="W78" s="115"/>
      <c r="X78" s="115"/>
      <c r="Y78" s="115"/>
      <c r="Z78" s="115"/>
    </row>
    <row r="79" spans="3:26" ht="12.75" customHeight="1" x14ac:dyDescent="0.2">
      <c r="C79" s="114"/>
      <c r="D79" s="114"/>
      <c r="E79" s="114"/>
      <c r="F79" s="121"/>
      <c r="G79" s="121"/>
      <c r="H79" s="114"/>
      <c r="I79" s="114"/>
      <c r="J79" s="2"/>
      <c r="K79" s="114"/>
      <c r="L79" s="114"/>
      <c r="M79" s="2"/>
      <c r="N79" s="114"/>
      <c r="O79" s="114"/>
      <c r="P79" s="114"/>
      <c r="Q79" s="114"/>
      <c r="R79" s="114"/>
      <c r="S79" s="2"/>
      <c r="T79" s="115"/>
      <c r="U79" s="115"/>
      <c r="V79" s="115"/>
      <c r="W79" s="115"/>
      <c r="X79" s="115"/>
      <c r="Y79" s="115"/>
      <c r="Z79" s="115"/>
    </row>
    <row r="80" spans="3:26" ht="12.75" customHeight="1" x14ac:dyDescent="0.2">
      <c r="C80" s="114"/>
      <c r="D80" s="114"/>
      <c r="E80" s="114"/>
      <c r="F80" s="121"/>
      <c r="G80" s="121"/>
      <c r="H80" s="114"/>
      <c r="I80" s="114"/>
      <c r="J80" s="2"/>
      <c r="K80" s="114"/>
      <c r="L80" s="114"/>
      <c r="M80" s="2"/>
      <c r="N80" s="114"/>
      <c r="O80" s="114"/>
      <c r="P80" s="114"/>
      <c r="Q80" s="114"/>
      <c r="R80" s="114"/>
      <c r="S80" s="2"/>
      <c r="T80" s="115"/>
      <c r="U80" s="115"/>
      <c r="V80" s="115"/>
      <c r="W80" s="115"/>
      <c r="X80" s="115"/>
      <c r="Y80" s="115"/>
      <c r="Z80" s="115"/>
    </row>
    <row r="81" spans="3:26" ht="12.75" customHeight="1" x14ac:dyDescent="0.2">
      <c r="C81" s="76" t="s">
        <v>53</v>
      </c>
      <c r="J81" s="2"/>
      <c r="M81" s="2"/>
      <c r="S81" s="2"/>
      <c r="T81" s="69" t="s">
        <v>5</v>
      </c>
      <c r="U81" s="69" t="s">
        <v>6</v>
      </c>
      <c r="V81" s="69" t="s">
        <v>7</v>
      </c>
      <c r="W81" s="69" t="s">
        <v>8</v>
      </c>
      <c r="X81" s="69" t="s">
        <v>9</v>
      </c>
      <c r="Y81" s="69" t="s">
        <v>0</v>
      </c>
    </row>
    <row r="82" spans="3:26" ht="12.75" customHeight="1" x14ac:dyDescent="0.2">
      <c r="C82" s="24" t="s">
        <v>10</v>
      </c>
      <c r="D82" s="24" t="s">
        <v>50</v>
      </c>
      <c r="E82" s="24"/>
      <c r="F82" s="67"/>
      <c r="G82" s="67"/>
      <c r="H82" s="24"/>
      <c r="I82" s="24" t="s">
        <v>49</v>
      </c>
      <c r="J82" s="2"/>
      <c r="K82" s="66"/>
      <c r="L82" s="67"/>
      <c r="M82" s="2"/>
      <c r="N82" s="24"/>
      <c r="O82" s="24"/>
      <c r="P82" s="24"/>
      <c r="Q82" s="24"/>
      <c r="R82" s="24"/>
      <c r="S82" s="2"/>
      <c r="T82" s="34">
        <f t="shared" ref="T82:X84" si="20">T56*business_case_dollars</f>
        <v>216035.02790295146</v>
      </c>
      <c r="U82" s="34">
        <f t="shared" si="20"/>
        <v>218561.86925483329</v>
      </c>
      <c r="V82" s="34">
        <f t="shared" si="20"/>
        <v>221270.71090509187</v>
      </c>
      <c r="W82" s="34">
        <f t="shared" si="20"/>
        <v>224178.48311404133</v>
      </c>
      <c r="X82" s="34">
        <f t="shared" si="20"/>
        <v>232444.68271240851</v>
      </c>
      <c r="Y82" s="71">
        <f>SUM(T82:X82)</f>
        <v>1112490.7738893265</v>
      </c>
    </row>
    <row r="83" spans="3:26" ht="12.75" customHeight="1" x14ac:dyDescent="0.2">
      <c r="C83" s="1" t="s">
        <v>12</v>
      </c>
      <c r="D83" s="1" t="s">
        <v>50</v>
      </c>
      <c r="I83" s="1" t="s">
        <v>49</v>
      </c>
      <c r="J83" s="2"/>
      <c r="K83" s="68"/>
      <c r="M83" s="2"/>
      <c r="S83" s="2"/>
      <c r="T83" s="6">
        <f t="shared" si="20"/>
        <v>1575164.97954083</v>
      </c>
      <c r="U83" s="6">
        <f t="shared" si="20"/>
        <v>858773.83865825296</v>
      </c>
      <c r="V83" s="6">
        <f t="shared" si="20"/>
        <v>777536.00160371559</v>
      </c>
      <c r="W83" s="6">
        <f t="shared" si="20"/>
        <v>1173100.3462226191</v>
      </c>
      <c r="X83" s="6">
        <f t="shared" si="20"/>
        <v>651831.02323238202</v>
      </c>
      <c r="Y83" s="72">
        <f t="shared" ref="Y83:Y91" si="21">SUM(T83:X83)</f>
        <v>5036406.1892577996</v>
      </c>
    </row>
    <row r="84" spans="3:26" ht="12.75" customHeight="1" x14ac:dyDescent="0.2">
      <c r="C84" s="1" t="s">
        <v>13</v>
      </c>
      <c r="D84" s="1" t="s">
        <v>50</v>
      </c>
      <c r="I84" s="1" t="s">
        <v>49</v>
      </c>
      <c r="J84" s="2"/>
      <c r="K84" s="68"/>
      <c r="M84" s="2"/>
      <c r="S84" s="2"/>
      <c r="T84" s="6">
        <f t="shared" si="20"/>
        <v>423845.38951983268</v>
      </c>
      <c r="U84" s="6">
        <f t="shared" si="20"/>
        <v>112488.88682407363</v>
      </c>
      <c r="V84" s="6">
        <f t="shared" si="20"/>
        <v>73028.94240025719</v>
      </c>
      <c r="W84" s="6">
        <f t="shared" si="20"/>
        <v>237571.76630730258</v>
      </c>
      <c r="X84" s="6">
        <f t="shared" si="20"/>
        <v>0</v>
      </c>
      <c r="Y84" s="72">
        <f t="shared" si="21"/>
        <v>846934.98505146615</v>
      </c>
    </row>
    <row r="85" spans="3:26" ht="12.75" customHeight="1" x14ac:dyDescent="0.2">
      <c r="C85" s="21" t="s">
        <v>14</v>
      </c>
      <c r="D85" s="21" t="s">
        <v>50</v>
      </c>
      <c r="E85" s="102"/>
      <c r="F85" s="105"/>
      <c r="G85" s="105"/>
      <c r="H85" s="102"/>
      <c r="I85" s="103"/>
      <c r="J85" s="104"/>
      <c r="K85" s="103"/>
      <c r="L85" s="105"/>
      <c r="M85" s="104"/>
      <c r="N85" s="102"/>
      <c r="O85" s="102"/>
      <c r="P85" s="102"/>
      <c r="Q85" s="102"/>
      <c r="R85" s="102"/>
      <c r="S85" s="104"/>
      <c r="T85" s="22">
        <f t="shared" ref="T85:Y85" si="22">SUM(T82:T84)</f>
        <v>2215045.396963614</v>
      </c>
      <c r="U85" s="22">
        <f t="shared" si="22"/>
        <v>1189824.59473716</v>
      </c>
      <c r="V85" s="22">
        <f t="shared" si="22"/>
        <v>1071835.6549090645</v>
      </c>
      <c r="W85" s="22">
        <f t="shared" si="22"/>
        <v>1634850.595643963</v>
      </c>
      <c r="X85" s="22">
        <f t="shared" si="22"/>
        <v>884275.7059447905</v>
      </c>
      <c r="Y85" s="22">
        <f t="shared" si="22"/>
        <v>6995831.9481985923</v>
      </c>
    </row>
    <row r="86" spans="3:26" ht="12.75" customHeight="1" x14ac:dyDescent="0.2">
      <c r="C86" s="1" t="s">
        <v>10</v>
      </c>
      <c r="D86" s="1" t="s">
        <v>39</v>
      </c>
      <c r="I86" s="1" t="s">
        <v>49</v>
      </c>
      <c r="J86" s="2"/>
      <c r="K86" s="68"/>
      <c r="M86" s="2"/>
      <c r="S86" s="2"/>
      <c r="T86" s="116">
        <f t="shared" ref="T86:X88" si="23">T60*business_case_dollars</f>
        <v>0</v>
      </c>
      <c r="U86" s="116">
        <f t="shared" si="23"/>
        <v>0</v>
      </c>
      <c r="V86" s="116">
        <f t="shared" si="23"/>
        <v>0</v>
      </c>
      <c r="W86" s="116">
        <f t="shared" si="23"/>
        <v>0</v>
      </c>
      <c r="X86" s="116">
        <f t="shared" si="23"/>
        <v>0</v>
      </c>
      <c r="Y86" s="72">
        <f>SUM(T86:X86)</f>
        <v>0</v>
      </c>
    </row>
    <row r="87" spans="3:26" ht="12.75" customHeight="1" x14ac:dyDescent="0.2">
      <c r="C87" s="1" t="s">
        <v>12</v>
      </c>
      <c r="D87" s="1" t="s">
        <v>39</v>
      </c>
      <c r="I87" s="1" t="s">
        <v>49</v>
      </c>
      <c r="J87" s="2"/>
      <c r="K87" s="68"/>
      <c r="M87" s="2"/>
      <c r="S87" s="2"/>
      <c r="T87" s="6">
        <f t="shared" si="23"/>
        <v>0</v>
      </c>
      <c r="U87" s="6">
        <f t="shared" si="23"/>
        <v>0</v>
      </c>
      <c r="V87" s="6">
        <f t="shared" si="23"/>
        <v>0</v>
      </c>
      <c r="W87" s="6">
        <f t="shared" si="23"/>
        <v>0</v>
      </c>
      <c r="X87" s="6">
        <f t="shared" si="23"/>
        <v>0</v>
      </c>
      <c r="Y87" s="72">
        <f t="shared" ref="Y87:Y88" si="24">SUM(T87:X87)</f>
        <v>0</v>
      </c>
    </row>
    <row r="88" spans="3:26" ht="12.75" customHeight="1" x14ac:dyDescent="0.2">
      <c r="C88" s="1" t="s">
        <v>13</v>
      </c>
      <c r="D88" s="1" t="s">
        <v>39</v>
      </c>
      <c r="I88" s="1" t="s">
        <v>49</v>
      </c>
      <c r="J88" s="2"/>
      <c r="K88" s="68"/>
      <c r="M88" s="2"/>
      <c r="S88" s="2"/>
      <c r="T88" s="6">
        <f t="shared" si="23"/>
        <v>0</v>
      </c>
      <c r="U88" s="6">
        <f t="shared" si="23"/>
        <v>0</v>
      </c>
      <c r="V88" s="6">
        <f t="shared" si="23"/>
        <v>0</v>
      </c>
      <c r="W88" s="6">
        <f t="shared" si="23"/>
        <v>0</v>
      </c>
      <c r="X88" s="6">
        <f t="shared" si="23"/>
        <v>0</v>
      </c>
      <c r="Y88" s="72">
        <f t="shared" si="24"/>
        <v>0</v>
      </c>
    </row>
    <row r="89" spans="3:26" ht="12.75" customHeight="1" x14ac:dyDescent="0.2">
      <c r="C89" s="21" t="s">
        <v>16</v>
      </c>
      <c r="D89" s="21" t="s">
        <v>39</v>
      </c>
      <c r="E89" s="102"/>
      <c r="F89" s="105"/>
      <c r="G89" s="105"/>
      <c r="H89" s="102"/>
      <c r="I89" s="103"/>
      <c r="J89" s="104"/>
      <c r="K89" s="103"/>
      <c r="L89" s="105"/>
      <c r="M89" s="104"/>
      <c r="N89" s="102"/>
      <c r="O89" s="102"/>
      <c r="P89" s="102"/>
      <c r="Q89" s="102"/>
      <c r="R89" s="102"/>
      <c r="S89" s="104"/>
      <c r="T89" s="22">
        <f t="shared" ref="T89:Y89" si="25">SUM(T86:T88)</f>
        <v>0</v>
      </c>
      <c r="U89" s="22">
        <f t="shared" si="25"/>
        <v>0</v>
      </c>
      <c r="V89" s="22">
        <f t="shared" si="25"/>
        <v>0</v>
      </c>
      <c r="W89" s="22">
        <f t="shared" si="25"/>
        <v>0</v>
      </c>
      <c r="X89" s="22">
        <f t="shared" si="25"/>
        <v>0</v>
      </c>
      <c r="Y89" s="22">
        <f t="shared" si="25"/>
        <v>0</v>
      </c>
    </row>
    <row r="90" spans="3:26" ht="12.75" customHeight="1" x14ac:dyDescent="0.2">
      <c r="J90" s="2"/>
      <c r="K90" s="68"/>
      <c r="M90" s="2"/>
      <c r="S90" s="2"/>
      <c r="T90" s="6"/>
      <c r="U90" s="6"/>
      <c r="V90" s="6"/>
      <c r="W90" s="6"/>
      <c r="X90" s="6"/>
      <c r="Y90" s="72"/>
    </row>
    <row r="91" spans="3:26" x14ac:dyDescent="0.2">
      <c r="C91" s="7" t="str">
        <f>"Total Expenditure ($ "&amp;Assumptions!$C$35&amp;")"</f>
        <v>Total Expenditure ($ June 2026)</v>
      </c>
      <c r="D91" s="7" t="s">
        <v>54</v>
      </c>
      <c r="E91" s="7"/>
      <c r="F91" s="10"/>
      <c r="G91" s="10"/>
      <c r="H91" s="7"/>
      <c r="I91" s="7"/>
      <c r="J91" s="2"/>
      <c r="K91" s="7"/>
      <c r="L91" s="10"/>
      <c r="M91" s="2"/>
      <c r="N91" s="7"/>
      <c r="O91" s="7"/>
      <c r="P91" s="7"/>
      <c r="Q91" s="7"/>
      <c r="R91" s="7"/>
      <c r="S91" s="2"/>
      <c r="T91" s="8">
        <f>T85+T89</f>
        <v>2215045.396963614</v>
      </c>
      <c r="U91" s="8">
        <f>U85+U89</f>
        <v>1189824.59473716</v>
      </c>
      <c r="V91" s="8">
        <f>V85+V89</f>
        <v>1071835.6549090645</v>
      </c>
      <c r="W91" s="8">
        <f>W85+W89</f>
        <v>1634850.595643963</v>
      </c>
      <c r="X91" s="8">
        <f>X85+X89</f>
        <v>884275.7059447905</v>
      </c>
      <c r="Y91" s="73">
        <f t="shared" si="21"/>
        <v>6995831.9481985923</v>
      </c>
    </row>
    <row r="92" spans="3:26" x14ac:dyDescent="0.2">
      <c r="J92" s="2"/>
      <c r="M92" s="2"/>
      <c r="S92" s="2"/>
      <c r="T92" s="46">
        <f>SUM(T10:T52)*business_case_dollars-T91</f>
        <v>0</v>
      </c>
      <c r="U92" s="46">
        <f>SUM(U10:U52)*business_case_dollars-U91</f>
        <v>0</v>
      </c>
      <c r="V92" s="46">
        <f>SUM(V10:V52)*business_case_dollars-V91</f>
        <v>0</v>
      </c>
      <c r="W92" s="46">
        <f>SUM(W10:W52)*business_case_dollars-W91</f>
        <v>0</v>
      </c>
      <c r="X92" s="46">
        <f>SUM(X10:X52)*business_case_dollars-X91</f>
        <v>0</v>
      </c>
      <c r="Y92" s="46">
        <f>SUM(T10:X52)*business_case_dollars-Y91</f>
        <v>0</v>
      </c>
      <c r="Z92" s="46">
        <f>SUM(T92:Y92)</f>
        <v>0</v>
      </c>
    </row>
    <row r="93" spans="3:26" x14ac:dyDescent="0.2">
      <c r="C93" s="55" t="str">
        <f>"NPV ($ "&amp;Assumptions!$C$35&amp;")"</f>
        <v>NPV ($ June 2026)</v>
      </c>
      <c r="D93" s="56">
        <f>NPV(Real_Discount_rate,T91:X91)</f>
        <v>6386803.0830571819</v>
      </c>
      <c r="J93" s="2"/>
      <c r="M93" s="2"/>
      <c r="S93" s="2"/>
      <c r="T93" s="52"/>
      <c r="U93" s="52"/>
      <c r="V93" s="52"/>
      <c r="W93" s="52"/>
      <c r="X93" s="52"/>
    </row>
    <row r="96" spans="3:26" x14ac:dyDescent="0.2">
      <c r="C96" s="4" t="s">
        <v>51</v>
      </c>
      <c r="I96" s="3"/>
      <c r="J96" s="2"/>
      <c r="M96" s="2"/>
      <c r="S96" s="2"/>
      <c r="T96" s="69" t="s">
        <v>5</v>
      </c>
      <c r="U96" s="69" t="s">
        <v>6</v>
      </c>
      <c r="V96" s="69" t="s">
        <v>7</v>
      </c>
      <c r="W96" s="69" t="s">
        <v>8</v>
      </c>
      <c r="X96" s="69" t="s">
        <v>9</v>
      </c>
      <c r="Y96" s="112" t="s">
        <v>0</v>
      </c>
    </row>
    <row r="97" spans="3:26" x14ac:dyDescent="0.2">
      <c r="C97" s="24" t="s">
        <v>65</v>
      </c>
      <c r="D97" s="24" t="s">
        <v>50</v>
      </c>
      <c r="E97" s="24"/>
      <c r="F97" s="24"/>
      <c r="G97" s="24"/>
      <c r="H97" s="24"/>
      <c r="I97" s="24" t="s">
        <v>49</v>
      </c>
      <c r="J97" s="2"/>
      <c r="K97" s="66"/>
      <c r="L97" s="67"/>
      <c r="M97" s="2"/>
      <c r="N97" s="24"/>
      <c r="O97" s="24"/>
      <c r="P97" s="24"/>
      <c r="Q97" s="24"/>
      <c r="R97" s="24"/>
      <c r="S97" s="2"/>
      <c r="T97" s="25">
        <f t="shared" ref="T97:X99" si="26">T72*business_case_dollars</f>
        <v>629221.3343126314</v>
      </c>
      <c r="U97" s="25">
        <f t="shared" si="26"/>
        <v>629221.3343126314</v>
      </c>
      <c r="V97" s="25">
        <f t="shared" si="26"/>
        <v>629221.3343126314</v>
      </c>
      <c r="W97" s="25">
        <f t="shared" si="26"/>
        <v>629221.3343126314</v>
      </c>
      <c r="X97" s="25">
        <f t="shared" si="26"/>
        <v>629221.3343126314</v>
      </c>
      <c r="Y97" s="72">
        <f t="shared" ref="Y97" si="27">SUM(T97:X97)</f>
        <v>3146106.6715631569</v>
      </c>
    </row>
    <row r="98" spans="3:26" x14ac:dyDescent="0.2">
      <c r="C98" s="1" t="s">
        <v>65</v>
      </c>
      <c r="D98" s="1" t="s">
        <v>39</v>
      </c>
      <c r="F98" s="1"/>
      <c r="G98" s="1"/>
      <c r="I98" s="1" t="s">
        <v>49</v>
      </c>
      <c r="J98" s="2"/>
      <c r="M98" s="2"/>
      <c r="S98" s="2"/>
      <c r="T98" s="6">
        <f t="shared" si="26"/>
        <v>0</v>
      </c>
      <c r="U98" s="6">
        <f t="shared" si="26"/>
        <v>0</v>
      </c>
      <c r="V98" s="6">
        <f t="shared" si="26"/>
        <v>0</v>
      </c>
      <c r="W98" s="6">
        <f t="shared" si="26"/>
        <v>0</v>
      </c>
      <c r="X98" s="6">
        <f t="shared" si="26"/>
        <v>0</v>
      </c>
      <c r="Y98" s="72">
        <f t="shared" ref="Y98:Y100" si="28">SUM(T98:X98)</f>
        <v>0</v>
      </c>
    </row>
    <row r="99" spans="3:26" x14ac:dyDescent="0.2">
      <c r="C99" s="1" t="s">
        <v>77</v>
      </c>
      <c r="D99" s="1" t="s">
        <v>50</v>
      </c>
      <c r="F99" s="1"/>
      <c r="G99" s="1"/>
      <c r="I99" s="1" t="s">
        <v>49</v>
      </c>
      <c r="J99" s="2"/>
      <c r="K99" s="68"/>
      <c r="M99" s="2"/>
      <c r="S99" s="2"/>
      <c r="T99" s="6">
        <f t="shared" si="26"/>
        <v>173006.09758487387</v>
      </c>
      <c r="U99" s="6">
        <f t="shared" si="26"/>
        <v>185640.30434428298</v>
      </c>
      <c r="V99" s="6">
        <f t="shared" si="26"/>
        <v>199184.51259557588</v>
      </c>
      <c r="W99" s="6">
        <f t="shared" si="26"/>
        <v>213723.37364032309</v>
      </c>
      <c r="X99" s="6">
        <f t="shared" si="26"/>
        <v>255054.37163215902</v>
      </c>
      <c r="Y99" s="72">
        <f t="shared" si="28"/>
        <v>1026608.6597972148</v>
      </c>
    </row>
    <row r="100" spans="3:26" x14ac:dyDescent="0.2">
      <c r="C100" s="1" t="s">
        <v>80</v>
      </c>
      <c r="D100" s="1" t="s">
        <v>50</v>
      </c>
      <c r="F100" s="1"/>
      <c r="G100" s="1"/>
      <c r="I100" s="1" t="s">
        <v>49</v>
      </c>
      <c r="J100" s="2"/>
      <c r="K100" s="68"/>
      <c r="M100" s="2"/>
      <c r="S100" s="2"/>
      <c r="T100" s="146">
        <f t="shared" ref="T100:X100" si="29">T75*business_case_dollars</f>
        <v>1412817.9650661091</v>
      </c>
      <c r="U100" s="146">
        <f t="shared" si="29"/>
        <v>374962.95608024544</v>
      </c>
      <c r="V100" s="146">
        <f t="shared" si="29"/>
        <v>243429.80800085727</v>
      </c>
      <c r="W100" s="146">
        <f t="shared" si="29"/>
        <v>791905.88769100851</v>
      </c>
      <c r="X100" s="146">
        <f t="shared" si="29"/>
        <v>0</v>
      </c>
      <c r="Y100" s="149">
        <f t="shared" si="28"/>
        <v>2823116.6168382205</v>
      </c>
    </row>
    <row r="101" spans="3:26" x14ac:dyDescent="0.2">
      <c r="C101" s="7" t="str">
        <f>"Total Expenditure ($ "&amp;Assumptions!$C$35&amp;")"</f>
        <v>Total Expenditure ($ June 2026)</v>
      </c>
      <c r="D101" s="7"/>
      <c r="E101" s="7"/>
      <c r="F101" s="10"/>
      <c r="G101" s="10"/>
      <c r="H101" s="7"/>
      <c r="I101" s="7"/>
      <c r="J101" s="2"/>
      <c r="K101" s="7"/>
      <c r="L101" s="10"/>
      <c r="M101" s="2"/>
      <c r="N101" s="7"/>
      <c r="O101" s="7"/>
      <c r="P101" s="7"/>
      <c r="Q101" s="7"/>
      <c r="R101" s="7"/>
      <c r="S101" s="2"/>
      <c r="T101" s="8">
        <f t="shared" ref="T101:Y101" si="30">SUM(T97:T100)</f>
        <v>2215045.3969636145</v>
      </c>
      <c r="U101" s="8">
        <f t="shared" si="30"/>
        <v>1189824.5947371598</v>
      </c>
      <c r="V101" s="8">
        <f t="shared" si="30"/>
        <v>1071835.6549090645</v>
      </c>
      <c r="W101" s="8">
        <f t="shared" si="30"/>
        <v>1634850.595643963</v>
      </c>
      <c r="X101" s="8">
        <f t="shared" si="30"/>
        <v>884275.70594479039</v>
      </c>
      <c r="Y101" s="8">
        <f t="shared" si="30"/>
        <v>6995831.9481985923</v>
      </c>
    </row>
    <row r="102" spans="3:26" x14ac:dyDescent="0.2">
      <c r="C102" s="45" t="s">
        <v>52</v>
      </c>
      <c r="D102" s="45"/>
      <c r="E102" s="45"/>
      <c r="F102" s="122"/>
      <c r="G102" s="122"/>
      <c r="H102" s="45"/>
      <c r="I102" s="45"/>
      <c r="J102" s="2"/>
      <c r="K102" s="45"/>
      <c r="L102" s="45"/>
      <c r="M102" s="2"/>
      <c r="N102" s="45"/>
      <c r="O102" s="45"/>
      <c r="P102" s="45"/>
      <c r="Q102" s="45"/>
      <c r="R102" s="45"/>
      <c r="S102" s="2"/>
      <c r="T102" s="46">
        <f>T101-SUM(T$10:T$52)*business_case_dollars</f>
        <v>0</v>
      </c>
      <c r="U102" s="46">
        <f>U101-SUM(U$10:U$52)*business_case_dollars</f>
        <v>0</v>
      </c>
      <c r="V102" s="46">
        <f>V101-SUM(V$10:V$52)*business_case_dollars</f>
        <v>0</v>
      </c>
      <c r="W102" s="46">
        <f>W101-SUM(W$10:W$52)*business_case_dollars</f>
        <v>0</v>
      </c>
      <c r="X102" s="46">
        <f>X101-SUM(X$10:X$52)*business_case_dollars</f>
        <v>0</v>
      </c>
      <c r="Y102" s="46">
        <f>Y101-SUM(T$10:X$52)*business_case_dollars</f>
        <v>0</v>
      </c>
      <c r="Z102" s="46">
        <f>SUM(T102:Y102)</f>
        <v>0</v>
      </c>
    </row>
  </sheetData>
  <conditionalFormatting sqref="K10:K39">
    <cfRule type="expression" dxfId="10" priority="1">
      <formula>$E10="Contracts"</formula>
    </cfRule>
    <cfRule type="expression" dxfId="9" priority="13">
      <formula>$E10="Materials"</formula>
    </cfRule>
    <cfRule type="expression" dxfId="8" priority="14">
      <formula>$E10="Labour"</formula>
    </cfRule>
  </conditionalFormatting>
  <conditionalFormatting sqref="T66:Y66">
    <cfRule type="expression" dxfId="7" priority="8">
      <formula>ABS(T66)&gt;0.001</formula>
    </cfRule>
  </conditionalFormatting>
  <conditionalFormatting sqref="T77:Y80">
    <cfRule type="expression" dxfId="6" priority="5">
      <formula>ABS(T77)&gt;0.001</formula>
    </cfRule>
  </conditionalFormatting>
  <conditionalFormatting sqref="T92:Y92">
    <cfRule type="expression" dxfId="5" priority="9">
      <formula>ABS(T92)&gt;0.001</formula>
    </cfRule>
  </conditionalFormatting>
  <conditionalFormatting sqref="T102:Y102">
    <cfRule type="expression" dxfId="4" priority="2">
      <formula>ABS(T102)&gt;0.001</formula>
    </cfRule>
  </conditionalFormatting>
  <conditionalFormatting sqref="Z66">
    <cfRule type="expression" dxfId="3" priority="18">
      <formula>ABS(Z66)&gt;0.001</formula>
    </cfRule>
  </conditionalFormatting>
  <conditionalFormatting sqref="Z77:Z80">
    <cfRule type="expression" dxfId="2" priority="6">
      <formula>ABS(Z77)&gt;0.001</formula>
    </cfRule>
  </conditionalFormatting>
  <conditionalFormatting sqref="Z92">
    <cfRule type="expression" dxfId="1" priority="10">
      <formula>ABS(Z92)&gt;0.001</formula>
    </cfRule>
  </conditionalFormatting>
  <conditionalFormatting sqref="Z102">
    <cfRule type="expression" dxfId="0" priority="3">
      <formula>ABS(Z102)&gt;0.001</formula>
    </cfRule>
  </conditionalFormatting>
  <dataValidations count="3">
    <dataValidation type="list" allowBlank="1" showInputMessage="1" showErrorMessage="1" sqref="D45:D52 D10:D38 D40:D42" xr:uid="{0BC2CCE9-8E5A-4443-BD56-40A8A3B5E164}">
      <formula1>"Capex, Opex"</formula1>
    </dataValidation>
    <dataValidation type="list" allowBlank="1" showInputMessage="1" showErrorMessage="1" sqref="I10:I52" xr:uid="{0056677F-06F0-4171-A788-E9800796D01C}">
      <formula1>"Recurrent, Non recurrent"</formula1>
    </dataValidation>
    <dataValidation type="list" allowBlank="1" showInputMessage="1" showErrorMessage="1" sqref="E10:E52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UE Summary</vt:lpstr>
      <vt:lpstr>Assumptions</vt:lpstr>
      <vt:lpstr>Option 1</vt:lpstr>
      <vt:lpstr>Option 2</vt:lpstr>
      <vt:lpstr>Option 3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2025-01-28T01:04:32Z</dcterms:created>
  <dcterms:modified xsi:type="dcterms:W3CDTF">2025-01-31T02:13:12Z</dcterms:modified>
  <cp:category/>
  <cp:contentStatus/>
</cp:coreProperties>
</file>