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F6E7E201-2EB3-4347-9217-E8C93CF71F7D}" xr6:coauthVersionLast="47" xr6:coauthVersionMax="47" xr10:uidLastSave="{00000000-0000-0000-0000-000000000000}"/>
  <bookViews>
    <workbookView xWindow="-120" yWindow="-120" windowWidth="29040" windowHeight="15720" tabRatio="896" activeTab="1" xr2:uid="{00000000-000D-0000-FFFF-FFFF00000000}"/>
  </bookViews>
  <sheets>
    <sheet name="Cover" sheetId="88" r:id="rId1"/>
    <sheet name="United Energy Summary" sheetId="82" r:id="rId2"/>
    <sheet name="Assumptions" sheetId="74" r:id="rId3"/>
    <sheet name="Option 1" sheetId="79" r:id="rId4"/>
    <sheet name="Option 2" sheetId="84" r:id="rId5"/>
    <sheet name="Option 3" sheetId="85" r:id="rId6"/>
  </sheets>
  <definedNames>
    <definedName name="Business">Assumptions!$B$8</definedName>
    <definedName name="business_case_dollars">Assumptions!$C$38</definedName>
    <definedName name="consol_capex_input_dollars">Assumptions!#REF!</definedName>
    <definedName name="_xlnm.Print_Area" localSheetId="1">'United Energy Summary'!$A$1:$J$35</definedName>
    <definedName name="Project_name">Assumptions!$B$6</definedName>
    <definedName name="Real_Discount_rate">Assumptions!$B$10</definedName>
    <definedName name="years" localSheetId="3">'Option 1'!$P$8:$T$8</definedName>
    <definedName name="years" localSheetId="4">'Option 2'!$P$8:$T$8</definedName>
    <definedName name="years" localSheetId="5">'Option 3'!$P$8:$T$8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82" l="1"/>
  <c r="F25" i="82"/>
  <c r="F16" i="82"/>
  <c r="D73" i="79"/>
  <c r="D64" i="79"/>
  <c r="D73" i="84"/>
  <c r="D64" i="84"/>
  <c r="D73" i="85"/>
  <c r="D64" i="85"/>
  <c r="D6" i="88" a="1"/>
  <c r="D6" i="88" s="1"/>
  <c r="C5" i="88" a="1"/>
  <c r="C5" i="88" s="1"/>
  <c r="N16" i="84"/>
  <c r="M16" i="84"/>
  <c r="L16" i="84"/>
  <c r="K16" i="84"/>
  <c r="J16" i="84"/>
  <c r="N15" i="84"/>
  <c r="M15" i="84"/>
  <c r="L15" i="84"/>
  <c r="K15" i="84"/>
  <c r="J15" i="84"/>
  <c r="N14" i="84"/>
  <c r="M14" i="84"/>
  <c r="L14" i="84"/>
  <c r="K14" i="84"/>
  <c r="J14" i="84"/>
  <c r="N13" i="84"/>
  <c r="M13" i="84"/>
  <c r="L13" i="84"/>
  <c r="K13" i="84"/>
  <c r="J13" i="84"/>
  <c r="N12" i="84"/>
  <c r="M12" i="84"/>
  <c r="L12" i="84"/>
  <c r="K12" i="84"/>
  <c r="J12" i="84"/>
  <c r="N11" i="84"/>
  <c r="M11" i="84"/>
  <c r="L11" i="84"/>
  <c r="K11" i="84"/>
  <c r="J11" i="84"/>
  <c r="N10" i="84"/>
  <c r="M10" i="84"/>
  <c r="L10" i="84"/>
  <c r="K10" i="84"/>
  <c r="J10" i="84"/>
  <c r="T15" i="85" l="1"/>
  <c r="R15" i="85"/>
  <c r="Q15" i="85"/>
  <c r="T14" i="85"/>
  <c r="R14" i="85"/>
  <c r="Q14" i="85"/>
  <c r="S13" i="85"/>
  <c r="Q13" i="85"/>
  <c r="S12" i="85"/>
  <c r="Q12" i="85"/>
  <c r="T11" i="85"/>
  <c r="S11" i="85"/>
  <c r="R11" i="85"/>
  <c r="Q11" i="85"/>
  <c r="S10" i="85"/>
  <c r="R10" i="85"/>
  <c r="Q10" i="85"/>
  <c r="N11" i="85"/>
  <c r="J11" i="85"/>
  <c r="P11" i="85" s="1"/>
  <c r="N10" i="85"/>
  <c r="T10" i="85" s="1"/>
  <c r="J10" i="85"/>
  <c r="T21" i="84" l="1"/>
  <c r="S21" i="84"/>
  <c r="R21" i="84"/>
  <c r="Q21" i="84"/>
  <c r="P21" i="84"/>
  <c r="T15" i="84"/>
  <c r="S15" i="84"/>
  <c r="R15" i="84"/>
  <c r="Q15" i="84"/>
  <c r="P15" i="84"/>
  <c r="T14" i="84"/>
  <c r="S14" i="84"/>
  <c r="R14" i="84"/>
  <c r="Q14" i="84"/>
  <c r="P14" i="84"/>
  <c r="T13" i="84"/>
  <c r="S13" i="84"/>
  <c r="R13" i="84"/>
  <c r="Q13" i="84"/>
  <c r="P13" i="84"/>
  <c r="T12" i="84"/>
  <c r="S12" i="84"/>
  <c r="R12" i="84"/>
  <c r="Q12" i="84"/>
  <c r="N16" i="85"/>
  <c r="M16" i="85"/>
  <c r="L16" i="85"/>
  <c r="K16" i="85"/>
  <c r="J16" i="85"/>
  <c r="N13" i="85"/>
  <c r="T13" i="85" s="1"/>
  <c r="L13" i="85"/>
  <c r="R13" i="85" s="1"/>
  <c r="N12" i="85"/>
  <c r="T12" i="85" s="1"/>
  <c r="L12" i="85"/>
  <c r="R12" i="85" s="1"/>
  <c r="M15" i="85"/>
  <c r="S15" i="85" s="1"/>
  <c r="M14" i="85"/>
  <c r="S14" i="85" s="1"/>
  <c r="J15" i="85"/>
  <c r="P15" i="85" s="1"/>
  <c r="J14" i="85"/>
  <c r="P14" i="85" s="1"/>
  <c r="H15" i="85"/>
  <c r="G15" i="85"/>
  <c r="H17" i="84"/>
  <c r="J13" i="85"/>
  <c r="P13" i="85" s="1"/>
  <c r="J12" i="85"/>
  <c r="P12" i="85" s="1"/>
  <c r="B14" i="74" l="1"/>
  <c r="G17" i="84" s="1"/>
  <c r="Q17" i="84" l="1"/>
  <c r="S17" i="84"/>
  <c r="T17" i="84"/>
  <c r="R17" i="84"/>
  <c r="P17" i="84"/>
  <c r="C32" i="82"/>
  <c r="C23" i="82"/>
  <c r="C14" i="82"/>
  <c r="A3" i="82"/>
  <c r="B21" i="74" l="1"/>
  <c r="C73" i="85" l="1"/>
  <c r="C71" i="85"/>
  <c r="C64" i="85"/>
  <c r="C61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T52" i="85"/>
  <c r="S52" i="85"/>
  <c r="R52" i="85"/>
  <c r="Q52" i="85"/>
  <c r="P52" i="85"/>
  <c r="H52" i="85"/>
  <c r="G52" i="85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S24" i="85"/>
  <c r="H24" i="85"/>
  <c r="G24" i="85"/>
  <c r="R24" i="85" s="1"/>
  <c r="T23" i="85"/>
  <c r="R23" i="85"/>
  <c r="H23" i="85"/>
  <c r="G23" i="85"/>
  <c r="Q23" i="85" s="1"/>
  <c r="S22" i="85"/>
  <c r="Q22" i="85"/>
  <c r="H22" i="85"/>
  <c r="G22" i="85"/>
  <c r="P22" i="85" s="1"/>
  <c r="R21" i="85"/>
  <c r="P21" i="85"/>
  <c r="H21" i="85"/>
  <c r="G21" i="85"/>
  <c r="T21" i="85" s="1"/>
  <c r="H20" i="85"/>
  <c r="G20" i="85"/>
  <c r="S20" i="85" s="1"/>
  <c r="H19" i="85"/>
  <c r="G19" i="85"/>
  <c r="H18" i="85"/>
  <c r="G18" i="85"/>
  <c r="H17" i="85"/>
  <c r="G17" i="85"/>
  <c r="H16" i="85"/>
  <c r="G16" i="85"/>
  <c r="H14" i="85"/>
  <c r="G14" i="85"/>
  <c r="H13" i="85"/>
  <c r="G13" i="85"/>
  <c r="H12" i="85"/>
  <c r="G12" i="85"/>
  <c r="H11" i="85"/>
  <c r="G11" i="85"/>
  <c r="H10" i="85"/>
  <c r="G10" i="85"/>
  <c r="A5" i="85"/>
  <c r="V3" i="85"/>
  <c r="A2" i="85"/>
  <c r="A1" i="85"/>
  <c r="C73" i="84"/>
  <c r="C71" i="84"/>
  <c r="C64" i="84"/>
  <c r="C61" i="84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T49" i="84"/>
  <c r="S49" i="84"/>
  <c r="R49" i="84"/>
  <c r="Q49" i="84"/>
  <c r="P49" i="84"/>
  <c r="H49" i="84"/>
  <c r="G49" i="84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T38" i="84"/>
  <c r="S38" i="84"/>
  <c r="R38" i="84"/>
  <c r="Q38" i="84"/>
  <c r="P38" i="84"/>
  <c r="H38" i="84"/>
  <c r="G38" i="84"/>
  <c r="T37" i="84"/>
  <c r="S37" i="84"/>
  <c r="R37" i="84"/>
  <c r="Q37" i="84"/>
  <c r="P37" i="84"/>
  <c r="H37" i="84"/>
  <c r="G37" i="84"/>
  <c r="T36" i="84"/>
  <c r="S36" i="84"/>
  <c r="R36" i="84"/>
  <c r="Q36" i="84"/>
  <c r="P36" i="84"/>
  <c r="H36" i="84"/>
  <c r="G36" i="84"/>
  <c r="T35" i="84"/>
  <c r="S35" i="84"/>
  <c r="R35" i="84"/>
  <c r="Q35" i="84"/>
  <c r="P35" i="84"/>
  <c r="H35" i="84"/>
  <c r="G35" i="84"/>
  <c r="T34" i="84"/>
  <c r="S34" i="84"/>
  <c r="R34" i="84"/>
  <c r="Q34" i="84"/>
  <c r="P34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T28" i="84"/>
  <c r="S28" i="84"/>
  <c r="R28" i="84"/>
  <c r="Q28" i="84"/>
  <c r="P28" i="84"/>
  <c r="H28" i="84"/>
  <c r="G28" i="84"/>
  <c r="T27" i="84"/>
  <c r="S27" i="84"/>
  <c r="R27" i="84"/>
  <c r="Q27" i="84"/>
  <c r="P27" i="84"/>
  <c r="H27" i="84"/>
  <c r="G27" i="84"/>
  <c r="H26" i="84"/>
  <c r="G26" i="84"/>
  <c r="S26" i="84" s="1"/>
  <c r="H25" i="84"/>
  <c r="G25" i="84"/>
  <c r="R25" i="84" s="1"/>
  <c r="R24" i="84"/>
  <c r="H24" i="84"/>
  <c r="G24" i="84"/>
  <c r="Q24" i="84" s="1"/>
  <c r="Q23" i="84"/>
  <c r="H23" i="84"/>
  <c r="G23" i="84"/>
  <c r="P23" i="84" s="1"/>
  <c r="S22" i="84"/>
  <c r="R22" i="84"/>
  <c r="H22" i="84"/>
  <c r="G22" i="84"/>
  <c r="T22" i="84" s="1"/>
  <c r="H21" i="84"/>
  <c r="G21" i="84"/>
  <c r="H20" i="84"/>
  <c r="G20" i="84"/>
  <c r="H19" i="84"/>
  <c r="G19" i="84"/>
  <c r="H18" i="84"/>
  <c r="G18" i="84"/>
  <c r="H16" i="84"/>
  <c r="G16" i="84"/>
  <c r="H15" i="84"/>
  <c r="G15" i="84"/>
  <c r="H14" i="84"/>
  <c r="G14" i="84"/>
  <c r="H13" i="84"/>
  <c r="G13" i="84"/>
  <c r="H12" i="84"/>
  <c r="G12" i="84"/>
  <c r="H11" i="84"/>
  <c r="G11" i="84"/>
  <c r="T11" i="84" s="1"/>
  <c r="H10" i="84"/>
  <c r="G10" i="84"/>
  <c r="P10" i="84" s="1"/>
  <c r="A5" i="84"/>
  <c r="V3" i="84"/>
  <c r="A2" i="84"/>
  <c r="A1" i="84"/>
  <c r="J28" i="82"/>
  <c r="I28" i="82"/>
  <c r="H28" i="82"/>
  <c r="G28" i="82"/>
  <c r="F28" i="82"/>
  <c r="J19" i="82"/>
  <c r="I19" i="82"/>
  <c r="H19" i="82"/>
  <c r="G19" i="82"/>
  <c r="F19" i="82"/>
  <c r="A2" i="82"/>
  <c r="A1" i="82"/>
  <c r="C73" i="79"/>
  <c r="C71" i="79"/>
  <c r="C37" i="74"/>
  <c r="C38" i="74" s="1"/>
  <c r="Q16" i="85" l="1"/>
  <c r="S16" i="85"/>
  <c r="R16" i="85"/>
  <c r="P16" i="85"/>
  <c r="T16" i="85"/>
  <c r="T18" i="85"/>
  <c r="R18" i="85"/>
  <c r="P18" i="85"/>
  <c r="S18" i="85"/>
  <c r="Q18" i="85"/>
  <c r="T19" i="85"/>
  <c r="S19" i="85"/>
  <c r="R19" i="85"/>
  <c r="Q19" i="85"/>
  <c r="P19" i="85"/>
  <c r="R17" i="85"/>
  <c r="Q17" i="85"/>
  <c r="P17" i="85"/>
  <c r="T17" i="85"/>
  <c r="S17" i="85"/>
  <c r="Q20" i="85"/>
  <c r="T20" i="85"/>
  <c r="Q20" i="84"/>
  <c r="S20" i="84"/>
  <c r="P20" i="84"/>
  <c r="T20" i="84"/>
  <c r="R20" i="84"/>
  <c r="S18" i="84"/>
  <c r="R18" i="84"/>
  <c r="Q18" i="84"/>
  <c r="P18" i="84"/>
  <c r="T18" i="84"/>
  <c r="T19" i="84"/>
  <c r="S19" i="84"/>
  <c r="R19" i="84"/>
  <c r="Q19" i="84"/>
  <c r="P19" i="84"/>
  <c r="S16" i="84"/>
  <c r="R16" i="84"/>
  <c r="Q16" i="84"/>
  <c r="P16" i="84"/>
  <c r="T16" i="84"/>
  <c r="T26" i="84"/>
  <c r="P22" i="84"/>
  <c r="S25" i="84"/>
  <c r="S23" i="84"/>
  <c r="P20" i="85"/>
  <c r="Q21" i="85"/>
  <c r="R22" i="85"/>
  <c r="S23" i="85"/>
  <c r="T24" i="85"/>
  <c r="R20" i="85"/>
  <c r="S21" i="85"/>
  <c r="T22" i="85"/>
  <c r="P24" i="85"/>
  <c r="P23" i="85"/>
  <c r="Q24" i="85"/>
  <c r="Q22" i="84"/>
  <c r="R23" i="84"/>
  <c r="S24" i="84"/>
  <c r="T25" i="84"/>
  <c r="T24" i="84"/>
  <c r="T23" i="84"/>
  <c r="P26" i="84"/>
  <c r="P25" i="84"/>
  <c r="Q26" i="84"/>
  <c r="P24" i="84"/>
  <c r="Q25" i="84"/>
  <c r="R26" i="84"/>
  <c r="T60" i="85"/>
  <c r="P60" i="85"/>
  <c r="S60" i="85"/>
  <c r="Q10" i="84"/>
  <c r="S60" i="84"/>
  <c r="Q60" i="85"/>
  <c r="R11" i="84"/>
  <c r="R10" i="84"/>
  <c r="T60" i="84"/>
  <c r="R60" i="85"/>
  <c r="Q60" i="84"/>
  <c r="S10" i="84"/>
  <c r="R60" i="84"/>
  <c r="T10" i="84"/>
  <c r="T59" i="84" s="1"/>
  <c r="P60" i="84"/>
  <c r="P10" i="85"/>
  <c r="P12" i="84"/>
  <c r="P11" i="84"/>
  <c r="Q11" i="84"/>
  <c r="S11" i="84"/>
  <c r="S59" i="84" l="1"/>
  <c r="R59" i="84"/>
  <c r="P59" i="84"/>
  <c r="T59" i="85"/>
  <c r="P59" i="85"/>
  <c r="Q59" i="85"/>
  <c r="S59" i="85"/>
  <c r="R59" i="85"/>
  <c r="T58" i="84"/>
  <c r="Q59" i="84"/>
  <c r="S58" i="84"/>
  <c r="T58" i="85"/>
  <c r="U60" i="84"/>
  <c r="R58" i="84"/>
  <c r="Q58" i="84"/>
  <c r="R58" i="85"/>
  <c r="P58" i="84"/>
  <c r="S58" i="85"/>
  <c r="U60" i="85"/>
  <c r="Q58" i="85"/>
  <c r="P58" i="85"/>
  <c r="C64" i="79"/>
  <c r="T61" i="84" l="1"/>
  <c r="T62" i="84" s="1"/>
  <c r="U59" i="84"/>
  <c r="U59" i="85"/>
  <c r="T61" i="85"/>
  <c r="T62" i="85" s="1"/>
  <c r="S61" i="84"/>
  <c r="S62" i="84" s="1"/>
  <c r="R61" i="84"/>
  <c r="R62" i="84" s="1"/>
  <c r="S61" i="85"/>
  <c r="S62" i="85" s="1"/>
  <c r="Q61" i="84"/>
  <c r="Q62" i="84" s="1"/>
  <c r="R61" i="85"/>
  <c r="R62" i="85" s="1"/>
  <c r="U58" i="84"/>
  <c r="P61" i="84"/>
  <c r="P62" i="84" s="1"/>
  <c r="Q61" i="85"/>
  <c r="Q62" i="85" s="1"/>
  <c r="P61" i="85"/>
  <c r="U58" i="85"/>
  <c r="A2" i="79"/>
  <c r="A1" i="79"/>
  <c r="A2" i="74"/>
  <c r="A1" i="74"/>
  <c r="C61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 s="1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 s="1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T16" i="79"/>
  <c r="S16" i="79"/>
  <c r="R16" i="79"/>
  <c r="Q16" i="79"/>
  <c r="P16" i="79"/>
  <c r="H16" i="79"/>
  <c r="G16" i="79"/>
  <c r="T15" i="79"/>
  <c r="S15" i="79"/>
  <c r="R15" i="79"/>
  <c r="Q15" i="79"/>
  <c r="P15" i="79"/>
  <c r="H15" i="79"/>
  <c r="G15" i="79"/>
  <c r="T14" i="79"/>
  <c r="S14" i="79"/>
  <c r="R14" i="79"/>
  <c r="Q14" i="79"/>
  <c r="P14" i="79"/>
  <c r="H14" i="79"/>
  <c r="G14" i="79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V62" i="84" l="1"/>
  <c r="U61" i="84"/>
  <c r="P62" i="85"/>
  <c r="V62" i="85" s="1"/>
  <c r="U61" i="85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59" i="79"/>
  <c r="T11" i="79"/>
  <c r="S10" i="79"/>
  <c r="R11" i="79"/>
  <c r="Q10" i="79"/>
  <c r="R10" i="79"/>
  <c r="Q11" i="79"/>
  <c r="P13" i="79"/>
  <c r="Q13" i="79"/>
  <c r="P11" i="79"/>
  <c r="R13" i="79"/>
  <c r="S13" i="79"/>
  <c r="P59" i="79" l="1"/>
  <c r="R59" i="79"/>
  <c r="T58" i="79"/>
  <c r="S59" i="79"/>
  <c r="U60" i="79"/>
  <c r="P58" i="79"/>
  <c r="R58" i="79"/>
  <c r="Q58" i="79"/>
  <c r="Q59" i="79"/>
  <c r="S58" i="79"/>
  <c r="T61" i="79" l="1"/>
  <c r="T62" i="79" s="1"/>
  <c r="U59" i="79"/>
  <c r="U58" i="79"/>
  <c r="S61" i="79"/>
  <c r="S62" i="79" s="1"/>
  <c r="R61" i="79"/>
  <c r="R62" i="79" s="1"/>
  <c r="P61" i="79"/>
  <c r="Q61" i="79"/>
  <c r="Q62" i="79" s="1"/>
  <c r="P62" i="79" l="1"/>
  <c r="V62" i="79" s="1"/>
  <c r="U61" i="79"/>
  <c r="T70" i="85" l="1"/>
  <c r="P70" i="85"/>
  <c r="F31" i="82" s="1"/>
  <c r="P70" i="84"/>
  <c r="F22" i="82" s="1"/>
  <c r="R69" i="85"/>
  <c r="Q69" i="84"/>
  <c r="T68" i="84"/>
  <c r="R70" i="85"/>
  <c r="Q70" i="85"/>
  <c r="P69" i="85"/>
  <c r="F30" i="82" s="1"/>
  <c r="T69" i="85"/>
  <c r="S70" i="84"/>
  <c r="P69" i="84"/>
  <c r="F21" i="82" s="1"/>
  <c r="R69" i="84"/>
  <c r="T69" i="84"/>
  <c r="T68" i="85"/>
  <c r="J29" i="82" s="1"/>
  <c r="Q70" i="84"/>
  <c r="S69" i="84"/>
  <c r="S69" i="85"/>
  <c r="R70" i="84"/>
  <c r="S70" i="85"/>
  <c r="Q69" i="85"/>
  <c r="T70" i="84"/>
  <c r="S68" i="84"/>
  <c r="R68" i="84"/>
  <c r="Q68" i="85"/>
  <c r="S68" i="85"/>
  <c r="Q68" i="84"/>
  <c r="P68" i="84"/>
  <c r="F20" i="82" s="1"/>
  <c r="R68" i="85"/>
  <c r="P68" i="85"/>
  <c r="F29" i="82" s="1"/>
  <c r="T70" i="79"/>
  <c r="J13" i="82" s="1"/>
  <c r="P70" i="79"/>
  <c r="F13" i="82" s="1"/>
  <c r="Q70" i="79"/>
  <c r="G13" i="82" s="1"/>
  <c r="R70" i="79"/>
  <c r="H13" i="82" s="1"/>
  <c r="S70" i="79"/>
  <c r="I13" i="82" s="1"/>
  <c r="T69" i="79"/>
  <c r="J12" i="82" s="1"/>
  <c r="T68" i="79"/>
  <c r="J11" i="82" s="1"/>
  <c r="S69" i="79"/>
  <c r="I12" i="82" s="1"/>
  <c r="P69" i="79"/>
  <c r="F12" i="82" s="1"/>
  <c r="R69" i="79"/>
  <c r="H12" i="82" s="1"/>
  <c r="S68" i="79"/>
  <c r="I11" i="82" s="1"/>
  <c r="Q68" i="79"/>
  <c r="G11" i="82" s="1"/>
  <c r="R68" i="79"/>
  <c r="H11" i="82" s="1"/>
  <c r="P68" i="79"/>
  <c r="F11" i="82" s="1"/>
  <c r="Q69" i="79"/>
  <c r="G12" i="82" s="1"/>
  <c r="H31" i="82" l="1"/>
  <c r="G31" i="82"/>
  <c r="I31" i="82"/>
  <c r="H30" i="82"/>
  <c r="G30" i="82"/>
  <c r="J30" i="82"/>
  <c r="I30" i="82"/>
  <c r="J31" i="82"/>
  <c r="J20" i="82"/>
  <c r="G21" i="82"/>
  <c r="G22" i="82"/>
  <c r="J21" i="82"/>
  <c r="H21" i="82"/>
  <c r="G20" i="82"/>
  <c r="I20" i="82"/>
  <c r="I22" i="82"/>
  <c r="H20" i="82"/>
  <c r="J22" i="82"/>
  <c r="H22" i="82"/>
  <c r="I21" i="82"/>
  <c r="G29" i="82"/>
  <c r="I29" i="82"/>
  <c r="H29" i="82"/>
  <c r="F14" i="82"/>
  <c r="H14" i="82"/>
  <c r="F32" i="82"/>
  <c r="T71" i="85"/>
  <c r="Q71" i="84"/>
  <c r="R71" i="84"/>
  <c r="S71" i="84"/>
  <c r="U68" i="85"/>
  <c r="P71" i="85"/>
  <c r="T71" i="84"/>
  <c r="P71" i="84"/>
  <c r="U68" i="84"/>
  <c r="R71" i="85"/>
  <c r="U69" i="84"/>
  <c r="U70" i="84"/>
  <c r="S71" i="85"/>
  <c r="U70" i="85"/>
  <c r="Q71" i="85"/>
  <c r="U69" i="85"/>
  <c r="G14" i="82"/>
  <c r="R71" i="79"/>
  <c r="U70" i="79"/>
  <c r="T71" i="79"/>
  <c r="S71" i="79"/>
  <c r="Q71" i="79"/>
  <c r="U69" i="79"/>
  <c r="U68" i="79"/>
  <c r="P71" i="79"/>
  <c r="K11" i="82" l="1"/>
  <c r="H32" i="82"/>
  <c r="K12" i="82"/>
  <c r="K13" i="82"/>
  <c r="I14" i="82"/>
  <c r="G32" i="82"/>
  <c r="J14" i="82"/>
  <c r="K30" i="82"/>
  <c r="K29" i="82"/>
  <c r="J32" i="82"/>
  <c r="K31" i="82"/>
  <c r="I32" i="82"/>
  <c r="U71" i="85"/>
  <c r="U71" i="84"/>
  <c r="U71" i="79"/>
  <c r="K14" i="82" l="1"/>
  <c r="L14" i="82" s="1"/>
  <c r="K32" i="82"/>
  <c r="L32" i="82" l="1"/>
  <c r="K20" i="82" l="1"/>
  <c r="I23" i="82" l="1"/>
  <c r="J23" i="82"/>
  <c r="H23" i="82" l="1"/>
  <c r="F23" i="82"/>
  <c r="K21" i="82"/>
  <c r="G23" i="82"/>
  <c r="K22" i="82" l="1"/>
  <c r="K23" i="82" l="1"/>
  <c r="L23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<sst xmlns="http://schemas.openxmlformats.org/spreadsheetml/2006/main" count="281" uniqueCount="75">
  <si>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</si>
  <si>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</si>
  <si>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</si>
  <si>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</si>
  <si>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</si>
  <si>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</si>
  <si>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</si>
  <si>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</si>
  <si>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</si>
  <si>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Total</t>
  </si>
  <si>
    <t>Labour</t>
  </si>
  <si>
    <t>Materials</t>
  </si>
  <si>
    <t>Contracts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</si>
  <si>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</si>
  <si>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</si>
  <si>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</si>
  <si>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</si>
  <si>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</si>
  <si>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</si>
  <si>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</si>
  <si>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</si>
  <si>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</si>
  <si>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</si>
  <si>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</si>
  <si>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</si>
  <si>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</si>
  <si>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</si>
  <si>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</si>
  <si>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 xml:space="preserve">Do nothing— do not replace devices </t>
  </si>
  <si>
    <t>Replace devices at end of useful life + some high spec where required to support new functionality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</si>
  <si>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</si>
  <si>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</si>
  <si>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</si>
  <si>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</si>
  <si>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</si>
  <si>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</si>
  <si>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</t>
  </si>
  <si>
    <t>L / M / C</t>
  </si>
  <si>
    <t>Unit rate</t>
  </si>
  <si>
    <t>Units</t>
  </si>
  <si>
    <t>Quantity of units</t>
  </si>
  <si>
    <t>Cost ($)</t>
  </si>
  <si>
    <t>CapEx</t>
  </si>
  <si>
    <t>Summary</t>
  </si>
  <si>
    <t>Check</t>
  </si>
  <si>
    <t>Summary for Regulation - for Business Case</t>
  </si>
  <si>
    <t>Laptop</t>
  </si>
  <si>
    <t>Desktop</t>
  </si>
  <si>
    <t>iPhone (Standard)</t>
  </si>
  <si>
    <t>iPhone (Pro to support LiDAR)</t>
  </si>
  <si>
    <t>iPad (Standard)</t>
  </si>
  <si>
    <t>iPad (Pro to support LiDAR)</t>
  </si>
  <si>
    <t>Laptop - deployment &amp; support</t>
  </si>
  <si>
    <t>Desktop - deployment &amp; support</t>
  </si>
  <si>
    <t>iphone (standard) - deployment &amp; support</t>
  </si>
  <si>
    <t>ipad - deployment &amp; support</t>
  </si>
  <si>
    <t>iPhone</t>
  </si>
  <si>
    <t>iPad</t>
  </si>
  <si>
    <t>UE</t>
  </si>
  <si>
    <t xml:space="preserve">Laptop </t>
  </si>
  <si>
    <t>Meeting room technology - Internal Labour</t>
  </si>
  <si>
    <t>Meeting room technology - Hardware</t>
  </si>
  <si>
    <t>Lagged conversion to Jun 26</t>
  </si>
  <si>
    <t>Regulatory proposal 2026-31</t>
  </si>
  <si>
    <t>Model number:</t>
  </si>
  <si>
    <t>End user device management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</si>
  <si>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</si>
  <si>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</si>
  <si>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</si>
  <si>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</si>
  <si>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</si>
  <si>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</si>
  <si>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</si>
  <si>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Replace all the devices at the beginning of the period</t>
  </si>
  <si>
    <t xml:space="preserve">Escalation: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</si>
</sst>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60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72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>
      <alignment horizontal="center" vertical="center"/>
    </xf>
    <xf numFmtId="43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27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167" fontId="29" fillId="6" borderId="2" xfId="0" applyNumberFormat="1" applyFont="1" applyFill="1" applyBorder="1"/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3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2" fillId="0" borderId="2" xfId="0" applyFont="1" applyBorder="1"/>
    <xf numFmtId="0" fontId="27" fillId="0" borderId="2" xfId="0" applyFont="1" applyBorder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0" fontId="1" fillId="9" borderId="0" xfId="58" applyFill="1"/>
    <xf numFmtId="0" fontId="1" fillId="0" borderId="0" xfId="58"/>
    <xf numFmtId="0" fontId="11" fillId="0" borderId="0" xfId="59"/>
    <xf numFmtId="0" fontId="43" fillId="0" borderId="0" xfId="58" applyFont="1"/>
    <xf numFmtId="0" fontId="44" fillId="0" borderId="0" xfId="58" applyFont="1"/>
    <xf numFmtId="0" fontId="45" fillId="0" borderId="0" xfId="58" applyFont="1"/>
    <xf numFmtId="0" fontId="46" fillId="0" borderId="0" xfId="58" applyFont="1"/>
    <xf numFmtId="0" fontId="47" fillId="0" borderId="0" xfId="58" applyFont="1"/>
    <xf numFmtId="2" fontId="47" fillId="0" borderId="0" xfId="58" applyNumberFormat="1" applyFont="1" applyAlignment="1">
      <alignment horizontal="left"/>
    </xf>
    <xf numFmtId="0" fontId="48" fillId="0" borderId="0" xfId="58" applyFont="1"/>
    <xf numFmtId="173" fontId="49" fillId="0" borderId="0" xfId="58" applyNumberFormat="1" applyFont="1" applyAlignment="1">
      <alignment horizontal="left"/>
    </xf>
    <xf numFmtId="0" fontId="50" fillId="0" borderId="0" xfId="58" applyFont="1"/>
    <xf numFmtId="10" fontId="30" fillId="2" borderId="15" xfId="26" applyNumberFormat="1" applyFont="1" applyFill="1" applyBorder="1" applyProtection="1">
      <protection locked="0"/>
    </xf>
    <xf numFmtId="10" fontId="30" fillId="2" borderId="14" xfId="26" applyNumberFormat="1" applyFont="1" applyFill="1" applyBorder="1" applyProtection="1">
      <protection locked="0"/>
    </xf>
    <xf numFmtId="49" fontId="23" fillId="0" borderId="0" xfId="0" applyNumberFormat="1" applyFont="1" applyAlignment="1">
      <alignment horizontal="right"/>
    </xf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</cellXfs>
  <cellStyles count="60">
    <cellStyle name="Check RedRedGreen" xfId="29" xr:uid="{81F56CD6-3B68-4074-B257-FFF69A21ECCD}"/>
    <cellStyle name="Check RedRedGreen 2" xfId="55" xr:uid="{D69D8968-DDDF-4773-81B1-1218CD4F6CFF}"/>
    <cellStyle name="Comma" xfId="27" builtinId="3"/>
    <cellStyle name="Comma 2" xfId="11" xr:uid="{00000000-0005-0000-0000-000001000000}"/>
    <cellStyle name="Comma 2 2" xfId="48" xr:uid="{BA301665-3570-4BFB-82BA-3CDD0A638EB3}"/>
    <cellStyle name="Comma 2 3" xfId="36" xr:uid="{2E2381BD-55BF-437B-A62E-2327982E2311}"/>
    <cellStyle name="Comma 3" xfId="24" xr:uid="{00000000-0005-0000-0000-000002000000}"/>
    <cellStyle name="Comma 3 2" xfId="53" xr:uid="{BF765954-372F-4CE6-9021-2BFF19651C40}"/>
    <cellStyle name="Comma 3 3" xfId="41" xr:uid="{9C947A00-6359-4570-90F2-224C0DDEE115}"/>
    <cellStyle name="Comma 4" xfId="31" xr:uid="{6D11CEBA-4733-4C43-948A-484B1D4FEF60}"/>
    <cellStyle name="Comma 4 2" xfId="56" xr:uid="{6F462246-DEC9-47B4-A0B7-1FAB21C3DBF7}"/>
    <cellStyle name="Comma 4 3" xfId="43" xr:uid="{627DA347-F858-4070-A172-A5117FA9BFCF}"/>
    <cellStyle name="Comma 5" xfId="54" xr:uid="{74C91F5B-80B3-412B-A223-6C3B9AEC06F1}"/>
    <cellStyle name="Comma 6" xfId="42" xr:uid="{C2647CF9-2D89-4933-8C70-7059B73A424C}"/>
    <cellStyle name="Currency" xfId="32" builtinId="4"/>
    <cellStyle name="Currency 2" xfId="5" xr:uid="{00000000-0005-0000-0000-000003000000}"/>
    <cellStyle name="Currency 2 2" xfId="45" xr:uid="{4A2148D6-5A5B-4886-B595-D8E90ED15FC2}"/>
    <cellStyle name="Currency 2 3" xfId="33" xr:uid="{0BE230C9-2023-4C0B-B0B3-8B43B8BA04D2}"/>
    <cellStyle name="Currency 3" xfId="10" xr:uid="{00000000-0005-0000-0000-000004000000}"/>
    <cellStyle name="Currency 3 2" xfId="47" xr:uid="{BEC436E6-41F9-48AA-A1EC-E7A93E83325D}"/>
    <cellStyle name="Currency 3 3" xfId="35" xr:uid="{257DB6F2-4C59-4206-95C5-AE69F0F8F856}"/>
    <cellStyle name="Currency 4" xfId="8" xr:uid="{00000000-0005-0000-0000-000005000000}"/>
    <cellStyle name="Currency 4 2" xfId="46" xr:uid="{E5D33E56-9EED-4C94-8BDC-7E888F976A86}"/>
    <cellStyle name="Currency 4 3" xfId="34" xr:uid="{52B7A77C-BCB5-4F18-8EB8-62CC2BA02E93}"/>
    <cellStyle name="Currency 5" xfId="19" xr:uid="{00000000-0005-0000-0000-000006000000}"/>
    <cellStyle name="Currency 5 2" xfId="51" xr:uid="{54E7E977-79F6-40AB-871D-F85913DAE7AD}"/>
    <cellStyle name="Currency 5 3" xfId="39" xr:uid="{D2489221-2C90-42D1-B149-C5878C09F933}"/>
    <cellStyle name="Currency 6" xfId="21" xr:uid="{00000000-0005-0000-0000-000007000000}"/>
    <cellStyle name="Currency 6 2" xfId="52" xr:uid="{70B42503-3F51-4623-9649-DFA777A0CDD4}"/>
    <cellStyle name="Currency 6 3" xfId="40" xr:uid="{867CE7DA-DFA9-4176-8F02-3A6CC9AEB6E4}"/>
    <cellStyle name="Currency 7" xfId="57" xr:uid="{1119260D-6690-4634-BE29-9A65826C53AB}"/>
    <cellStyle name="Currency 8" xfId="44" xr:uid="{1C3D527E-C253-4F8B-8813-55A966AB9017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59" xr:uid="{14048FE4-3DEA-4403-9655-748CF35911F5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58" xr:uid="{D85EF6DE-3897-4FD1-A8E7-7FB5E7934A33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6 2" xfId="49" xr:uid="{B2351BB6-438F-4221-9DA8-DB24A291C5C4}"/>
    <cellStyle name="Normal 6 3" xfId="37" xr:uid="{7B60E6AF-0428-469D-BAEB-3D4CC5F11A55}"/>
    <cellStyle name="Normal 7" xfId="16" xr:uid="{00000000-0005-0000-0000-000014000000}"/>
    <cellStyle name="Normal 7 2" xfId="50" xr:uid="{FFBDCD79-7C88-4E73-AF18-75891FC93F9C}"/>
    <cellStyle name="Normal 7 3" xfId="38" xr:uid="{E23F510C-CC42-4ED6-A75F-F21F316FCA7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17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D662D26C-D967-4303-8F05-67859E1F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1739-90D8-4814-9A90-6D57F781667A}">
  <sheetPr>
    <tabColor theme="1" tint="0.34998626667073579"/>
  </sheetPr>
  <dimension ref="A1:K43"/>
  <sheetViews>
    <sheetView showGridLines="0" workbookViewId="0">
      <selection activeCell="D27" sqref="D27"/>
    </sheetView>
  </sheetViews>
  <sheetFormatPr defaultColWidth="0" defaultRowHeight="12.95" customHeight="1" zeroHeight="1" x14ac:dyDescent="0.2"/>
  <cols>
    <col min="1" max="1" width="12.85546875" style="110" customWidth="1"/>
    <col min="2" max="2" width="2.5703125" style="110" customWidth="1"/>
    <col min="3" max="3" width="16.85546875" style="110" customWidth="1"/>
    <col min="4" max="11" width="10.5703125" style="110" customWidth="1"/>
    <col min="12" max="16384" width="10.5703125" style="110" hidden="1"/>
  </cols>
  <sheetData>
    <row r="1" spans="1:11" ht="15" x14ac:dyDescent="0.2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3.25" x14ac:dyDescent="0.35">
      <c r="A2" s="108"/>
      <c r="B2" s="109"/>
      <c r="C2" s="111" t="s">
        <v>26</v>
      </c>
      <c r="D2" s="112"/>
      <c r="E2" s="112"/>
      <c r="F2" s="109"/>
      <c r="G2" s="109"/>
      <c r="H2" s="109"/>
      <c r="I2" s="109"/>
      <c r="J2" s="109"/>
      <c r="K2" s="109"/>
    </row>
    <row r="3" spans="1:11" ht="15.75" x14ac:dyDescent="0.25">
      <c r="A3" s="108"/>
      <c r="B3" s="109"/>
      <c r="C3" s="113" t="s">
        <v>63</v>
      </c>
      <c r="D3" s="112"/>
      <c r="E3" s="112"/>
      <c r="F3" s="109"/>
      <c r="G3" s="109"/>
      <c r="H3" s="109"/>
      <c r="I3" s="109"/>
      <c r="J3" s="109"/>
      <c r="K3" s="109"/>
    </row>
    <row r="4" spans="1:11" ht="15" x14ac:dyDescent="0.25">
      <c r="A4" s="108"/>
      <c r="B4" s="109"/>
      <c r="C4" s="109"/>
      <c r="D4" s="112"/>
      <c r="E4" s="112"/>
      <c r="F4" s="109"/>
      <c r="G4" s="109"/>
      <c r="H4" s="109"/>
      <c r="I4" s="109"/>
      <c r="J4" s="109"/>
      <c r="K4" s="109"/>
    </row>
    <row r="5" spans="1:11" ht="15" x14ac:dyDescent="0.25">
      <c r="A5" s="108"/>
      <c r="B5" s="109"/>
      <c r="C5" s="114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End user device management cost</v>
      </c>
      <c r="D5" s="109"/>
      <c r="E5" s="109"/>
      <c r="F5" s="109"/>
      <c r="G5" s="109"/>
      <c r="H5" s="109"/>
      <c r="I5" s="109"/>
      <c r="J5" s="109"/>
      <c r="K5" s="109"/>
    </row>
    <row r="6" spans="1:11" ht="15" x14ac:dyDescent="0.25">
      <c r="A6" s="108"/>
      <c r="B6" s="109"/>
      <c r="C6" s="115" t="s">
        <v>64</v>
      </c>
      <c r="D6" s="116" t="str" cm="1">
        <f t="array" aca="1" ref="D6" ca="1">LEFT(_xlfn.TEXTAFTER(CELL("filename")," MOD "),FIND(" - ",_xlfn.TEXTAFTER(CELL("filename")," MOD "),1)-1)</f>
        <v>7.15</v>
      </c>
      <c r="E6" s="115"/>
      <c r="F6" s="109"/>
      <c r="G6" s="109"/>
      <c r="H6" s="109"/>
      <c r="I6" s="109"/>
      <c r="J6" s="109"/>
      <c r="K6" s="109"/>
    </row>
    <row r="7" spans="1:11" ht="15" x14ac:dyDescent="0.25">
      <c r="A7" s="108"/>
      <c r="B7" s="109"/>
      <c r="C7" s="109"/>
      <c r="D7" s="109"/>
      <c r="E7" s="109"/>
      <c r="F7" s="117"/>
      <c r="G7" s="117"/>
      <c r="H7" s="117"/>
      <c r="I7" s="109"/>
      <c r="J7" s="117"/>
      <c r="K7" s="117"/>
    </row>
    <row r="8" spans="1:11" ht="15" x14ac:dyDescent="0.25">
      <c r="A8" s="108"/>
      <c r="B8" s="109"/>
      <c r="C8" s="118">
        <v>45688</v>
      </c>
      <c r="D8" s="109"/>
      <c r="E8" s="109"/>
      <c r="F8" s="117"/>
      <c r="G8" s="117"/>
      <c r="H8" s="117"/>
      <c r="I8" s="109"/>
      <c r="J8" s="117"/>
      <c r="K8" s="117"/>
    </row>
    <row r="9" spans="1:11" ht="15" x14ac:dyDescent="0.25">
      <c r="A9" s="108"/>
      <c r="B9" s="109"/>
      <c r="C9" s="119"/>
      <c r="D9" s="119"/>
      <c r="E9" s="109"/>
      <c r="F9" s="117"/>
      <c r="G9" s="117"/>
      <c r="H9" s="117"/>
      <c r="I9" s="117"/>
      <c r="J9" s="117"/>
      <c r="K9" s="117"/>
    </row>
    <row r="10" spans="1:11" ht="15" x14ac:dyDescent="0.25">
      <c r="A10" s="108"/>
      <c r="B10" s="109"/>
      <c r="C10" s="119"/>
      <c r="D10" s="119"/>
      <c r="E10" s="109"/>
      <c r="F10" s="117"/>
      <c r="G10" s="117"/>
      <c r="H10" s="117"/>
      <c r="I10" s="117"/>
      <c r="J10" s="117"/>
      <c r="K10" s="117"/>
    </row>
    <row r="11" spans="1:11" ht="15" x14ac:dyDescent="0.25">
      <c r="A11" s="108"/>
      <c r="B11" s="109"/>
      <c r="C11" s="119"/>
      <c r="D11" s="119"/>
      <c r="E11" s="109"/>
      <c r="F11" s="117"/>
      <c r="G11" s="117"/>
      <c r="H11" s="117"/>
      <c r="I11" s="117"/>
      <c r="J11" s="117"/>
      <c r="K11" s="117"/>
    </row>
    <row r="12" spans="1:11" ht="15" x14ac:dyDescent="0.25">
      <c r="A12" s="108"/>
      <c r="B12" s="109"/>
      <c r="C12" s="119"/>
      <c r="D12" s="119"/>
      <c r="E12" s="109"/>
      <c r="F12" s="117"/>
      <c r="G12" s="117"/>
      <c r="H12" s="117"/>
      <c r="I12" s="117"/>
      <c r="J12" s="117"/>
      <c r="K12" s="117"/>
    </row>
    <row r="13" spans="1:11" ht="15" x14ac:dyDescent="0.25">
      <c r="A13" s="108"/>
      <c r="B13" s="109"/>
      <c r="C13" s="119"/>
      <c r="D13" s="119"/>
      <c r="E13" s="109"/>
      <c r="F13" s="117"/>
      <c r="G13" s="117"/>
      <c r="H13" s="117"/>
      <c r="I13" s="117"/>
      <c r="J13" s="117"/>
      <c r="K13" s="117"/>
    </row>
    <row r="14" spans="1:11" ht="15" x14ac:dyDescent="0.25">
      <c r="A14" s="108"/>
      <c r="B14" s="109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15" x14ac:dyDescent="0.25">
      <c r="A15" s="108"/>
      <c r="B15" s="109"/>
      <c r="C15" s="114"/>
      <c r="D15" s="117"/>
      <c r="E15" s="117"/>
      <c r="F15" s="117"/>
      <c r="G15" s="117"/>
      <c r="H15" s="117"/>
      <c r="I15" s="117"/>
      <c r="J15" s="117"/>
      <c r="K15" s="117"/>
    </row>
    <row r="16" spans="1:11" ht="15" x14ac:dyDescent="0.25">
      <c r="A16" s="108"/>
      <c r="B16" s="109"/>
      <c r="C16" s="114"/>
      <c r="D16" s="117"/>
      <c r="E16" s="117"/>
      <c r="F16" s="117"/>
      <c r="G16" s="117"/>
      <c r="H16" s="117"/>
      <c r="I16" s="117"/>
      <c r="J16" s="117"/>
      <c r="K16" s="117"/>
    </row>
    <row r="17" spans="1:11" ht="15" x14ac:dyDescent="0.25">
      <c r="A17" s="108"/>
      <c r="B17" s="109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15" x14ac:dyDescent="0.25">
      <c r="A18" s="108"/>
      <c r="B18" s="109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15" x14ac:dyDescent="0.25">
      <c r="A19" s="108"/>
      <c r="B19" s="109"/>
      <c r="C19" s="117"/>
      <c r="D19" s="117"/>
      <c r="E19" s="117"/>
      <c r="F19" s="117"/>
      <c r="H19" s="117"/>
      <c r="I19" s="117"/>
      <c r="J19" s="117"/>
      <c r="K19" s="117"/>
    </row>
    <row r="20" spans="1:11" ht="15" x14ac:dyDescent="0.25">
      <c r="A20" s="108"/>
      <c r="B20" s="109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15" x14ac:dyDescent="0.25">
      <c r="A21" s="108"/>
      <c r="B21" s="109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ht="15" x14ac:dyDescent="0.25">
      <c r="A22" s="108"/>
      <c r="B22" s="109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ht="15" x14ac:dyDescent="0.25">
      <c r="A23" s="108"/>
      <c r="B23" s="109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15" x14ac:dyDescent="0.25">
      <c r="A24" s="108"/>
      <c r="B24" s="109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15" x14ac:dyDescent="0.25">
      <c r="A25" s="108"/>
      <c r="B25" s="109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15" x14ac:dyDescent="0.25">
      <c r="A26" s="108"/>
      <c r="B26" s="109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ht="15" x14ac:dyDescent="0.25">
      <c r="A27" s="108"/>
      <c r="B27" s="109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15" x14ac:dyDescent="0.25">
      <c r="A28" s="108"/>
      <c r="B28" s="109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15" x14ac:dyDescent="0.25">
      <c r="A29" s="108"/>
      <c r="B29" s="109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ht="15" x14ac:dyDescent="0.25">
      <c r="A30" s="108"/>
      <c r="B30" s="109"/>
      <c r="C30" s="117"/>
      <c r="D30" s="109"/>
      <c r="E30" s="117"/>
      <c r="F30" s="117"/>
      <c r="G30" s="117"/>
      <c r="H30" s="117"/>
      <c r="I30" s="117"/>
      <c r="J30" s="117"/>
      <c r="K30" s="117"/>
    </row>
    <row r="31" spans="1:11" ht="15" x14ac:dyDescent="0.2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ht="15" x14ac:dyDescent="0.2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15" x14ac:dyDescent="0.2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ht="15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ht="15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ht="15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t="15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t="15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5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ht="15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</row>
    <row r="41" spans="1:11" ht="15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1" ht="15" x14ac:dyDescent="0.2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</row>
    <row r="43" spans="1:11" ht="15" x14ac:dyDescent="0.2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</row>
  </sheetData>
  <conditionalFormatting sqref="C5">
    <cfRule type="expression" dxfId="16" priority="1">
      <formula>LEFT(C5,1)="&lt;"</formula>
    </cfRule>
  </conditionalFormatting>
  <conditionalFormatting sqref="D6">
    <cfRule type="expression" dxfId="15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4"/>
  <sheetViews>
    <sheetView showGridLines="0" tabSelected="1" zoomScale="85" zoomScaleNormal="85" workbookViewId="0">
      <selection activeCell="F43" sqref="F4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End user device management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"&amp;Assumptions!$C$36&amp;")"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0</v>
      </c>
      <c r="D6" s="85" t="s">
        <v>1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2</v>
      </c>
      <c r="C10" s="36" t="s">
        <v>3</v>
      </c>
      <c r="D10" s="36"/>
      <c r="E10" s="37"/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75" t="s">
        <v>9</v>
      </c>
      <c r="P10"/>
    </row>
    <row r="11" spans="1:16" ht="12.75" customHeight="1" x14ac:dyDescent="0.25">
      <c r="C11" s="1" t="s">
        <v>10</v>
      </c>
      <c r="D11" s="49"/>
      <c r="E11" s="2"/>
      <c r="F11" s="6">
        <f>'Option 1'!P68</f>
        <v>0</v>
      </c>
      <c r="G11" s="6">
        <f>'Option 1'!Q68</f>
        <v>0</v>
      </c>
      <c r="H11" s="6">
        <f>'Option 1'!R68</f>
        <v>0</v>
      </c>
      <c r="I11" s="6">
        <f>'Option 1'!S68</f>
        <v>0</v>
      </c>
      <c r="J11" s="6">
        <f>'Option 1'!T68</f>
        <v>0</v>
      </c>
      <c r="K11" s="6">
        <f>SUM(F11:J11)</f>
        <v>0</v>
      </c>
      <c r="M11" s="99"/>
      <c r="P11"/>
    </row>
    <row r="12" spans="1:16" ht="12.75" customHeight="1" x14ac:dyDescent="0.25">
      <c r="C12" s="1" t="s">
        <v>11</v>
      </c>
      <c r="D12" s="49"/>
      <c r="E12" s="2"/>
      <c r="F12" s="6">
        <f>'Option 1'!P69</f>
        <v>0</v>
      </c>
      <c r="G12" s="6">
        <f>'Option 1'!Q69</f>
        <v>0</v>
      </c>
      <c r="H12" s="6">
        <f>'Option 1'!R69</f>
        <v>0</v>
      </c>
      <c r="I12" s="6">
        <f>'Option 1'!S69</f>
        <v>0</v>
      </c>
      <c r="J12" s="6">
        <f>'Option 1'!T69</f>
        <v>0</v>
      </c>
      <c r="K12" s="6">
        <f t="shared" ref="K12:K13" si="0">SUM(F12:J12)</f>
        <v>0</v>
      </c>
      <c r="M12" s="99"/>
      <c r="P12"/>
    </row>
    <row r="13" spans="1:16" ht="12.75" customHeight="1" x14ac:dyDescent="0.2">
      <c r="C13" s="1" t="s">
        <v>12</v>
      </c>
      <c r="D13" s="49"/>
      <c r="F13" s="6">
        <f>'Option 1'!P70</f>
        <v>0</v>
      </c>
      <c r="G13" s="6">
        <f>'Option 1'!Q70</f>
        <v>0</v>
      </c>
      <c r="H13" s="6">
        <f>'Option 1'!R70</f>
        <v>0</v>
      </c>
      <c r="I13" s="6">
        <f>'Option 1'!S70</f>
        <v>0</v>
      </c>
      <c r="J13" s="6">
        <f>'Option 1'!T70</f>
        <v>0</v>
      </c>
      <c r="K13" s="6">
        <f t="shared" si="0"/>
        <v>0</v>
      </c>
      <c r="M13" s="99"/>
    </row>
    <row r="14" spans="1:16" ht="12.75" customHeight="1" x14ac:dyDescent="0.2">
      <c r="C14" s="21" t="str">
        <f>"Total Cost ($ "&amp;Assumptions!$C36&amp;")"</f>
        <v>Total Cost ($ June 2026)</v>
      </c>
      <c r="D14" s="21"/>
      <c r="E14" s="21"/>
      <c r="F14" s="22">
        <f t="shared" ref="F14:K14" si="1">SUM(F11:F13)</f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59">
        <f>K14-'Option 1'!$U$71</f>
        <v>0</v>
      </c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4" t="s">
        <v>13</v>
      </c>
      <c r="D16" s="22"/>
      <c r="E16" s="22"/>
      <c r="F16" s="22">
        <f>NPV(Assumptions!$B$10,F14:J14)</f>
        <v>0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B18" s="4"/>
      <c r="C18" s="4"/>
      <c r="D18" s="4"/>
      <c r="E18" s="4"/>
      <c r="F18" s="23"/>
      <c r="G18" s="23"/>
      <c r="H18" s="23"/>
      <c r="I18" s="23"/>
      <c r="J18" s="23"/>
      <c r="K18" s="23"/>
    </row>
    <row r="19" spans="2:13" ht="12.75" customHeight="1" x14ac:dyDescent="0.2">
      <c r="B19" s="36" t="s">
        <v>1</v>
      </c>
      <c r="C19" s="36" t="s">
        <v>3</v>
      </c>
      <c r="D19" s="36"/>
      <c r="E19" s="37"/>
      <c r="F19" s="38" t="str">
        <f>F$10</f>
        <v>2026/27</v>
      </c>
      <c r="G19" s="38" t="str">
        <f t="shared" ref="G19:J19" si="2">G$10</f>
        <v>2027/28</v>
      </c>
      <c r="H19" s="38" t="str">
        <f t="shared" si="2"/>
        <v>2028/29</v>
      </c>
      <c r="I19" s="38" t="str">
        <f t="shared" si="2"/>
        <v>2029/30</v>
      </c>
      <c r="J19" s="38" t="str">
        <f t="shared" si="2"/>
        <v>2030/31</v>
      </c>
      <c r="K19" s="75" t="s">
        <v>9</v>
      </c>
    </row>
    <row r="20" spans="2:13" ht="12.75" customHeight="1" x14ac:dyDescent="0.2">
      <c r="C20" s="1" t="s">
        <v>10</v>
      </c>
      <c r="D20" s="49"/>
      <c r="E20" s="2"/>
      <c r="F20" s="6">
        <f>'Option 2'!P68</f>
        <v>431714.04601966188</v>
      </c>
      <c r="G20" s="6">
        <f>'Option 2'!Q68</f>
        <v>413462.32479560631</v>
      </c>
      <c r="H20" s="6">
        <f>'Option 2'!R68</f>
        <v>498555.90508020343</v>
      </c>
      <c r="I20" s="6">
        <f>'Option 2'!S68</f>
        <v>525000.62116483494</v>
      </c>
      <c r="J20" s="6">
        <f>'Option 2'!T68</f>
        <v>434877.67769849818</v>
      </c>
      <c r="K20" s="6">
        <f>SUM(F20:J20)</f>
        <v>2303610.5747588049</v>
      </c>
      <c r="M20" s="99"/>
    </row>
    <row r="21" spans="2:13" x14ac:dyDescent="0.2">
      <c r="C21" s="1" t="s">
        <v>11</v>
      </c>
      <c r="D21" s="49"/>
      <c r="E21" s="2"/>
      <c r="F21" s="6">
        <f>'Option 2'!P69</f>
        <v>611223.86745110538</v>
      </c>
      <c r="G21" s="6">
        <f>'Option 2'!Q69</f>
        <v>368473.13518942456</v>
      </c>
      <c r="H21" s="6">
        <f>'Option 2'!R69</f>
        <v>990881.77473701676</v>
      </c>
      <c r="I21" s="6">
        <f>'Option 2'!S69</f>
        <v>1116286.9975605318</v>
      </c>
      <c r="J21" s="6">
        <f>'Option 2'!T69</f>
        <v>638257.62854521093</v>
      </c>
      <c r="K21" s="6">
        <f t="shared" ref="K21:K22" si="3">SUM(F21:J21)</f>
        <v>3725123.4034832893</v>
      </c>
      <c r="M21" s="99"/>
    </row>
    <row r="22" spans="2:13" x14ac:dyDescent="0.2">
      <c r="C22" s="1" t="s">
        <v>12</v>
      </c>
      <c r="D22" s="49"/>
      <c r="F22" s="6">
        <f>'Option 2'!P70</f>
        <v>0</v>
      </c>
      <c r="G22" s="6">
        <f>'Option 2'!Q70</f>
        <v>0</v>
      </c>
      <c r="H22" s="6">
        <f>'Option 2'!R70</f>
        <v>0</v>
      </c>
      <c r="I22" s="6">
        <f>'Option 2'!S70</f>
        <v>0</v>
      </c>
      <c r="J22" s="6">
        <f>'Option 2'!T70</f>
        <v>0</v>
      </c>
      <c r="K22" s="6">
        <f t="shared" si="3"/>
        <v>0</v>
      </c>
      <c r="M22" s="99"/>
    </row>
    <row r="23" spans="2:13" x14ac:dyDescent="0.2">
      <c r="C23" s="21" t="str">
        <f>"Total Cost ($ "&amp;Assumptions!$C$36&amp;")"</f>
        <v>Total Cost ($ June 2026)</v>
      </c>
      <c r="D23" s="21"/>
      <c r="E23" s="21"/>
      <c r="F23" s="22">
        <f t="shared" ref="F23:K23" si="4">SUM(F20:F22)</f>
        <v>1042937.9134707672</v>
      </c>
      <c r="G23" s="22">
        <f t="shared" si="4"/>
        <v>781935.45998503082</v>
      </c>
      <c r="H23" s="22">
        <f t="shared" si="4"/>
        <v>1489437.6798172202</v>
      </c>
      <c r="I23" s="22">
        <f t="shared" si="4"/>
        <v>1641287.6187253669</v>
      </c>
      <c r="J23" s="22">
        <f t="shared" si="4"/>
        <v>1073135.3062437091</v>
      </c>
      <c r="K23" s="22">
        <f t="shared" si="4"/>
        <v>6028733.9782420937</v>
      </c>
      <c r="L23" s="59">
        <f>K23-'Option 2'!$U$71</f>
        <v>0</v>
      </c>
    </row>
    <row r="25" spans="2:13" x14ac:dyDescent="0.2">
      <c r="C25" s="54" t="s">
        <v>13</v>
      </c>
      <c r="D25" s="22"/>
      <c r="E25" s="22"/>
      <c r="F25" s="22">
        <f>NPV(Assumptions!$B$10,F23:J23)</f>
        <v>5414840.522386292</v>
      </c>
    </row>
    <row r="26" spans="2:13" x14ac:dyDescent="0.2">
      <c r="B26" s="26"/>
      <c r="C26" s="33"/>
      <c r="D26" s="33"/>
      <c r="E26" s="26"/>
      <c r="F26" s="26"/>
      <c r="G26" s="26"/>
      <c r="H26" s="26"/>
      <c r="I26" s="26"/>
      <c r="J26" s="26"/>
      <c r="K26" s="26"/>
    </row>
    <row r="28" spans="2:13" x14ac:dyDescent="0.2">
      <c r="B28" s="36" t="s">
        <v>14</v>
      </c>
      <c r="C28" s="36" t="s">
        <v>3</v>
      </c>
      <c r="D28" s="36"/>
      <c r="E28" s="37"/>
      <c r="F28" s="38" t="str">
        <f>F$10</f>
        <v>2026/27</v>
      </c>
      <c r="G28" s="38" t="str">
        <f t="shared" ref="G28:J28" si="5">G$10</f>
        <v>2027/28</v>
      </c>
      <c r="H28" s="38" t="str">
        <f t="shared" si="5"/>
        <v>2028/29</v>
      </c>
      <c r="I28" s="38" t="str">
        <f t="shared" si="5"/>
        <v>2029/30</v>
      </c>
      <c r="J28" s="38" t="str">
        <f t="shared" si="5"/>
        <v>2030/31</v>
      </c>
      <c r="K28" s="75" t="s">
        <v>9</v>
      </c>
    </row>
    <row r="29" spans="2:13" x14ac:dyDescent="0.2">
      <c r="C29" s="1" t="s">
        <v>10</v>
      </c>
      <c r="D29" s="49"/>
      <c r="E29" s="2"/>
      <c r="F29" s="6">
        <f>'Option 3'!P68</f>
        <v>830088.28127004905</v>
      </c>
      <c r="G29" s="6">
        <f>'Option 3'!Q68</f>
        <v>420438.53824124543</v>
      </c>
      <c r="H29" s="6">
        <f>'Option 3'!R68</f>
        <v>453859.46777151612</v>
      </c>
      <c r="I29" s="6">
        <f>'Option 3'!S68</f>
        <v>467568.53837980679</v>
      </c>
      <c r="J29" s="6">
        <f>'Option 3'!T68</f>
        <v>819542.84234059462</v>
      </c>
      <c r="K29" s="6">
        <f>SUM(F29:J29)</f>
        <v>2991497.6680032122</v>
      </c>
      <c r="M29" s="99"/>
    </row>
    <row r="30" spans="2:13" x14ac:dyDescent="0.2">
      <c r="C30" s="1" t="s">
        <v>11</v>
      </c>
      <c r="D30" s="49"/>
      <c r="E30" s="2"/>
      <c r="F30" s="6">
        <f>'Option 3'!P69</f>
        <v>2722977.8398518902</v>
      </c>
      <c r="G30" s="6">
        <f>'Option 3'!Q69</f>
        <v>0</v>
      </c>
      <c r="H30" s="6">
        <f>'Option 3'!R69</f>
        <v>339666.50424957735</v>
      </c>
      <c r="I30" s="6">
        <f>'Option 3'!S69</f>
        <v>128023.90628053319</v>
      </c>
      <c r="J30" s="6">
        <f>'Option 3'!T69</f>
        <v>2594953.9335713573</v>
      </c>
      <c r="K30" s="6">
        <f t="shared" ref="K30:K31" si="6">SUM(F30:J30)</f>
        <v>5785622.1839533579</v>
      </c>
      <c r="M30" s="99"/>
    </row>
    <row r="31" spans="2:13" x14ac:dyDescent="0.2">
      <c r="C31" s="1" t="s">
        <v>12</v>
      </c>
      <c r="D31" s="49"/>
      <c r="F31" s="6">
        <f>'Option 3'!P70</f>
        <v>0</v>
      </c>
      <c r="G31" s="6">
        <f>'Option 3'!Q70</f>
        <v>0</v>
      </c>
      <c r="H31" s="6">
        <f>'Option 3'!R70</f>
        <v>0</v>
      </c>
      <c r="I31" s="6">
        <f>'Option 3'!S70</f>
        <v>0</v>
      </c>
      <c r="J31" s="6">
        <f>'Option 3'!T70</f>
        <v>0</v>
      </c>
      <c r="K31" s="6">
        <f t="shared" si="6"/>
        <v>0</v>
      </c>
      <c r="M31" s="99"/>
    </row>
    <row r="32" spans="2:13" x14ac:dyDescent="0.2">
      <c r="C32" s="21" t="str">
        <f>"Total Cost ($ "&amp;Assumptions!$C36&amp;")"</f>
        <v>Total Cost ($ June 2026)</v>
      </c>
      <c r="D32" s="21"/>
      <c r="E32" s="21"/>
      <c r="F32" s="22">
        <f t="shared" ref="F32:K32" si="7">SUM(F29:F31)</f>
        <v>3553066.1211219393</v>
      </c>
      <c r="G32" s="22">
        <f t="shared" si="7"/>
        <v>420438.53824124543</v>
      </c>
      <c r="H32" s="22">
        <f t="shared" si="7"/>
        <v>793525.97202109348</v>
      </c>
      <c r="I32" s="22">
        <f t="shared" si="7"/>
        <v>595592.44466033997</v>
      </c>
      <c r="J32" s="22">
        <f t="shared" si="7"/>
        <v>3414496.7759119519</v>
      </c>
      <c r="K32" s="22">
        <f t="shared" si="7"/>
        <v>8777119.8519565705</v>
      </c>
      <c r="L32" s="59">
        <f>K32-'Option 3'!$U$71</f>
        <v>0</v>
      </c>
    </row>
    <row r="34" spans="2:11" x14ac:dyDescent="0.2">
      <c r="B34" s="26"/>
      <c r="C34" s="54" t="s">
        <v>13</v>
      </c>
      <c r="D34" s="22"/>
      <c r="E34" s="22"/>
      <c r="F34" s="22">
        <f>NPV(Assumptions!$B$10,F32:J32)</f>
        <v>7935052.0336230798</v>
      </c>
      <c r="G34" s="26"/>
      <c r="H34" s="26"/>
      <c r="I34" s="26"/>
      <c r="J34" s="26"/>
      <c r="K34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24A893-18E7-4B0F-AC7C-8710E6D76D85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3"/>
  <sheetViews>
    <sheetView showGridLines="0" zoomScale="90" zoomScaleNormal="90" workbookViewId="0">
      <selection activeCell="E21" sqref="E21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End user device management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16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15</v>
      </c>
      <c r="B4" s="42" t="s">
        <v>16</v>
      </c>
      <c r="C4" s="27" t="s">
        <v>17</v>
      </c>
      <c r="D4" s="27" t="s">
        <v>18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19</v>
      </c>
      <c r="B6" s="78" t="s">
        <v>65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20</v>
      </c>
      <c r="B8" s="79" t="s">
        <v>58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21</v>
      </c>
      <c r="B10" s="123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22</v>
      </c>
      <c r="B12" s="80" t="s">
        <v>67</v>
      </c>
      <c r="C12" s="44" t="s">
        <v>23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24</v>
      </c>
      <c r="B14" s="124">
        <f>IF(B12="2022/23",C43,C44)</f>
        <v>145.77740895836223</v>
      </c>
      <c r="C14" s="44"/>
      <c r="D14" s="44"/>
      <c r="E14" s="44"/>
    </row>
    <row r="15" spans="1:35" ht="12.75" customHeight="1" x14ac:dyDescent="0.25">
      <c r="A15" s="86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25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12.75" customHeight="1" x14ac:dyDescent="0.25">
      <c r="A18" s="44"/>
      <c r="B18" s="93"/>
    </row>
    <row r="19" spans="1:11" ht="12.75" customHeight="1" x14ac:dyDescent="0.25">
      <c r="A19" s="44"/>
      <c r="B19" s="93"/>
      <c r="D19" s="44"/>
      <c r="E19" s="44"/>
    </row>
    <row r="20" spans="1:11" ht="12.75" customHeight="1" x14ac:dyDescent="0.25">
      <c r="A20" s="44" t="s">
        <v>26</v>
      </c>
      <c r="B20" s="94">
        <v>1</v>
      </c>
      <c r="D20" s="44"/>
      <c r="E20" s="44"/>
    </row>
    <row r="21" spans="1:11" ht="12.75" customHeight="1" x14ac:dyDescent="0.25">
      <c r="A21" s="44"/>
      <c r="B21" s="95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27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12.75" customHeight="1" x14ac:dyDescent="0.25">
      <c r="A24" s="44" t="s">
        <v>2</v>
      </c>
      <c r="B24" s="121" t="s">
        <v>28</v>
      </c>
      <c r="C24" s="87"/>
      <c r="D24" s="87"/>
      <c r="E24" s="87"/>
      <c r="F24" s="87"/>
      <c r="G24" s="87"/>
      <c r="H24" s="88"/>
    </row>
    <row r="25" spans="1:11" ht="12.75" customHeight="1" x14ac:dyDescent="0.25">
      <c r="A25" s="44" t="s">
        <v>1</v>
      </c>
      <c r="B25" s="120" t="s">
        <v>29</v>
      </c>
      <c r="C25" s="90"/>
      <c r="D25" s="90"/>
      <c r="E25" s="90"/>
      <c r="F25" s="90"/>
      <c r="G25" s="90"/>
      <c r="H25" s="91"/>
    </row>
    <row r="26" spans="1:11" ht="12.75" customHeight="1" x14ac:dyDescent="0.25">
      <c r="A26" s="44" t="s">
        <v>14</v>
      </c>
      <c r="B26" s="89" t="s">
        <v>73</v>
      </c>
      <c r="C26" s="90"/>
      <c r="D26" s="90"/>
      <c r="E26" s="90"/>
      <c r="F26" s="90"/>
      <c r="G26" s="90"/>
      <c r="H26" s="91"/>
    </row>
    <row r="27" spans="1:11" ht="12.75" customHeight="1" x14ac:dyDescent="0.25">
      <c r="A27" s="44"/>
      <c r="B27" s="92"/>
      <c r="C27" s="92"/>
      <c r="D27" s="92"/>
      <c r="E27" s="92"/>
      <c r="F27" s="92"/>
      <c r="G27" s="92"/>
    </row>
    <row r="28" spans="1:11" ht="12.75" customHeight="1" x14ac:dyDescent="0.25">
      <c r="A28" s="44"/>
      <c r="B28" s="92"/>
      <c r="C28" s="92"/>
      <c r="D28" s="92"/>
      <c r="E28" s="92"/>
      <c r="F28" s="92"/>
      <c r="G28" s="92"/>
    </row>
    <row r="29" spans="1:11" x14ac:dyDescent="0.25">
      <c r="A29" s="39" t="s">
        <v>74</v>
      </c>
      <c r="B29" s="39"/>
      <c r="C29" s="39"/>
      <c r="D29" s="40"/>
      <c r="E29" s="122" t="s">
        <v>66</v>
      </c>
      <c r="F29" s="122" t="s">
        <v>67</v>
      </c>
      <c r="G29" s="122" t="s">
        <v>68</v>
      </c>
      <c r="H29" s="122" t="s">
        <v>69</v>
      </c>
      <c r="I29" s="101"/>
      <c r="J29" s="40"/>
      <c r="K29" s="40"/>
    </row>
    <row r="30" spans="1:11" x14ac:dyDescent="0.25">
      <c r="A30" s="102" t="s">
        <v>62</v>
      </c>
      <c r="B30" s="103"/>
      <c r="C30" s="104"/>
      <c r="D30" s="105"/>
      <c r="E30" s="106">
        <v>1.1757125218136175</v>
      </c>
      <c r="F30" s="106">
        <v>1.1129126464165966</v>
      </c>
      <c r="G30" s="106">
        <v>1.050660524730181</v>
      </c>
      <c r="H30" s="106">
        <v>1.014889156509222</v>
      </c>
      <c r="I30" s="107"/>
      <c r="J30" s="105"/>
      <c r="K30" s="105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/>
    <row r="34" spans="1:11" ht="12.75" customHeight="1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2.75" customHeight="1" x14ac:dyDescent="0.25"/>
    <row r="36" spans="1:11" ht="12.75" customHeight="1" x14ac:dyDescent="0.25">
      <c r="A36" s="44" t="s">
        <v>30</v>
      </c>
      <c r="C36" s="125" t="s">
        <v>69</v>
      </c>
      <c r="D36" t="s">
        <v>23</v>
      </c>
    </row>
    <row r="37" spans="1:11" ht="12.75" customHeight="1" x14ac:dyDescent="0.25">
      <c r="A37" s="44" t="s">
        <v>31</v>
      </c>
      <c r="C37" s="43" t="str">
        <f>$B$12</f>
        <v>June 2024</v>
      </c>
    </row>
    <row r="38" spans="1:11" ht="12.75" customHeight="1" x14ac:dyDescent="0.25">
      <c r="A38" s="44" t="s">
        <v>32</v>
      </c>
      <c r="C38" s="96">
        <f>INDEX($E$30:$H$30,MATCH($C$37,$E$29:$H$29))</f>
        <v>1.1129126464165966</v>
      </c>
    </row>
    <row r="39" spans="1:11" ht="12.75" customHeight="1" x14ac:dyDescent="0.25"/>
    <row r="40" spans="1:11" ht="12.75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12.75" customHeight="1" x14ac:dyDescent="0.25"/>
    <row r="42" spans="1:11" ht="12.75" customHeight="1" x14ac:dyDescent="0.25">
      <c r="A42" s="44" t="s">
        <v>33</v>
      </c>
      <c r="C42" s="126" t="s">
        <v>34</v>
      </c>
      <c r="D42" t="s">
        <v>70</v>
      </c>
    </row>
    <row r="43" spans="1:11" ht="12.75" customHeight="1" x14ac:dyDescent="0.25">
      <c r="A43" s="44" t="s">
        <v>31</v>
      </c>
      <c r="C43" s="97">
        <v>135.18960020374115</v>
      </c>
      <c r="D43" t="s">
        <v>71</v>
      </c>
    </row>
    <row r="44" spans="1:11" ht="12.75" customHeight="1" x14ac:dyDescent="0.25">
      <c r="A44" s="44" t="s">
        <v>32</v>
      </c>
      <c r="C44" s="98">
        <v>145.77740895836223</v>
      </c>
      <c r="D44" t="s">
        <v>72</v>
      </c>
    </row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73"/>
  <sheetViews>
    <sheetView showGridLines="0" zoomScale="90" zoomScaleNormal="90" workbookViewId="0">
      <pane ySplit="9" topLeftCell="A46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50.42578125" style="1" customWidth="1"/>
    <col min="4" max="4" width="10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35</v>
      </c>
      <c r="D7" s="65" t="s">
        <v>36</v>
      </c>
      <c r="E7" s="65" t="s">
        <v>37</v>
      </c>
      <c r="F7" s="16"/>
      <c r="G7" s="19" t="s">
        <v>38</v>
      </c>
      <c r="H7" s="19" t="s">
        <v>39</v>
      </c>
      <c r="J7" s="19" t="s">
        <v>40</v>
      </c>
      <c r="K7" s="20"/>
      <c r="L7" s="20"/>
      <c r="M7" s="20"/>
      <c r="N7" s="20"/>
      <c r="P7" s="19" t="s">
        <v>41</v>
      </c>
      <c r="Q7" s="20"/>
      <c r="R7" s="20"/>
      <c r="S7" s="20"/>
      <c r="T7" s="20"/>
    </row>
    <row r="8" spans="1:25" ht="12.75" customHeight="1" x14ac:dyDescent="0.2">
      <c r="A8" s="4"/>
      <c r="B8" s="4"/>
      <c r="C8" s="100"/>
      <c r="D8" s="100"/>
      <c r="E8" s="100"/>
      <c r="F8" s="16"/>
      <c r="G8" s="4"/>
      <c r="H8" s="4"/>
      <c r="J8" s="51" t="s">
        <v>4</v>
      </c>
      <c r="K8" s="51" t="s">
        <v>5</v>
      </c>
      <c r="L8" s="51" t="s">
        <v>6</v>
      </c>
      <c r="M8" s="51" t="s">
        <v>7</v>
      </c>
      <c r="N8" s="51" t="s">
        <v>8</v>
      </c>
      <c r="P8" s="51" t="s">
        <v>4</v>
      </c>
      <c r="Q8" s="51" t="s">
        <v>5</v>
      </c>
      <c r="R8" s="51" t="s">
        <v>6</v>
      </c>
      <c r="S8" s="51" t="s">
        <v>7</v>
      </c>
      <c r="T8" s="51" t="s">
        <v>8</v>
      </c>
    </row>
    <row r="9" spans="1:25" ht="12.75" customHeight="1" x14ac:dyDescent="0.2">
      <c r="F9" s="16"/>
    </row>
    <row r="10" spans="1:25" ht="12.75" customHeight="1" x14ac:dyDescent="0.2">
      <c r="A10" s="4"/>
      <c r="C10" s="82"/>
      <c r="D10" s="83" t="s">
        <v>42</v>
      </c>
      <c r="E10" s="81" t="s">
        <v>10</v>
      </c>
      <c r="F10" s="2"/>
      <c r="G10" s="64">
        <f>IF($E10="Labour",Assumptions!$B$14,)</f>
        <v>145.77740895836223</v>
      </c>
      <c r="H10" s="9" t="str">
        <f>IF($E10="Labour","Hours","$")</f>
        <v>Hours</v>
      </c>
      <c r="I10" s="2"/>
      <c r="J10" s="84"/>
      <c r="K10" s="84"/>
      <c r="L10" s="84"/>
      <c r="M10" s="84"/>
      <c r="N10" s="84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2"/>
      <c r="D11" s="83"/>
      <c r="E11" s="81"/>
      <c r="F11" s="2"/>
      <c r="G11" s="64">
        <f>IF($E11="Labour",Assumptions!$B$14,)</f>
        <v>0</v>
      </c>
      <c r="H11" s="9" t="str">
        <f t="shared" ref="H11:H54" si="5">IF($E11="Labour","Hours","$")</f>
        <v>$</v>
      </c>
      <c r="I11" s="2"/>
      <c r="J11" s="84"/>
      <c r="K11" s="84"/>
      <c r="L11" s="84"/>
      <c r="M11" s="84"/>
      <c r="N11" s="84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/>
      <c r="D12" s="83"/>
      <c r="E12" s="81"/>
      <c r="F12" s="2"/>
      <c r="G12" s="64">
        <f>IF($E12="Labour",Assumptions!$B$14,)</f>
        <v>0</v>
      </c>
      <c r="H12" s="9" t="str">
        <f t="shared" si="5"/>
        <v>$</v>
      </c>
      <c r="I12" s="2"/>
      <c r="J12" s="84"/>
      <c r="K12" s="84"/>
      <c r="L12" s="84"/>
      <c r="M12" s="84"/>
      <c r="N12" s="84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/>
      <c r="D13" s="83"/>
      <c r="E13" s="81"/>
      <c r="F13" s="2"/>
      <c r="G13" s="64">
        <f>IF($E13="Labour",Assumptions!$B$14,)</f>
        <v>0</v>
      </c>
      <c r="H13" s="9" t="str">
        <f t="shared" si="5"/>
        <v>$</v>
      </c>
      <c r="I13" s="2"/>
      <c r="J13" s="84"/>
      <c r="K13" s="84"/>
      <c r="L13" s="84"/>
      <c r="M13" s="84"/>
      <c r="N13" s="84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/>
      <c r="D14" s="83"/>
      <c r="E14" s="81"/>
      <c r="F14" s="2"/>
      <c r="G14" s="64">
        <f>IF($E14="Labour",Assumptions!$B$14,)</f>
        <v>0</v>
      </c>
      <c r="H14" s="9" t="str">
        <f t="shared" si="5"/>
        <v>$</v>
      </c>
      <c r="I14" s="2"/>
      <c r="J14" s="84"/>
      <c r="K14" s="84"/>
      <c r="L14" s="84"/>
      <c r="M14" s="84"/>
      <c r="N14" s="84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/>
      <c r="D15" s="83"/>
      <c r="E15" s="81"/>
      <c r="F15" s="2"/>
      <c r="G15" s="64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/>
      <c r="D16" s="83"/>
      <c r="E16" s="81"/>
      <c r="F16" s="2"/>
      <c r="G16" s="64">
        <f>IF($E16="Labour",Assumptions!$B$14,)</f>
        <v>0</v>
      </c>
      <c r="H16" s="9" t="str">
        <f t="shared" si="5"/>
        <v>$</v>
      </c>
      <c r="I16" s="2"/>
      <c r="J16" s="84"/>
      <c r="K16" s="84"/>
      <c r="L16" s="84"/>
      <c r="M16" s="84"/>
      <c r="N16" s="84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/>
      <c r="D17" s="83"/>
      <c r="E17" s="81"/>
      <c r="F17" s="2"/>
      <c r="G17" s="64">
        <f>IF($E17="Labour",Assumptions!$B$14,)</f>
        <v>0</v>
      </c>
      <c r="H17" s="9" t="str">
        <f t="shared" si="5"/>
        <v>$</v>
      </c>
      <c r="I17" s="2"/>
      <c r="J17" s="84"/>
      <c r="K17" s="84"/>
      <c r="L17" s="84"/>
      <c r="M17" s="84"/>
      <c r="N17" s="84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/>
      <c r="E18" s="81"/>
      <c r="F18" s="2"/>
      <c r="G18" s="64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/>
      <c r="E19" s="81"/>
      <c r="F19" s="2"/>
      <c r="G19" s="64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/>
      <c r="E20" s="81"/>
      <c r="F20" s="2"/>
      <c r="G20" s="64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/>
      <c r="E21" s="81"/>
      <c r="F21" s="2"/>
      <c r="G21" s="64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/>
      <c r="E22" s="81"/>
      <c r="F22" s="2"/>
      <c r="G22" s="64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/>
      <c r="E23" s="81"/>
      <c r="F23" s="2"/>
      <c r="G23" s="64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/>
      <c r="E24" s="81"/>
      <c r="F24" s="2"/>
      <c r="G24" s="64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/>
      <c r="E25" s="81"/>
      <c r="F25" s="2"/>
      <c r="G25" s="64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/>
      <c r="E26" s="81"/>
      <c r="F26" s="2"/>
      <c r="G26" s="64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/>
      <c r="E27" s="81"/>
      <c r="F27" s="2"/>
      <c r="G27" s="64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/>
      <c r="E28" s="81"/>
      <c r="F28" s="2"/>
      <c r="G28" s="64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/>
      <c r="E29" s="81"/>
      <c r="F29" s="2"/>
      <c r="G29" s="64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/>
      <c r="E30" s="81"/>
      <c r="F30" s="2"/>
      <c r="G30" s="64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/>
      <c r="E31" s="81"/>
      <c r="F31" s="2"/>
      <c r="G31" s="64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/>
      <c r="E32" s="81"/>
      <c r="F32" s="2"/>
      <c r="G32" s="64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/>
      <c r="E33" s="81"/>
      <c r="F33" s="2"/>
      <c r="G33" s="64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/>
      <c r="E34" s="81"/>
      <c r="F34" s="2"/>
      <c r="G34" s="64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/>
      <c r="E35" s="81"/>
      <c r="F35" s="2"/>
      <c r="G35" s="64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/>
      <c r="E36" s="81"/>
      <c r="F36" s="2"/>
      <c r="G36" s="64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/>
      <c r="E37" s="81"/>
      <c r="F37" s="2"/>
      <c r="G37" s="64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/>
      <c r="E38" s="81"/>
      <c r="F38" s="2"/>
      <c r="G38" s="64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/>
      <c r="E39" s="81"/>
      <c r="F39" s="2"/>
      <c r="G39" s="64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/>
      <c r="E40" s="81"/>
      <c r="G40" s="64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/>
      <c r="E41" s="81"/>
      <c r="G41" s="64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/>
      <c r="E42" s="81"/>
      <c r="G42" s="64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/>
      <c r="E43" s="81"/>
      <c r="G43" s="64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/>
      <c r="E44" s="81"/>
      <c r="G44" s="64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/>
      <c r="E45" s="81"/>
      <c r="G45" s="64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/>
      <c r="E46" s="81"/>
      <c r="G46" s="64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/>
      <c r="E47" s="81"/>
      <c r="G47" s="64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/>
      <c r="E48" s="81"/>
      <c r="G48" s="64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/>
      <c r="E49" s="81"/>
      <c r="G49" s="64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/>
      <c r="E50" s="81"/>
      <c r="G50" s="64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/>
      <c r="E51" s="81"/>
      <c r="G51" s="64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/>
      <c r="E52" s="81"/>
      <c r="G52" s="64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/>
      <c r="E53" s="81"/>
      <c r="G53" s="64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/>
      <c r="E54" s="81"/>
      <c r="G54" s="64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43</v>
      </c>
      <c r="F57" s="2"/>
      <c r="I57" s="2"/>
      <c r="O57" s="2"/>
      <c r="P57" s="69" t="s">
        <v>4</v>
      </c>
      <c r="Q57" s="69" t="s">
        <v>5</v>
      </c>
      <c r="R57" s="69" t="s">
        <v>6</v>
      </c>
      <c r="S57" s="69" t="s">
        <v>7</v>
      </c>
      <c r="T57" s="69" t="s">
        <v>8</v>
      </c>
      <c r="U57" s="69" t="s">
        <v>9</v>
      </c>
      <c r="Y57"/>
    </row>
    <row r="58" spans="1:25" ht="12.75" customHeight="1" x14ac:dyDescent="0.2">
      <c r="C58" s="24" t="s">
        <v>10</v>
      </c>
      <c r="D58" s="24" t="s">
        <v>42</v>
      </c>
      <c r="E58" s="24"/>
      <c r="F58" s="2"/>
      <c r="G58" s="66"/>
      <c r="H58" s="67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1">
        <f>SUM(P58:T58)</f>
        <v>0</v>
      </c>
    </row>
    <row r="59" spans="1:25" ht="12.75" customHeight="1" x14ac:dyDescent="0.2">
      <c r="C59" s="1" t="s">
        <v>11</v>
      </c>
      <c r="D59" s="1" t="s">
        <v>42</v>
      </c>
      <c r="F59" s="2"/>
      <c r="G59" s="68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2">
        <f t="shared" ref="U59:U61" si="8">SUM(P59:T59)</f>
        <v>0</v>
      </c>
    </row>
    <row r="60" spans="1:25" ht="12.75" customHeight="1" x14ac:dyDescent="0.2">
      <c r="C60" s="1" t="s">
        <v>12</v>
      </c>
      <c r="D60" s="1" t="s">
        <v>42</v>
      </c>
      <c r="F60" s="2"/>
      <c r="G60" s="68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2">
        <f t="shared" si="8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0</v>
      </c>
      <c r="Q61" s="8">
        <f>SUM(Q58:Q60)</f>
        <v>0</v>
      </c>
      <c r="R61" s="8">
        <f>SUM(R58:R60)</f>
        <v>0</v>
      </c>
      <c r="S61" s="8">
        <f>SUM(S58:S60)</f>
        <v>0</v>
      </c>
      <c r="T61" s="8">
        <f>SUM(T58:T60)</f>
        <v>0</v>
      </c>
      <c r="U61" s="73">
        <f t="shared" si="8"/>
        <v>0</v>
      </c>
    </row>
    <row r="62" spans="1:25" ht="12.75" customHeight="1" x14ac:dyDescent="0.2">
      <c r="C62" s="45" t="s">
        <v>44</v>
      </c>
      <c r="D62" s="45"/>
      <c r="E62" s="45"/>
      <c r="F62" s="2"/>
      <c r="G62" s="45"/>
      <c r="H62" s="45"/>
      <c r="I62" s="2"/>
      <c r="J62" s="45"/>
      <c r="K62" s="45"/>
      <c r="L62" s="45"/>
      <c r="M62" s="45"/>
      <c r="N62" s="45"/>
      <c r="O62" s="2"/>
      <c r="P62" s="46">
        <f>P61-SUM(P$10:P$54)</f>
        <v>0</v>
      </c>
      <c r="Q62" s="46">
        <f t="shared" ref="Q62:T62" si="9">Q61-SUM(Q$10:Q$54)</f>
        <v>0</v>
      </c>
      <c r="R62" s="46">
        <f t="shared" si="9"/>
        <v>0</v>
      </c>
      <c r="S62" s="46">
        <f t="shared" si="9"/>
        <v>0</v>
      </c>
      <c r="T62" s="46">
        <f t="shared" si="9"/>
        <v>0</v>
      </c>
      <c r="U62" s="74"/>
      <c r="V62" s="46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5" t="str">
        <f>"NPV ($ "&amp;Assumptions!$B$12&amp;")"</f>
        <v>NPV ($ June 2024)</v>
      </c>
      <c r="D64" s="56">
        <f>NPV(Real_Discount_rate,P61:T61)</f>
        <v>0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7" t="s">
        <v>45</v>
      </c>
      <c r="F67" s="2"/>
      <c r="I67" s="2"/>
      <c r="O67" s="2"/>
      <c r="P67" s="69" t="s">
        <v>4</v>
      </c>
      <c r="Q67" s="69" t="s">
        <v>5</v>
      </c>
      <c r="R67" s="69" t="s">
        <v>6</v>
      </c>
      <c r="S67" s="69" t="s">
        <v>7</v>
      </c>
      <c r="T67" s="69" t="s">
        <v>8</v>
      </c>
      <c r="U67" s="69" t="s">
        <v>9</v>
      </c>
    </row>
    <row r="68" spans="3:21" ht="12.75" customHeight="1" x14ac:dyDescent="0.2">
      <c r="C68" s="24" t="s">
        <v>10</v>
      </c>
      <c r="D68" s="24" t="s">
        <v>42</v>
      </c>
      <c r="E68" s="24"/>
      <c r="F68" s="2"/>
      <c r="G68" s="66"/>
      <c r="H68" s="67"/>
      <c r="I68" s="2"/>
      <c r="J68" s="24"/>
      <c r="K68" s="24"/>
      <c r="L68" s="24"/>
      <c r="M68" s="24"/>
      <c r="N68" s="24"/>
      <c r="O68" s="2"/>
      <c r="P68" s="34">
        <f t="shared" ref="P68:T70" si="10">P58*business_case_dollars</f>
        <v>0</v>
      </c>
      <c r="Q68" s="34">
        <f t="shared" si="10"/>
        <v>0</v>
      </c>
      <c r="R68" s="34">
        <f t="shared" si="10"/>
        <v>0</v>
      </c>
      <c r="S68" s="34">
        <f t="shared" si="10"/>
        <v>0</v>
      </c>
      <c r="T68" s="34">
        <f t="shared" si="10"/>
        <v>0</v>
      </c>
      <c r="U68" s="71">
        <f>SUM(P68:T68)</f>
        <v>0</v>
      </c>
    </row>
    <row r="69" spans="3:21" ht="12.75" customHeight="1" x14ac:dyDescent="0.2">
      <c r="C69" s="1" t="s">
        <v>11</v>
      </c>
      <c r="D69" s="1" t="s">
        <v>42</v>
      </c>
      <c r="F69" s="2"/>
      <c r="G69" s="68"/>
      <c r="I69" s="2"/>
      <c r="O69" s="2"/>
      <c r="P69" s="6">
        <f t="shared" si="10"/>
        <v>0</v>
      </c>
      <c r="Q69" s="6">
        <f t="shared" si="10"/>
        <v>0</v>
      </c>
      <c r="R69" s="6">
        <f t="shared" si="10"/>
        <v>0</v>
      </c>
      <c r="S69" s="6">
        <f t="shared" si="10"/>
        <v>0</v>
      </c>
      <c r="T69" s="6">
        <f t="shared" si="10"/>
        <v>0</v>
      </c>
      <c r="U69" s="72">
        <f t="shared" ref="U69:U71" si="11">SUM(P69:T69)</f>
        <v>0</v>
      </c>
    </row>
    <row r="70" spans="3:21" ht="12.75" customHeight="1" x14ac:dyDescent="0.2">
      <c r="C70" s="1" t="s">
        <v>12</v>
      </c>
      <c r="D70" s="1" t="s">
        <v>42</v>
      </c>
      <c r="F70" s="2"/>
      <c r="G70" s="68"/>
      <c r="I70" s="2"/>
      <c r="O70" s="2"/>
      <c r="P70" s="6">
        <f t="shared" si="10"/>
        <v>0</v>
      </c>
      <c r="Q70" s="6">
        <f t="shared" si="10"/>
        <v>0</v>
      </c>
      <c r="R70" s="6">
        <f t="shared" si="10"/>
        <v>0</v>
      </c>
      <c r="S70" s="6">
        <f t="shared" si="10"/>
        <v>0</v>
      </c>
      <c r="T70" s="6">
        <f t="shared" si="10"/>
        <v>0</v>
      </c>
      <c r="U70" s="72">
        <f t="shared" si="11"/>
        <v>0</v>
      </c>
    </row>
    <row r="71" spans="3:21" x14ac:dyDescent="0.2">
      <c r="C71" s="7" t="str">
        <f>"Total Expenditure ($ "&amp;Assumptions!$C$36&amp;")"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0</v>
      </c>
      <c r="Q71" s="8">
        <f>SUM(Q68:Q70)</f>
        <v>0</v>
      </c>
      <c r="R71" s="8">
        <f>SUM(R68:R70)</f>
        <v>0</v>
      </c>
      <c r="S71" s="8">
        <f>SUM(S68:S70)</f>
        <v>0</v>
      </c>
      <c r="T71" s="8">
        <f>SUM(T68:T70)</f>
        <v>0</v>
      </c>
      <c r="U71" s="73">
        <f t="shared" si="11"/>
        <v>0</v>
      </c>
    </row>
    <row r="72" spans="3:21" x14ac:dyDescent="0.2">
      <c r="F72" s="2"/>
      <c r="I72" s="2"/>
      <c r="O72" s="2"/>
    </row>
    <row r="73" spans="3:21" x14ac:dyDescent="0.2">
      <c r="C73" s="55" t="str">
        <f>"NPV ($ "&amp;Assumptions!$C$36&amp;")"</f>
        <v>NPV ($ June 2026)</v>
      </c>
      <c r="D73" s="56">
        <f>NPV(Real_Discount_rate,P71:T71)</f>
        <v>0</v>
      </c>
      <c r="F73" s="2"/>
      <c r="I73" s="2"/>
      <c r="O73" s="2"/>
      <c r="P73" s="52"/>
      <c r="Q73" s="52"/>
      <c r="R73" s="52"/>
      <c r="S73" s="52"/>
      <c r="T73" s="52"/>
    </row>
  </sheetData>
  <conditionalFormatting sqref="G10:G54">
    <cfRule type="expression" dxfId="14" priority="3">
      <formula>$E10="Contracts"</formula>
    </cfRule>
    <cfRule type="expression" dxfId="13" priority="4">
      <formula>$E10="Materials"</formula>
    </cfRule>
    <cfRule type="expression" dxfId="12" priority="5">
      <formula>$E10="Labour"</formula>
    </cfRule>
  </conditionalFormatting>
  <conditionalFormatting sqref="P62:U62">
    <cfRule type="expression" dxfId="11" priority="2">
      <formula>ABS(P62)&gt;0.001</formula>
    </cfRule>
  </conditionalFormatting>
  <conditionalFormatting sqref="V62">
    <cfRule type="expression" dxfId="10" priority="9">
      <formula>ABS(V62)&gt;0.001</formula>
    </cfRule>
  </conditionalFormatting>
  <dataValidations disablePrompts="1" count="1">
    <dataValidation type="list" allowBlank="1" showInputMessage="1" showErrorMessage="1" sqref="E10:E54" xr:uid="{B0E8B852-301B-4563-9163-FFDB1711704F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73"/>
  <sheetViews>
    <sheetView showGridLines="0" zoomScaleNormal="10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44.140625" style="1" customWidth="1"/>
    <col min="4" max="4" width="12.1406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35</v>
      </c>
      <c r="D7" s="65" t="s">
        <v>36</v>
      </c>
      <c r="E7" s="65" t="s">
        <v>37</v>
      </c>
      <c r="F7" s="16"/>
      <c r="G7" s="19" t="s">
        <v>38</v>
      </c>
      <c r="H7" s="19" t="s">
        <v>39</v>
      </c>
      <c r="J7" s="19" t="s">
        <v>40</v>
      </c>
      <c r="K7" s="20"/>
      <c r="L7" s="20"/>
      <c r="M7" s="20"/>
      <c r="N7" s="20"/>
      <c r="P7" s="19" t="s">
        <v>41</v>
      </c>
      <c r="Q7" s="20"/>
      <c r="R7" s="20"/>
      <c r="S7" s="20"/>
      <c r="T7" s="20"/>
    </row>
    <row r="8" spans="1:25" ht="12.75" customHeight="1" x14ac:dyDescent="0.2">
      <c r="A8" s="4"/>
      <c r="B8" s="4"/>
      <c r="C8" s="100"/>
      <c r="D8" s="100"/>
      <c r="E8" s="100"/>
      <c r="F8" s="16"/>
      <c r="G8" s="4"/>
      <c r="H8" s="4"/>
      <c r="J8" s="51" t="s">
        <v>4</v>
      </c>
      <c r="K8" s="51" t="s">
        <v>5</v>
      </c>
      <c r="L8" s="51" t="s">
        <v>6</v>
      </c>
      <c r="M8" s="51" t="s">
        <v>7</v>
      </c>
      <c r="N8" s="51" t="s">
        <v>8</v>
      </c>
      <c r="P8" s="51" t="s">
        <v>4</v>
      </c>
      <c r="Q8" s="51" t="s">
        <v>5</v>
      </c>
      <c r="R8" s="51" t="s">
        <v>6</v>
      </c>
      <c r="S8" s="51" t="s">
        <v>7</v>
      </c>
      <c r="T8" s="51" t="s">
        <v>8</v>
      </c>
    </row>
    <row r="9" spans="1:25" ht="12.75" customHeight="1" x14ac:dyDescent="0.2">
      <c r="F9" s="16"/>
    </row>
    <row r="10" spans="1:25" ht="12.75" customHeight="1" x14ac:dyDescent="0.2">
      <c r="A10" s="4"/>
      <c r="C10" s="82" t="s">
        <v>59</v>
      </c>
      <c r="D10" s="83" t="s">
        <v>42</v>
      </c>
      <c r="E10" s="81" t="s">
        <v>11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4">
        <f>76*3003</f>
        <v>228228</v>
      </c>
      <c r="K10" s="84">
        <f>56*3003</f>
        <v>168168</v>
      </c>
      <c r="L10" s="84">
        <f>25*3003</f>
        <v>75075</v>
      </c>
      <c r="M10" s="84">
        <f>(284*3003)</f>
        <v>852852</v>
      </c>
      <c r="N10" s="84">
        <f>76*3003</f>
        <v>228228</v>
      </c>
      <c r="O10" s="2"/>
      <c r="P10" s="5">
        <f t="shared" ref="P10:P54" si="0">IF($E10="Labour",$G10*J10,J10)</f>
        <v>228228</v>
      </c>
      <c r="Q10" s="5">
        <f t="shared" ref="Q10:Q54" si="1">IF($E10="Labour",$G10*K10,K10)</f>
        <v>168168</v>
      </c>
      <c r="R10" s="5">
        <f t="shared" ref="R10:R54" si="2">IF($E10="Labour",$G10*L10,L10)</f>
        <v>75075</v>
      </c>
      <c r="S10" s="5">
        <f t="shared" ref="S10:S54" si="3">IF($E10="Labour",$G10*M10,M10)</f>
        <v>852852</v>
      </c>
      <c r="T10" s="5">
        <f t="shared" ref="T10:T54" si="4">IF($E10="Labour",$G10*N10,N10)</f>
        <v>228228</v>
      </c>
    </row>
    <row r="11" spans="1:25" ht="12.75" customHeight="1" x14ac:dyDescent="0.2">
      <c r="A11" s="4"/>
      <c r="C11" s="82" t="s">
        <v>47</v>
      </c>
      <c r="D11" s="83" t="s">
        <v>42</v>
      </c>
      <c r="E11" s="81" t="s">
        <v>11</v>
      </c>
      <c r="F11" s="2"/>
      <c r="G11" s="64">
        <f>IF($E11="Labour",Assumptions!$B$14,)</f>
        <v>0</v>
      </c>
      <c r="H11" s="9" t="str">
        <f t="shared" ref="H11:H54" si="5">IF($E11="Labour","Hours","$")</f>
        <v>$</v>
      </c>
      <c r="I11" s="2"/>
      <c r="J11" s="84">
        <f>(47*2310)</f>
        <v>108570</v>
      </c>
      <c r="K11" s="84">
        <f>(1*2310)</f>
        <v>2310</v>
      </c>
      <c r="L11" s="84">
        <f>11*2310</f>
        <v>25410</v>
      </c>
      <c r="M11" s="84">
        <f>6*2310</f>
        <v>13860</v>
      </c>
      <c r="N11" s="84">
        <f>(47*2310)</f>
        <v>108570</v>
      </c>
      <c r="O11" s="2"/>
      <c r="P11" s="5">
        <f t="shared" si="0"/>
        <v>108570</v>
      </c>
      <c r="Q11" s="5">
        <f t="shared" si="1"/>
        <v>2310</v>
      </c>
      <c r="R11" s="5">
        <f t="shared" si="2"/>
        <v>25410</v>
      </c>
      <c r="S11" s="5">
        <f t="shared" si="3"/>
        <v>13860</v>
      </c>
      <c r="T11" s="5">
        <f t="shared" si="4"/>
        <v>108570</v>
      </c>
    </row>
    <row r="12" spans="1:25" ht="12.75" customHeight="1" x14ac:dyDescent="0.2">
      <c r="A12" s="4"/>
      <c r="C12" s="82" t="s">
        <v>48</v>
      </c>
      <c r="D12" s="83" t="s">
        <v>42</v>
      </c>
      <c r="E12" s="81" t="s">
        <v>11</v>
      </c>
      <c r="F12" s="2"/>
      <c r="G12" s="64">
        <f>IF($E12="Labour",Assumptions!$B$14,)</f>
        <v>0</v>
      </c>
      <c r="H12" s="9" t="str">
        <f t="shared" si="5"/>
        <v>$</v>
      </c>
      <c r="I12" s="2"/>
      <c r="J12" s="84">
        <f>131*1408</f>
        <v>184448</v>
      </c>
      <c r="K12" s="84">
        <f>52*1408</f>
        <v>73216</v>
      </c>
      <c r="L12" s="84">
        <f>131*1408</f>
        <v>184448</v>
      </c>
      <c r="M12" s="84">
        <f>52*1408</f>
        <v>73216</v>
      </c>
      <c r="N12" s="84">
        <f>131*1408</f>
        <v>184448</v>
      </c>
      <c r="O12" s="2"/>
      <c r="P12" s="5">
        <f t="shared" si="0"/>
        <v>184448</v>
      </c>
      <c r="Q12" s="5">
        <f t="shared" si="1"/>
        <v>73216</v>
      </c>
      <c r="R12" s="5">
        <f t="shared" si="2"/>
        <v>184448</v>
      </c>
      <c r="S12" s="5">
        <f t="shared" si="3"/>
        <v>73216</v>
      </c>
      <c r="T12" s="5">
        <f t="shared" si="4"/>
        <v>184448</v>
      </c>
    </row>
    <row r="13" spans="1:25" ht="12.75" customHeight="1" x14ac:dyDescent="0.25">
      <c r="A13" s="4"/>
      <c r="C13" s="82" t="s">
        <v>49</v>
      </c>
      <c r="D13" s="83" t="s">
        <v>42</v>
      </c>
      <c r="E13" s="81" t="s">
        <v>11</v>
      </c>
      <c r="F13" s="2"/>
      <c r="G13" s="64">
        <f>IF($E13="Labour",Assumptions!$B$14,)</f>
        <v>0</v>
      </c>
      <c r="H13" s="9" t="str">
        <f t="shared" si="5"/>
        <v>$</v>
      </c>
      <c r="I13" s="2"/>
      <c r="J13" s="84">
        <f>3*2067</f>
        <v>6201</v>
      </c>
      <c r="K13" s="84">
        <f>20*2067</f>
        <v>41340</v>
      </c>
      <c r="L13" s="84">
        <f>3*2067</f>
        <v>6201</v>
      </c>
      <c r="M13" s="84">
        <f>20*2067</f>
        <v>41340</v>
      </c>
      <c r="N13" s="84">
        <f>3*2067</f>
        <v>6201</v>
      </c>
      <c r="O13" s="2"/>
      <c r="P13" s="5">
        <f t="shared" si="0"/>
        <v>6201</v>
      </c>
      <c r="Q13" s="5">
        <f t="shared" si="1"/>
        <v>41340</v>
      </c>
      <c r="R13" s="5">
        <f t="shared" si="2"/>
        <v>6201</v>
      </c>
      <c r="S13" s="5">
        <f t="shared" si="3"/>
        <v>41340</v>
      </c>
      <c r="T13" s="5">
        <f t="shared" si="4"/>
        <v>6201</v>
      </c>
      <c r="Y13"/>
    </row>
    <row r="14" spans="1:25" ht="12.75" customHeight="1" x14ac:dyDescent="0.25">
      <c r="A14" s="4"/>
      <c r="C14" s="82" t="s">
        <v>50</v>
      </c>
      <c r="D14" s="83" t="s">
        <v>42</v>
      </c>
      <c r="E14" s="81" t="s">
        <v>11</v>
      </c>
      <c r="F14" s="2"/>
      <c r="G14" s="64">
        <f>IF($E14="Labour",Assumptions!$B$14,)</f>
        <v>0</v>
      </c>
      <c r="H14" s="9" t="str">
        <f t="shared" si="5"/>
        <v>$</v>
      </c>
      <c r="I14" s="2"/>
      <c r="J14" s="84">
        <f>(8*1457)</f>
        <v>11656</v>
      </c>
      <c r="K14" s="84">
        <f>(16*1457)</f>
        <v>23312</v>
      </c>
      <c r="L14" s="84">
        <f>(22*1457)</f>
        <v>32054</v>
      </c>
      <c r="M14" s="84">
        <f>(8*1457)</f>
        <v>11656</v>
      </c>
      <c r="N14" s="84">
        <f>(16*1457)</f>
        <v>23312</v>
      </c>
      <c r="O14" s="2"/>
      <c r="P14" s="5">
        <f t="shared" si="0"/>
        <v>11656</v>
      </c>
      <c r="Q14" s="5">
        <f t="shared" si="1"/>
        <v>23312</v>
      </c>
      <c r="R14" s="5">
        <f t="shared" si="2"/>
        <v>32054</v>
      </c>
      <c r="S14" s="5">
        <f t="shared" si="3"/>
        <v>11656</v>
      </c>
      <c r="T14" s="5">
        <f t="shared" si="4"/>
        <v>23312</v>
      </c>
      <c r="Y14"/>
    </row>
    <row r="15" spans="1:25" ht="12.75" customHeight="1" x14ac:dyDescent="0.25">
      <c r="A15" s="4"/>
      <c r="C15" s="82" t="s">
        <v>51</v>
      </c>
      <c r="D15" s="83" t="s">
        <v>42</v>
      </c>
      <c r="E15" s="81" t="s">
        <v>11</v>
      </c>
      <c r="F15" s="2"/>
      <c r="G15" s="64">
        <f>IF($E15="Labour",Assumptions!$B$14,)</f>
        <v>0</v>
      </c>
      <c r="H15" s="9" t="str">
        <f t="shared" si="5"/>
        <v>$</v>
      </c>
      <c r="I15" s="2"/>
      <c r="J15" s="84">
        <f>4*2527</f>
        <v>10108</v>
      </c>
      <c r="K15" s="84">
        <f>(9*2527)</f>
        <v>22743</v>
      </c>
      <c r="L15" s="84">
        <f>(6*2527)</f>
        <v>15162</v>
      </c>
      <c r="M15" s="84">
        <f>(4*2527)</f>
        <v>10108</v>
      </c>
      <c r="N15" s="84">
        <f>(9*2527)</f>
        <v>22743</v>
      </c>
      <c r="O15" s="2"/>
      <c r="P15" s="5">
        <f t="shared" si="0"/>
        <v>10108</v>
      </c>
      <c r="Q15" s="5">
        <f t="shared" si="1"/>
        <v>22743</v>
      </c>
      <c r="R15" s="5">
        <f t="shared" si="2"/>
        <v>15162</v>
      </c>
      <c r="S15" s="5">
        <f t="shared" si="3"/>
        <v>10108</v>
      </c>
      <c r="T15" s="5">
        <f t="shared" si="4"/>
        <v>22743</v>
      </c>
      <c r="Y15"/>
    </row>
    <row r="16" spans="1:25" ht="12.75" customHeight="1" x14ac:dyDescent="0.25">
      <c r="A16" s="4"/>
      <c r="C16" s="82" t="s">
        <v>52</v>
      </c>
      <c r="D16" s="83" t="s">
        <v>42</v>
      </c>
      <c r="E16" s="81" t="s">
        <v>10</v>
      </c>
      <c r="F16" s="2"/>
      <c r="G16" s="64">
        <f>IF($E16="Labour",Assumptions!$B$14,)</f>
        <v>145.77740895836223</v>
      </c>
      <c r="H16" s="9" t="str">
        <f t="shared" si="5"/>
        <v>Hours</v>
      </c>
      <c r="I16" s="2"/>
      <c r="J16" s="84">
        <f>304+1950</f>
        <v>2254</v>
      </c>
      <c r="K16" s="84">
        <f>224+1950</f>
        <v>2174</v>
      </c>
      <c r="L16" s="84">
        <f>100+1950</f>
        <v>2050</v>
      </c>
      <c r="M16" s="84">
        <f>1136+1950</f>
        <v>3086</v>
      </c>
      <c r="N16" s="84">
        <f>304+1950</f>
        <v>2254</v>
      </c>
      <c r="O16" s="2"/>
      <c r="P16" s="5">
        <f t="shared" si="0"/>
        <v>328582.27979214845</v>
      </c>
      <c r="Q16" s="5">
        <f t="shared" si="1"/>
        <v>316920.0870754795</v>
      </c>
      <c r="R16" s="5">
        <f t="shared" si="2"/>
        <v>298843.68836464256</v>
      </c>
      <c r="S16" s="5">
        <f t="shared" si="3"/>
        <v>449869.08404550585</v>
      </c>
      <c r="T16" s="5">
        <f t="shared" si="4"/>
        <v>328582.27979214845</v>
      </c>
      <c r="Y16"/>
    </row>
    <row r="17" spans="1:25" ht="12.75" customHeight="1" x14ac:dyDescent="0.25">
      <c r="A17" s="4"/>
      <c r="C17" s="82" t="s">
        <v>53</v>
      </c>
      <c r="D17" s="83" t="s">
        <v>42</v>
      </c>
      <c r="E17" s="81" t="s">
        <v>10</v>
      </c>
      <c r="F17" s="2"/>
      <c r="G17" s="64">
        <f>IF($E17="Labour",Assumptions!$B$14,)</f>
        <v>145.77740895836223</v>
      </c>
      <c r="H17" s="9" t="str">
        <f t="shared" si="5"/>
        <v>Hours</v>
      </c>
      <c r="I17" s="2"/>
      <c r="J17" s="84">
        <v>188</v>
      </c>
      <c r="K17" s="84">
        <v>4</v>
      </c>
      <c r="L17" s="84">
        <v>44</v>
      </c>
      <c r="M17" s="84">
        <v>24</v>
      </c>
      <c r="N17" s="84">
        <v>188</v>
      </c>
      <c r="O17" s="2"/>
      <c r="P17" s="5">
        <f t="shared" si="0"/>
        <v>27406.152884172101</v>
      </c>
      <c r="Q17" s="5">
        <f t="shared" si="1"/>
        <v>583.10963583344892</v>
      </c>
      <c r="R17" s="5">
        <f t="shared" si="2"/>
        <v>6414.2059941679381</v>
      </c>
      <c r="S17" s="5">
        <f t="shared" si="3"/>
        <v>3498.6578150006935</v>
      </c>
      <c r="T17" s="5">
        <f t="shared" si="4"/>
        <v>27406.152884172101</v>
      </c>
      <c r="Y17"/>
    </row>
    <row r="18" spans="1:25" ht="12.75" customHeight="1" x14ac:dyDescent="0.25">
      <c r="A18" s="4"/>
      <c r="C18" s="82" t="s">
        <v>54</v>
      </c>
      <c r="D18" s="83" t="s">
        <v>42</v>
      </c>
      <c r="E18" s="81" t="s">
        <v>10</v>
      </c>
      <c r="F18" s="2"/>
      <c r="G18" s="64">
        <f>IF($E18="Labour",Assumptions!$B$14,)</f>
        <v>145.77740895836223</v>
      </c>
      <c r="H18" s="9" t="str">
        <f t="shared" si="5"/>
        <v>Hours</v>
      </c>
      <c r="I18" s="2"/>
      <c r="J18" s="84">
        <v>201</v>
      </c>
      <c r="K18" s="84">
        <v>108</v>
      </c>
      <c r="L18" s="84">
        <v>201</v>
      </c>
      <c r="M18" s="84">
        <v>108</v>
      </c>
      <c r="N18" s="84">
        <v>201</v>
      </c>
      <c r="O18" s="2"/>
      <c r="P18" s="5">
        <f t="shared" si="0"/>
        <v>29301.259200630808</v>
      </c>
      <c r="Q18" s="5">
        <f t="shared" si="1"/>
        <v>15743.960167503121</v>
      </c>
      <c r="R18" s="5">
        <f t="shared" si="2"/>
        <v>29301.259200630808</v>
      </c>
      <c r="S18" s="5">
        <f t="shared" si="3"/>
        <v>15743.960167503121</v>
      </c>
      <c r="T18" s="5">
        <f t="shared" si="4"/>
        <v>29301.259200630808</v>
      </c>
      <c r="Y18"/>
    </row>
    <row r="19" spans="1:25" ht="12.75" customHeight="1" x14ac:dyDescent="0.25">
      <c r="A19" s="4"/>
      <c r="C19" s="82" t="s">
        <v>55</v>
      </c>
      <c r="D19" s="83" t="s">
        <v>42</v>
      </c>
      <c r="E19" s="81" t="s">
        <v>10</v>
      </c>
      <c r="F19" s="2"/>
      <c r="G19" s="64">
        <f>IF($E19="Labour",Assumptions!$B$14,)</f>
        <v>145.77740895836223</v>
      </c>
      <c r="H19" s="9" t="str">
        <f t="shared" si="5"/>
        <v>Hours</v>
      </c>
      <c r="I19" s="2"/>
      <c r="J19" s="84">
        <v>18</v>
      </c>
      <c r="K19" s="84">
        <v>37.5</v>
      </c>
      <c r="L19" s="84">
        <v>42</v>
      </c>
      <c r="M19" s="84">
        <v>18</v>
      </c>
      <c r="N19" s="84">
        <v>37.5</v>
      </c>
      <c r="O19" s="2"/>
      <c r="P19" s="5">
        <f t="shared" si="0"/>
        <v>2623.9933612505201</v>
      </c>
      <c r="Q19" s="5">
        <f t="shared" si="1"/>
        <v>5466.6528359385838</v>
      </c>
      <c r="R19" s="5">
        <f t="shared" si="2"/>
        <v>6122.6511762512137</v>
      </c>
      <c r="S19" s="5">
        <f t="shared" si="3"/>
        <v>2623.9933612505201</v>
      </c>
      <c r="T19" s="5">
        <f t="shared" si="4"/>
        <v>5466.6528359385838</v>
      </c>
      <c r="Y19"/>
    </row>
    <row r="20" spans="1:25" ht="12.75" customHeight="1" x14ac:dyDescent="0.25">
      <c r="A20" s="4"/>
      <c r="C20" s="82" t="s">
        <v>60</v>
      </c>
      <c r="D20" s="83" t="s">
        <v>36</v>
      </c>
      <c r="E20" s="81" t="s">
        <v>10</v>
      </c>
      <c r="F20" s="2"/>
      <c r="G20" s="64">
        <f>IF($E20="Labour",Assumptions!$B$14,)</f>
        <v>145.77740895836223</v>
      </c>
      <c r="H20" s="9" t="str">
        <f t="shared" si="5"/>
        <v>Hours</v>
      </c>
      <c r="I20" s="2"/>
      <c r="J20" s="84"/>
      <c r="K20" s="84">
        <v>225</v>
      </c>
      <c r="L20" s="84">
        <v>736</v>
      </c>
      <c r="M20" s="84"/>
      <c r="N20" s="84"/>
      <c r="O20" s="2"/>
      <c r="P20" s="5">
        <f t="shared" si="0"/>
        <v>0</v>
      </c>
      <c r="Q20" s="5">
        <f t="shared" si="1"/>
        <v>32799.917015631501</v>
      </c>
      <c r="R20" s="5">
        <f t="shared" si="2"/>
        <v>107292.1729933546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 t="s">
        <v>61</v>
      </c>
      <c r="D21" s="83" t="s">
        <v>36</v>
      </c>
      <c r="E21" s="81" t="s">
        <v>11</v>
      </c>
      <c r="F21" s="2"/>
      <c r="G21" s="64">
        <f>IF($E21="Labour",Assumptions!$B$14,)</f>
        <v>0</v>
      </c>
      <c r="H21" s="9" t="str">
        <f t="shared" si="5"/>
        <v>$</v>
      </c>
      <c r="I21" s="2"/>
      <c r="J21" s="84"/>
      <c r="K21" s="84"/>
      <c r="L21" s="84">
        <v>552000</v>
      </c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552000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/>
      <c r="E22" s="81"/>
      <c r="F22" s="2"/>
      <c r="G22" s="64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/>
      <c r="E23" s="81"/>
      <c r="F23" s="2"/>
      <c r="G23" s="64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/>
      <c r="E24" s="81"/>
      <c r="F24" s="2"/>
      <c r="G24" s="64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/>
      <c r="E25" s="81"/>
      <c r="F25" s="2"/>
      <c r="G25" s="64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/>
      <c r="E26" s="81"/>
      <c r="F26" s="2"/>
      <c r="G26" s="64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/>
      <c r="E27" s="81"/>
      <c r="F27" s="2"/>
      <c r="G27" s="64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/>
      <c r="E28" s="81"/>
      <c r="F28" s="2"/>
      <c r="G28" s="64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/>
      <c r="E29" s="81"/>
      <c r="F29" s="2"/>
      <c r="G29" s="64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/>
      <c r="E30" s="81"/>
      <c r="F30" s="2"/>
      <c r="G30" s="64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/>
      <c r="E31" s="81"/>
      <c r="F31" s="2"/>
      <c r="G31" s="64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/>
      <c r="E32" s="81"/>
      <c r="F32" s="2"/>
      <c r="G32" s="64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/>
      <c r="E33" s="81"/>
      <c r="F33" s="2"/>
      <c r="G33" s="64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/>
      <c r="E34" s="81"/>
      <c r="F34" s="2"/>
      <c r="G34" s="64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/>
      <c r="E35" s="81"/>
      <c r="F35" s="2"/>
      <c r="G35" s="64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/>
      <c r="E36" s="81"/>
      <c r="F36" s="2"/>
      <c r="G36" s="64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/>
      <c r="E37" s="81"/>
      <c r="F37" s="2"/>
      <c r="G37" s="64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/>
      <c r="E38" s="81"/>
      <c r="F38" s="2"/>
      <c r="G38" s="64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/>
      <c r="E39" s="81"/>
      <c r="F39" s="2"/>
      <c r="G39" s="64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/>
      <c r="E40" s="81"/>
      <c r="G40" s="64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/>
      <c r="E41" s="81"/>
      <c r="G41" s="64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/>
      <c r="E42" s="81"/>
      <c r="G42" s="64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/>
      <c r="E43" s="81"/>
      <c r="G43" s="64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/>
      <c r="E44" s="81"/>
      <c r="G44" s="64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/>
      <c r="E45" s="81"/>
      <c r="G45" s="64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/>
      <c r="E46" s="81"/>
      <c r="G46" s="64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/>
      <c r="E47" s="81"/>
      <c r="G47" s="64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/>
      <c r="E48" s="81"/>
      <c r="G48" s="64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/>
      <c r="E49" s="81"/>
      <c r="G49" s="64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/>
      <c r="E50" s="81"/>
      <c r="G50" s="64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/>
      <c r="E51" s="81"/>
      <c r="G51" s="64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/>
      <c r="E52" s="81"/>
      <c r="G52" s="64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/>
      <c r="E53" s="81"/>
      <c r="G53" s="64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/>
      <c r="E54" s="81"/>
      <c r="G54" s="64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43</v>
      </c>
      <c r="F57" s="2"/>
      <c r="I57" s="2"/>
      <c r="O57" s="2"/>
      <c r="P57" s="69" t="s">
        <v>4</v>
      </c>
      <c r="Q57" s="69" t="s">
        <v>5</v>
      </c>
      <c r="R57" s="69" t="s">
        <v>6</v>
      </c>
      <c r="S57" s="69" t="s">
        <v>7</v>
      </c>
      <c r="T57" s="69" t="s">
        <v>8</v>
      </c>
      <c r="U57" s="69" t="s">
        <v>9</v>
      </c>
      <c r="Y57"/>
    </row>
    <row r="58" spans="1:25" ht="12.75" customHeight="1" x14ac:dyDescent="0.2">
      <c r="C58" s="24" t="s">
        <v>10</v>
      </c>
      <c r="D58" s="24" t="s">
        <v>42</v>
      </c>
      <c r="E58" s="24"/>
      <c r="F58" s="2"/>
      <c r="G58" s="66"/>
      <c r="H58" s="67"/>
      <c r="I58" s="2"/>
      <c r="J58" s="24"/>
      <c r="K58" s="24"/>
      <c r="L58" s="24"/>
      <c r="M58" s="24"/>
      <c r="N58" s="24"/>
      <c r="O58" s="2"/>
      <c r="P58" s="25">
        <f t="shared" ref="P58:T60" si="6">SUMIFS(P$10:P$54,$E$10:$E$54,$C58,$D$10:$D$54,$D58)</f>
        <v>387913.68523820187</v>
      </c>
      <c r="Q58" s="25">
        <f t="shared" si="6"/>
        <v>371513.72673038614</v>
      </c>
      <c r="R58" s="25">
        <f t="shared" si="6"/>
        <v>447973.97772904718</v>
      </c>
      <c r="S58" s="25">
        <f t="shared" si="6"/>
        <v>471735.69538926013</v>
      </c>
      <c r="T58" s="25">
        <f t="shared" si="6"/>
        <v>390756.34471288993</v>
      </c>
      <c r="U58" s="71">
        <f>SUM(P58:T58)</f>
        <v>2069893.4297997851</v>
      </c>
    </row>
    <row r="59" spans="1:25" ht="12.75" customHeight="1" x14ac:dyDescent="0.2">
      <c r="C59" s="1" t="s">
        <v>11</v>
      </c>
      <c r="D59" s="1" t="s">
        <v>42</v>
      </c>
      <c r="F59" s="2"/>
      <c r="G59" s="68"/>
      <c r="I59" s="2"/>
      <c r="O59" s="2"/>
      <c r="P59" s="6">
        <f t="shared" si="6"/>
        <v>549211</v>
      </c>
      <c r="Q59" s="6">
        <f t="shared" si="6"/>
        <v>331089</v>
      </c>
      <c r="R59" s="6">
        <f t="shared" si="6"/>
        <v>890350</v>
      </c>
      <c r="S59" s="6">
        <f t="shared" si="6"/>
        <v>1003032</v>
      </c>
      <c r="T59" s="6">
        <f t="shared" si="6"/>
        <v>573502</v>
      </c>
      <c r="U59" s="72">
        <f t="shared" ref="U59:U61" si="7">SUM(P59:T59)</f>
        <v>3347184</v>
      </c>
    </row>
    <row r="60" spans="1:25" ht="12.75" customHeight="1" x14ac:dyDescent="0.2">
      <c r="C60" s="1" t="s">
        <v>12</v>
      </c>
      <c r="D60" s="1" t="s">
        <v>42</v>
      </c>
      <c r="F60" s="2"/>
      <c r="G60" s="68"/>
      <c r="I60" s="2"/>
      <c r="O60" s="2"/>
      <c r="P60" s="6">
        <f t="shared" si="6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2">
        <f t="shared" si="7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937124.68523820187</v>
      </c>
      <c r="Q61" s="8">
        <f>SUM(Q58:Q60)</f>
        <v>702602.72673038614</v>
      </c>
      <c r="R61" s="8">
        <f>SUM(R58:R60)</f>
        <v>1338323.9777290472</v>
      </c>
      <c r="S61" s="8">
        <f>SUM(S58:S60)</f>
        <v>1474767.6953892601</v>
      </c>
      <c r="T61" s="8">
        <f>SUM(T58:T60)</f>
        <v>964258.34471288999</v>
      </c>
      <c r="U61" s="73">
        <f t="shared" si="7"/>
        <v>5417077.4297997849</v>
      </c>
    </row>
    <row r="62" spans="1:25" ht="12.75" customHeight="1" x14ac:dyDescent="0.2">
      <c r="C62" s="45" t="s">
        <v>44</v>
      </c>
      <c r="D62" s="45"/>
      <c r="E62" s="45"/>
      <c r="F62" s="2"/>
      <c r="G62" s="45"/>
      <c r="H62" s="45"/>
      <c r="I62" s="2"/>
      <c r="J62" s="45"/>
      <c r="K62" s="45"/>
      <c r="L62" s="45"/>
      <c r="M62" s="45"/>
      <c r="N62" s="45"/>
      <c r="O62" s="2"/>
      <c r="P62" s="46">
        <f>P61-SUM(P$10:P$54)</f>
        <v>0</v>
      </c>
      <c r="Q62" s="46">
        <f>Q61-SUM(Q$10:Q$54)</f>
        <v>0</v>
      </c>
      <c r="R62" s="46">
        <f>R61-SUM(R$10:R$54)</f>
        <v>0</v>
      </c>
      <c r="S62" s="46">
        <f>S61-SUM(S$10:S$54)</f>
        <v>0</v>
      </c>
      <c r="T62" s="46">
        <f>T61-SUM(T$10:T$54)</f>
        <v>0</v>
      </c>
      <c r="U62" s="74"/>
      <c r="V62" s="46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5" t="str">
        <f>"NPV ($ "&amp;Assumptions!$B$12&amp;")"</f>
        <v>NPV ($ June 2024)</v>
      </c>
      <c r="D64" s="56">
        <f>NPV(Real_Discount_rate,P61:T61)</f>
        <v>4865467.689509348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7" t="s">
        <v>45</v>
      </c>
      <c r="F67" s="2"/>
      <c r="I67" s="2"/>
      <c r="O67" s="2"/>
      <c r="P67" s="69" t="s">
        <v>4</v>
      </c>
      <c r="Q67" s="69" t="s">
        <v>5</v>
      </c>
      <c r="R67" s="69" t="s">
        <v>6</v>
      </c>
      <c r="S67" s="69" t="s">
        <v>7</v>
      </c>
      <c r="T67" s="69" t="s">
        <v>8</v>
      </c>
      <c r="U67" s="69" t="s">
        <v>9</v>
      </c>
    </row>
    <row r="68" spans="3:21" ht="12.75" customHeight="1" x14ac:dyDescent="0.2">
      <c r="C68" s="24" t="s">
        <v>10</v>
      </c>
      <c r="D68" s="24" t="s">
        <v>42</v>
      </c>
      <c r="E68" s="24"/>
      <c r="F68" s="2"/>
      <c r="G68" s="66"/>
      <c r="H68" s="67"/>
      <c r="I68" s="2"/>
      <c r="J68" s="24"/>
      <c r="K68" s="24"/>
      <c r="L68" s="24"/>
      <c r="M68" s="24"/>
      <c r="N68" s="24"/>
      <c r="O68" s="2"/>
      <c r="P68" s="34">
        <f t="shared" ref="P68:T70" si="8">P58*business_case_dollars</f>
        <v>431714.04601966188</v>
      </c>
      <c r="Q68" s="34">
        <f t="shared" si="8"/>
        <v>413462.32479560631</v>
      </c>
      <c r="R68" s="34">
        <f t="shared" si="8"/>
        <v>498555.90508020343</v>
      </c>
      <c r="S68" s="34">
        <f t="shared" si="8"/>
        <v>525000.62116483494</v>
      </c>
      <c r="T68" s="34">
        <f t="shared" si="8"/>
        <v>434877.67769849818</v>
      </c>
      <c r="U68" s="71">
        <f>SUM(P68:T68)</f>
        <v>2303610.5747588049</v>
      </c>
    </row>
    <row r="69" spans="3:21" ht="12.75" customHeight="1" x14ac:dyDescent="0.2">
      <c r="C69" s="1" t="s">
        <v>11</v>
      </c>
      <c r="D69" s="1" t="s">
        <v>42</v>
      </c>
      <c r="F69" s="2"/>
      <c r="G69" s="68"/>
      <c r="I69" s="2"/>
      <c r="O69" s="2"/>
      <c r="P69" s="6">
        <f t="shared" si="8"/>
        <v>611223.86745110538</v>
      </c>
      <c r="Q69" s="6">
        <f t="shared" si="8"/>
        <v>368473.13518942456</v>
      </c>
      <c r="R69" s="6">
        <f t="shared" si="8"/>
        <v>990881.77473701676</v>
      </c>
      <c r="S69" s="6">
        <f t="shared" si="8"/>
        <v>1116286.9975605318</v>
      </c>
      <c r="T69" s="6">
        <f t="shared" si="8"/>
        <v>638257.62854521093</v>
      </c>
      <c r="U69" s="72">
        <f t="shared" ref="U69:U71" si="9">SUM(P69:T69)</f>
        <v>3725123.4034832893</v>
      </c>
    </row>
    <row r="70" spans="3:21" ht="12.75" customHeight="1" x14ac:dyDescent="0.2">
      <c r="C70" s="1" t="s">
        <v>12</v>
      </c>
      <c r="D70" s="1" t="s">
        <v>42</v>
      </c>
      <c r="F70" s="2"/>
      <c r="G70" s="68"/>
      <c r="I70" s="2"/>
      <c r="O70" s="2"/>
      <c r="P70" s="6">
        <f t="shared" si="8"/>
        <v>0</v>
      </c>
      <c r="Q70" s="6">
        <f t="shared" si="8"/>
        <v>0</v>
      </c>
      <c r="R70" s="6">
        <f t="shared" si="8"/>
        <v>0</v>
      </c>
      <c r="S70" s="6">
        <f t="shared" si="8"/>
        <v>0</v>
      </c>
      <c r="T70" s="6">
        <f t="shared" si="8"/>
        <v>0</v>
      </c>
      <c r="U70" s="72">
        <f t="shared" si="9"/>
        <v>0</v>
      </c>
    </row>
    <row r="71" spans="3:21" x14ac:dyDescent="0.2">
      <c r="C71" s="7" t="str">
        <f>"Total Expenditure ($ "&amp;Assumptions!$C$36&amp;")"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1042937.9134707672</v>
      </c>
      <c r="Q71" s="8">
        <f>SUM(Q68:Q70)</f>
        <v>781935.45998503082</v>
      </c>
      <c r="R71" s="8">
        <f>SUM(R68:R70)</f>
        <v>1489437.6798172202</v>
      </c>
      <c r="S71" s="8">
        <f>SUM(S68:S70)</f>
        <v>1641287.6187253669</v>
      </c>
      <c r="T71" s="8">
        <f>SUM(T68:T70)</f>
        <v>1073135.3062437091</v>
      </c>
      <c r="U71" s="73">
        <f t="shared" si="9"/>
        <v>6028733.9782420946</v>
      </c>
    </row>
    <row r="72" spans="3:21" x14ac:dyDescent="0.2">
      <c r="F72" s="2"/>
      <c r="I72" s="2"/>
      <c r="O72" s="2"/>
    </row>
    <row r="73" spans="3:21" x14ac:dyDescent="0.2">
      <c r="C73" s="55" t="str">
        <f>"NPV ($ "&amp;Assumptions!$C$36&amp;")"</f>
        <v>NPV ($ June 2026)</v>
      </c>
      <c r="D73" s="56">
        <f>NPV(Real_Discount_rate,P71:T71)</f>
        <v>5414840.522386292</v>
      </c>
      <c r="F73" s="2"/>
      <c r="I73" s="2"/>
      <c r="O73" s="2"/>
      <c r="P73" s="52"/>
      <c r="Q73" s="52"/>
      <c r="R73" s="52"/>
      <c r="S73" s="52"/>
      <c r="T73" s="52"/>
    </row>
  </sheetData>
  <conditionalFormatting sqref="G10:G54">
    <cfRule type="expression" dxfId="9" priority="2">
      <formula>$E10="Contracts"</formula>
    </cfRule>
    <cfRule type="expression" dxfId="8" priority="3">
      <formula>$E10="Materials"</formula>
    </cfRule>
    <cfRule type="expression" dxfId="7" priority="4">
      <formula>$E10="Labour"</formula>
    </cfRule>
  </conditionalFormatting>
  <conditionalFormatting sqref="P62:U62">
    <cfRule type="expression" dxfId="6" priority="1">
      <formula>ABS(P62)&gt;0.001</formula>
    </cfRule>
  </conditionalFormatting>
  <conditionalFormatting sqref="V62">
    <cfRule type="expression" dxfId="5" priority="8">
      <formula>ABS(V62)&gt;0.001</formula>
    </cfRule>
  </conditionalFormatting>
  <dataValidations count="2">
    <dataValidation type="list" allowBlank="1" showInputMessage="1" showErrorMessage="1" sqref="E10:E54" xr:uid="{B30C51E7-6CCB-4165-857D-6C68F6D5B597}">
      <formula1>"Labour, Materials, Contracts"</formula1>
    </dataValidation>
    <dataValidation type="list" allowBlank="1" showInputMessage="1" showErrorMessage="1" sqref="D20:D21" xr:uid="{FB12CEB8-37E7-450E-9C9B-E73F800CFF3C}">
      <formula1>"Capex, Opex"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73"/>
  <sheetViews>
    <sheetView showGridLines="0" zoomScale="90" zoomScaleNormal="90" workbookViewId="0">
      <pane ySplit="9" topLeftCell="A10" activePane="bottomLeft" state="frozen"/>
      <selection activeCell="H19" sqref="H19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46.7109375" style="1" customWidth="1"/>
    <col min="4" max="4" width="11.285156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End user device management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35</v>
      </c>
      <c r="D7" s="65" t="s">
        <v>36</v>
      </c>
      <c r="E7" s="65" t="s">
        <v>37</v>
      </c>
      <c r="F7" s="16"/>
      <c r="G7" s="19" t="s">
        <v>38</v>
      </c>
      <c r="H7" s="19" t="s">
        <v>39</v>
      </c>
      <c r="J7" s="19" t="s">
        <v>40</v>
      </c>
      <c r="K7" s="20"/>
      <c r="L7" s="20"/>
      <c r="M7" s="20"/>
      <c r="N7" s="20"/>
      <c r="P7" s="19" t="s">
        <v>41</v>
      </c>
      <c r="Q7" s="20"/>
      <c r="R7" s="20"/>
      <c r="S7" s="20"/>
      <c r="T7" s="20"/>
    </row>
    <row r="8" spans="1:25" ht="12.75" customHeight="1" x14ac:dyDescent="0.2">
      <c r="A8" s="4"/>
      <c r="B8" s="4"/>
      <c r="C8" s="100"/>
      <c r="D8" s="100"/>
      <c r="E8" s="100"/>
      <c r="F8" s="16"/>
      <c r="G8" s="4"/>
      <c r="H8" s="4"/>
      <c r="J8" s="51" t="s">
        <v>4</v>
      </c>
      <c r="K8" s="51" t="s">
        <v>5</v>
      </c>
      <c r="L8" s="51" t="s">
        <v>6</v>
      </c>
      <c r="M8" s="51" t="s">
        <v>7</v>
      </c>
      <c r="N8" s="51" t="s">
        <v>8</v>
      </c>
      <c r="P8" s="51" t="s">
        <v>4</v>
      </c>
      <c r="Q8" s="51" t="s">
        <v>5</v>
      </c>
      <c r="R8" s="51" t="s">
        <v>6</v>
      </c>
      <c r="S8" s="51" t="s">
        <v>7</v>
      </c>
      <c r="T8" s="51" t="s">
        <v>8</v>
      </c>
    </row>
    <row r="9" spans="1:25" ht="12.75" customHeight="1" x14ac:dyDescent="0.2">
      <c r="F9" s="16"/>
    </row>
    <row r="10" spans="1:25" ht="12.75" customHeight="1" x14ac:dyDescent="0.2">
      <c r="A10" s="4"/>
      <c r="C10" s="82" t="s">
        <v>46</v>
      </c>
      <c r="D10" s="83" t="s">
        <v>42</v>
      </c>
      <c r="E10" s="81" t="s">
        <v>11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4">
        <f>(441*3003)</f>
        <v>1324323</v>
      </c>
      <c r="K10" s="84">
        <v>0</v>
      </c>
      <c r="L10" s="84">
        <v>0</v>
      </c>
      <c r="M10" s="84">
        <v>0</v>
      </c>
      <c r="N10" s="84">
        <f>(441*3003)</f>
        <v>1324323</v>
      </c>
      <c r="O10" s="2"/>
      <c r="P10" s="5">
        <f t="shared" ref="P10:P54" si="0">IF($E10="Labour",$G10*J10,J10)</f>
        <v>1324323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1324323</v>
      </c>
    </row>
    <row r="11" spans="1:25" ht="12.75" customHeight="1" x14ac:dyDescent="0.2">
      <c r="A11" s="4"/>
      <c r="C11" s="82" t="s">
        <v>47</v>
      </c>
      <c r="D11" s="83" t="s">
        <v>42</v>
      </c>
      <c r="E11" s="81" t="s">
        <v>11</v>
      </c>
      <c r="F11" s="2"/>
      <c r="G11" s="64">
        <f>IF($E11="Labour",Assumptions!$B$14,)</f>
        <v>0</v>
      </c>
      <c r="H11" s="9" t="str">
        <f t="shared" ref="H11:H54" si="5">IF($E11="Labour","Hours","$")</f>
        <v>$</v>
      </c>
      <c r="I11" s="2"/>
      <c r="J11" s="84">
        <f>(65*2310)</f>
        <v>150150</v>
      </c>
      <c r="K11" s="84">
        <v>0</v>
      </c>
      <c r="L11" s="84">
        <v>0</v>
      </c>
      <c r="M11" s="84">
        <v>0</v>
      </c>
      <c r="N11" s="84">
        <f>(65*2310)</f>
        <v>150150</v>
      </c>
      <c r="O11" s="2"/>
      <c r="P11" s="5">
        <f t="shared" si="0"/>
        <v>150150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150150</v>
      </c>
    </row>
    <row r="12" spans="1:25" ht="12.75" customHeight="1" x14ac:dyDescent="0.2">
      <c r="A12" s="4"/>
      <c r="C12" s="82" t="s">
        <v>48</v>
      </c>
      <c r="D12" s="83" t="s">
        <v>42</v>
      </c>
      <c r="E12" s="81" t="s">
        <v>11</v>
      </c>
      <c r="F12" s="2"/>
      <c r="G12" s="64">
        <f>IF($E12="Labour",Assumptions!$B$14,)</f>
        <v>0</v>
      </c>
      <c r="H12" s="9" t="str">
        <f t="shared" si="5"/>
        <v>$</v>
      </c>
      <c r="I12" s="2"/>
      <c r="J12" s="84">
        <f>183*1408</f>
        <v>257664</v>
      </c>
      <c r="K12" s="84">
        <v>0</v>
      </c>
      <c r="L12" s="84">
        <f>183*1408</f>
        <v>257664</v>
      </c>
      <c r="M12" s="84">
        <v>0</v>
      </c>
      <c r="N12" s="84">
        <f>183*1408</f>
        <v>257664</v>
      </c>
      <c r="O12" s="2"/>
      <c r="P12" s="5">
        <f t="shared" si="0"/>
        <v>257664</v>
      </c>
      <c r="Q12" s="5">
        <f t="shared" si="1"/>
        <v>0</v>
      </c>
      <c r="R12" s="5">
        <f t="shared" si="2"/>
        <v>257664</v>
      </c>
      <c r="S12" s="5">
        <f t="shared" si="3"/>
        <v>0</v>
      </c>
      <c r="T12" s="5">
        <f t="shared" si="4"/>
        <v>257664</v>
      </c>
    </row>
    <row r="13" spans="1:25" ht="12.75" customHeight="1" x14ac:dyDescent="0.25">
      <c r="A13" s="4"/>
      <c r="C13" s="82" t="s">
        <v>49</v>
      </c>
      <c r="D13" s="83" t="s">
        <v>42</v>
      </c>
      <c r="E13" s="81" t="s">
        <v>11</v>
      </c>
      <c r="F13" s="2"/>
      <c r="G13" s="64">
        <f>IF($E13="Labour",Assumptions!$B$14,)</f>
        <v>0</v>
      </c>
      <c r="H13" s="9" t="str">
        <f t="shared" si="5"/>
        <v>$</v>
      </c>
      <c r="I13" s="2"/>
      <c r="J13" s="84">
        <f>23*2067</f>
        <v>47541</v>
      </c>
      <c r="K13" s="84">
        <v>0</v>
      </c>
      <c r="L13" s="84">
        <f>23*2067</f>
        <v>47541</v>
      </c>
      <c r="M13" s="84">
        <v>0</v>
      </c>
      <c r="N13" s="84">
        <f>23*2067</f>
        <v>47541</v>
      </c>
      <c r="O13" s="2"/>
      <c r="P13" s="5">
        <f t="shared" si="0"/>
        <v>47541</v>
      </c>
      <c r="Q13" s="5">
        <f t="shared" si="1"/>
        <v>0</v>
      </c>
      <c r="R13" s="5">
        <f t="shared" si="2"/>
        <v>47541</v>
      </c>
      <c r="S13" s="5">
        <f t="shared" si="3"/>
        <v>0</v>
      </c>
      <c r="T13" s="5">
        <f t="shared" si="4"/>
        <v>47541</v>
      </c>
      <c r="Y13"/>
    </row>
    <row r="14" spans="1:25" ht="12.75" customHeight="1" x14ac:dyDescent="0.25">
      <c r="A14" s="4"/>
      <c r="C14" s="82" t="s">
        <v>50</v>
      </c>
      <c r="D14" s="83" t="s">
        <v>42</v>
      </c>
      <c r="E14" s="81" t="s">
        <v>11</v>
      </c>
      <c r="F14" s="2"/>
      <c r="G14" s="64">
        <f>IF($E14="Labour",Assumptions!$B$14,)</f>
        <v>0</v>
      </c>
      <c r="H14" s="9" t="str">
        <f t="shared" si="5"/>
        <v>$</v>
      </c>
      <c r="I14" s="2"/>
      <c r="J14" s="84">
        <f>(46*1457)</f>
        <v>67022</v>
      </c>
      <c r="K14" s="84">
        <v>0</v>
      </c>
      <c r="L14" s="84">
        <v>0</v>
      </c>
      <c r="M14" s="84">
        <f>(46*1457)</f>
        <v>67022</v>
      </c>
      <c r="N14" s="84">
        <v>0</v>
      </c>
      <c r="O14" s="2"/>
      <c r="P14" s="5">
        <f t="shared" si="0"/>
        <v>67022</v>
      </c>
      <c r="Q14" s="5">
        <f t="shared" si="1"/>
        <v>0</v>
      </c>
      <c r="R14" s="5">
        <f t="shared" si="2"/>
        <v>0</v>
      </c>
      <c r="S14" s="5">
        <f t="shared" si="3"/>
        <v>67022</v>
      </c>
      <c r="T14" s="5">
        <f t="shared" si="4"/>
        <v>0</v>
      </c>
      <c r="Y14"/>
    </row>
    <row r="15" spans="1:25" ht="12.75" customHeight="1" x14ac:dyDescent="0.25">
      <c r="A15" s="4"/>
      <c r="C15" s="82" t="s">
        <v>51</v>
      </c>
      <c r="D15" s="83" t="s">
        <v>42</v>
      </c>
      <c r="E15" s="81" t="s">
        <v>11</v>
      </c>
      <c r="F15" s="2"/>
      <c r="G15" s="64">
        <f>IF($E15="Labour",Assumptions!$B$14,)</f>
        <v>0</v>
      </c>
      <c r="H15" s="9" t="str">
        <f t="shared" si="5"/>
        <v>$</v>
      </c>
      <c r="I15" s="2"/>
      <c r="J15" s="84">
        <f>(19*2527)</f>
        <v>48013</v>
      </c>
      <c r="K15" s="84">
        <v>0</v>
      </c>
      <c r="L15" s="84">
        <v>0</v>
      </c>
      <c r="M15" s="84">
        <f>(19*2527)</f>
        <v>48013</v>
      </c>
      <c r="N15" s="84">
        <v>0</v>
      </c>
      <c r="O15" s="2"/>
      <c r="P15" s="5">
        <f t="shared" si="0"/>
        <v>48013</v>
      </c>
      <c r="Q15" s="5">
        <f t="shared" si="1"/>
        <v>0</v>
      </c>
      <c r="R15" s="5">
        <f t="shared" si="2"/>
        <v>0</v>
      </c>
      <c r="S15" s="5">
        <f t="shared" si="3"/>
        <v>48013</v>
      </c>
      <c r="T15" s="5">
        <f t="shared" si="4"/>
        <v>0</v>
      </c>
      <c r="Y15"/>
    </row>
    <row r="16" spans="1:25" ht="12.75" customHeight="1" x14ac:dyDescent="0.25">
      <c r="A16" s="4"/>
      <c r="C16" s="82" t="s">
        <v>46</v>
      </c>
      <c r="D16" s="83" t="s">
        <v>42</v>
      </c>
      <c r="E16" s="81" t="s">
        <v>10</v>
      </c>
      <c r="F16" s="2"/>
      <c r="G16" s="64">
        <f>IF($E16="Labour",Assumptions!$B$14,)</f>
        <v>145.77740895836223</v>
      </c>
      <c r="H16" s="9" t="str">
        <f t="shared" si="5"/>
        <v>Hours</v>
      </c>
      <c r="I16" s="2"/>
      <c r="J16" s="84">
        <f>1764+1950</f>
        <v>3714</v>
      </c>
      <c r="K16" s="84">
        <f>441+1950</f>
        <v>2391</v>
      </c>
      <c r="L16" s="84">
        <f>441+1950</f>
        <v>2391</v>
      </c>
      <c r="M16" s="84">
        <f>441+1950</f>
        <v>2391</v>
      </c>
      <c r="N16" s="84">
        <f>1764+1950</f>
        <v>3714</v>
      </c>
      <c r="O16" s="2"/>
      <c r="P16" s="5">
        <f t="shared" si="0"/>
        <v>541417.29687135736</v>
      </c>
      <c r="Q16" s="5">
        <f t="shared" si="1"/>
        <v>348553.78481944412</v>
      </c>
      <c r="R16" s="5">
        <f t="shared" si="2"/>
        <v>348553.78481944412</v>
      </c>
      <c r="S16" s="5">
        <f t="shared" si="3"/>
        <v>348553.78481944412</v>
      </c>
      <c r="T16" s="5">
        <f t="shared" si="4"/>
        <v>541417.29687135736</v>
      </c>
      <c r="Y16"/>
    </row>
    <row r="17" spans="1:25" ht="12.75" customHeight="1" x14ac:dyDescent="0.25">
      <c r="A17" s="4"/>
      <c r="C17" s="82" t="s">
        <v>47</v>
      </c>
      <c r="D17" s="83" t="s">
        <v>42</v>
      </c>
      <c r="E17" s="81" t="s">
        <v>10</v>
      </c>
      <c r="F17" s="2"/>
      <c r="G17" s="64">
        <f>IF($E17="Labour",Assumptions!$B$14,)</f>
        <v>145.77740895836223</v>
      </c>
      <c r="H17" s="9" t="str">
        <f t="shared" si="5"/>
        <v>Hours</v>
      </c>
      <c r="I17" s="2"/>
      <c r="J17" s="84">
        <v>260</v>
      </c>
      <c r="K17" s="84">
        <v>65</v>
      </c>
      <c r="L17" s="84">
        <v>65</v>
      </c>
      <c r="M17" s="84">
        <v>65</v>
      </c>
      <c r="N17" s="84">
        <v>260</v>
      </c>
      <c r="O17" s="2"/>
      <c r="P17" s="5">
        <f t="shared" si="0"/>
        <v>37902.126329174178</v>
      </c>
      <c r="Q17" s="5">
        <f t="shared" si="1"/>
        <v>9475.5315822935445</v>
      </c>
      <c r="R17" s="5">
        <f t="shared" si="2"/>
        <v>9475.5315822935445</v>
      </c>
      <c r="S17" s="5">
        <f t="shared" si="3"/>
        <v>9475.5315822935445</v>
      </c>
      <c r="T17" s="5">
        <f t="shared" si="4"/>
        <v>37902.126329174178</v>
      </c>
      <c r="Y17"/>
    </row>
    <row r="18" spans="1:25" ht="12.75" customHeight="1" x14ac:dyDescent="0.25">
      <c r="A18" s="4"/>
      <c r="C18" s="82" t="s">
        <v>56</v>
      </c>
      <c r="D18" s="83" t="s">
        <v>42</v>
      </c>
      <c r="E18" s="81" t="s">
        <v>10</v>
      </c>
      <c r="F18" s="2"/>
      <c r="G18" s="64">
        <f>IF($E18="Labour",Assumptions!$B$14,)</f>
        <v>145.77740895836223</v>
      </c>
      <c r="H18" s="9" t="str">
        <f t="shared" si="5"/>
        <v>Hours</v>
      </c>
      <c r="I18" s="2"/>
      <c r="J18" s="84">
        <v>309</v>
      </c>
      <c r="K18" s="84">
        <v>103</v>
      </c>
      <c r="L18" s="84">
        <v>309</v>
      </c>
      <c r="M18" s="84">
        <v>103</v>
      </c>
      <c r="N18" s="84">
        <v>309</v>
      </c>
      <c r="O18" s="2"/>
      <c r="P18" s="5">
        <f t="shared" si="0"/>
        <v>45045.219368133927</v>
      </c>
      <c r="Q18" s="5">
        <f t="shared" si="1"/>
        <v>15015.07312271131</v>
      </c>
      <c r="R18" s="5">
        <f t="shared" si="2"/>
        <v>45045.219368133927</v>
      </c>
      <c r="S18" s="5">
        <f t="shared" si="3"/>
        <v>15015.07312271131</v>
      </c>
      <c r="T18" s="5">
        <f t="shared" si="4"/>
        <v>45045.219368133927</v>
      </c>
      <c r="Y18"/>
    </row>
    <row r="19" spans="1:25" ht="12.75" customHeight="1" x14ac:dyDescent="0.25">
      <c r="A19" s="4"/>
      <c r="C19" s="82" t="s">
        <v>57</v>
      </c>
      <c r="D19" s="83" t="s">
        <v>42</v>
      </c>
      <c r="E19" s="81" t="s">
        <v>10</v>
      </c>
      <c r="F19" s="2"/>
      <c r="G19" s="64">
        <f>IF($E19="Labour",Assumptions!$B$14,)</f>
        <v>145.77740895836223</v>
      </c>
      <c r="H19" s="9" t="str">
        <f t="shared" si="5"/>
        <v>Hours</v>
      </c>
      <c r="I19" s="2"/>
      <c r="J19" s="84">
        <v>97.5</v>
      </c>
      <c r="K19" s="84">
        <v>32.5</v>
      </c>
      <c r="L19" s="84">
        <v>32.5</v>
      </c>
      <c r="M19" s="84">
        <v>98</v>
      </c>
      <c r="N19" s="84">
        <v>32.5</v>
      </c>
      <c r="O19" s="2"/>
      <c r="P19" s="5">
        <f t="shared" si="0"/>
        <v>14213.297373440317</v>
      </c>
      <c r="Q19" s="5">
        <f t="shared" si="1"/>
        <v>4737.7657911467722</v>
      </c>
      <c r="R19" s="5">
        <f t="shared" si="2"/>
        <v>4737.7657911467722</v>
      </c>
      <c r="S19" s="5">
        <f t="shared" si="3"/>
        <v>14286.186077919498</v>
      </c>
      <c r="T19" s="5">
        <f t="shared" si="4"/>
        <v>4737.7657911467722</v>
      </c>
      <c r="Y19"/>
    </row>
    <row r="20" spans="1:25" ht="12.75" customHeight="1" x14ac:dyDescent="0.25">
      <c r="A20" s="4"/>
      <c r="C20" s="82" t="s">
        <v>60</v>
      </c>
      <c r="D20" s="83" t="s">
        <v>36</v>
      </c>
      <c r="E20" s="81" t="s">
        <v>10</v>
      </c>
      <c r="F20" s="2"/>
      <c r="G20" s="64">
        <f>IF($E20="Labour",Assumptions!$B$14,)</f>
        <v>145.77740895836223</v>
      </c>
      <c r="H20" s="9" t="str">
        <f t="shared" si="5"/>
        <v>Hours</v>
      </c>
      <c r="I20" s="2"/>
      <c r="J20" s="84">
        <v>736</v>
      </c>
      <c r="K20" s="84"/>
      <c r="L20" s="84"/>
      <c r="M20" s="84">
        <v>225</v>
      </c>
      <c r="N20" s="84">
        <v>736</v>
      </c>
      <c r="O20" s="2"/>
      <c r="P20" s="5">
        <f t="shared" si="0"/>
        <v>107292.1729933546</v>
      </c>
      <c r="Q20" s="5">
        <f t="shared" si="1"/>
        <v>0</v>
      </c>
      <c r="R20" s="5">
        <f t="shared" si="2"/>
        <v>0</v>
      </c>
      <c r="S20" s="5">
        <f t="shared" si="3"/>
        <v>32799.917015631501</v>
      </c>
      <c r="T20" s="5">
        <f t="shared" si="4"/>
        <v>107292.1729933546</v>
      </c>
      <c r="Y20"/>
    </row>
    <row r="21" spans="1:25" ht="12.75" customHeight="1" x14ac:dyDescent="0.25">
      <c r="A21" s="4"/>
      <c r="C21" s="82" t="s">
        <v>61</v>
      </c>
      <c r="D21" s="83" t="s">
        <v>36</v>
      </c>
      <c r="E21" s="81" t="s">
        <v>11</v>
      </c>
      <c r="F21" s="2"/>
      <c r="G21" s="64">
        <f>IF($E21="Labour",Assumptions!$B$14,)</f>
        <v>0</v>
      </c>
      <c r="H21" s="9" t="str">
        <f t="shared" si="5"/>
        <v>$</v>
      </c>
      <c r="I21" s="2"/>
      <c r="J21" s="84">
        <v>552000</v>
      </c>
      <c r="K21" s="84"/>
      <c r="L21" s="84"/>
      <c r="M21" s="84"/>
      <c r="N21" s="84">
        <v>552000</v>
      </c>
      <c r="O21" s="2"/>
      <c r="P21" s="5">
        <f t="shared" si="0"/>
        <v>552000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552000</v>
      </c>
      <c r="Y21"/>
    </row>
    <row r="22" spans="1:25" ht="12.75" customHeight="1" x14ac:dyDescent="0.25">
      <c r="A22" s="4"/>
      <c r="C22" s="82"/>
      <c r="D22" s="83"/>
      <c r="E22" s="81"/>
      <c r="F22" s="2"/>
      <c r="G22" s="64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/>
      <c r="E23" s="81"/>
      <c r="F23" s="2"/>
      <c r="G23" s="64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/>
      <c r="E24" s="81"/>
      <c r="F24" s="2"/>
      <c r="G24" s="64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/>
      <c r="E25" s="81"/>
      <c r="F25" s="2"/>
      <c r="G25" s="64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/>
      <c r="E26" s="81"/>
      <c r="F26" s="2"/>
      <c r="G26" s="64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/>
      <c r="E27" s="81"/>
      <c r="F27" s="2"/>
      <c r="G27" s="64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/>
      <c r="E28" s="81"/>
      <c r="F28" s="2"/>
      <c r="G28" s="64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/>
      <c r="E29" s="81"/>
      <c r="F29" s="2"/>
      <c r="G29" s="64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/>
      <c r="E30" s="81"/>
      <c r="F30" s="2"/>
      <c r="G30" s="64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/>
      <c r="E31" s="81"/>
      <c r="F31" s="2"/>
      <c r="G31" s="64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/>
      <c r="E32" s="81"/>
      <c r="F32" s="2"/>
      <c r="G32" s="64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/>
      <c r="E33" s="81"/>
      <c r="F33" s="2"/>
      <c r="G33" s="64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/>
      <c r="E34" s="81"/>
      <c r="F34" s="2"/>
      <c r="G34" s="64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/>
      <c r="E35" s="81"/>
      <c r="F35" s="2"/>
      <c r="G35" s="64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/>
      <c r="E36" s="81"/>
      <c r="F36" s="2"/>
      <c r="G36" s="64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/>
      <c r="E37" s="81"/>
      <c r="F37" s="2"/>
      <c r="G37" s="64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/>
      <c r="E38" s="81"/>
      <c r="F38" s="2"/>
      <c r="G38" s="64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/>
      <c r="E39" s="81"/>
      <c r="F39" s="2"/>
      <c r="G39" s="64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/>
      <c r="E40" s="81"/>
      <c r="G40" s="64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/>
      <c r="E41" s="81"/>
      <c r="G41" s="64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/>
      <c r="E42" s="81"/>
      <c r="G42" s="64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/>
      <c r="E43" s="81"/>
      <c r="G43" s="64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/>
      <c r="E44" s="81"/>
      <c r="G44" s="64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/>
      <c r="E45" s="81"/>
      <c r="G45" s="64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/>
      <c r="E46" s="81"/>
      <c r="G46" s="64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/>
      <c r="E47" s="81"/>
      <c r="G47" s="64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/>
      <c r="E48" s="81"/>
      <c r="G48" s="64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/>
      <c r="E49" s="81"/>
      <c r="G49" s="64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/>
      <c r="E50" s="81"/>
      <c r="G50" s="64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/>
      <c r="E51" s="81"/>
      <c r="G51" s="64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/>
      <c r="E52" s="81"/>
      <c r="G52" s="64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/>
      <c r="E53" s="81"/>
      <c r="G53" s="64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/>
      <c r="E54" s="81"/>
      <c r="G54" s="64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43</v>
      </c>
      <c r="F57" s="2"/>
      <c r="I57" s="2"/>
      <c r="O57" s="2"/>
      <c r="P57" s="69" t="s">
        <v>4</v>
      </c>
      <c r="Q57" s="69" t="s">
        <v>5</v>
      </c>
      <c r="R57" s="69" t="s">
        <v>6</v>
      </c>
      <c r="S57" s="69" t="s">
        <v>7</v>
      </c>
      <c r="T57" s="69" t="s">
        <v>8</v>
      </c>
      <c r="U57" s="69" t="s">
        <v>9</v>
      </c>
      <c r="Y57"/>
    </row>
    <row r="58" spans="1:25" ht="12.75" customHeight="1" x14ac:dyDescent="0.2">
      <c r="C58" s="24" t="s">
        <v>10</v>
      </c>
      <c r="D58" s="24" t="s">
        <v>42</v>
      </c>
      <c r="E58" s="24"/>
      <c r="F58" s="2"/>
      <c r="G58" s="66"/>
      <c r="H58" s="67"/>
      <c r="I58" s="2"/>
      <c r="J58" s="24"/>
      <c r="K58" s="24"/>
      <c r="L58" s="24"/>
      <c r="M58" s="24"/>
      <c r="N58" s="24"/>
      <c r="O58" s="2"/>
      <c r="P58" s="25">
        <f t="shared" ref="P58:T60" si="6">SUMIFS(P$10:P$54,$E$10:$E$54,$C58,$D$10:$D$54,$D58)</f>
        <v>745870.11293546041</v>
      </c>
      <c r="Q58" s="25">
        <f t="shared" si="6"/>
        <v>377782.1553155958</v>
      </c>
      <c r="R58" s="25">
        <f t="shared" si="6"/>
        <v>407812.30156101839</v>
      </c>
      <c r="S58" s="25">
        <f t="shared" si="6"/>
        <v>420130.49261800002</v>
      </c>
      <c r="T58" s="25">
        <f t="shared" si="6"/>
        <v>736394.58135316684</v>
      </c>
      <c r="U58" s="71">
        <f>SUM(P58:T58)</f>
        <v>2687989.6437832415</v>
      </c>
    </row>
    <row r="59" spans="1:25" ht="12.75" customHeight="1" x14ac:dyDescent="0.2">
      <c r="C59" s="1" t="s">
        <v>11</v>
      </c>
      <c r="D59" s="1" t="s">
        <v>42</v>
      </c>
      <c r="F59" s="2"/>
      <c r="G59" s="68"/>
      <c r="I59" s="2"/>
      <c r="O59" s="2"/>
      <c r="P59" s="6">
        <f t="shared" si="6"/>
        <v>2446713</v>
      </c>
      <c r="Q59" s="6">
        <f t="shared" si="6"/>
        <v>0</v>
      </c>
      <c r="R59" s="6">
        <f t="shared" si="6"/>
        <v>305205</v>
      </c>
      <c r="S59" s="6">
        <f t="shared" si="6"/>
        <v>115035</v>
      </c>
      <c r="T59" s="6">
        <f t="shared" si="6"/>
        <v>2331678</v>
      </c>
      <c r="U59" s="72">
        <f t="shared" ref="U59:U61" si="7">SUM(P59:T59)</f>
        <v>5198631</v>
      </c>
    </row>
    <row r="60" spans="1:25" ht="12.75" customHeight="1" x14ac:dyDescent="0.2">
      <c r="C60" s="1" t="s">
        <v>12</v>
      </c>
      <c r="D60" s="1" t="s">
        <v>42</v>
      </c>
      <c r="F60" s="2"/>
      <c r="G60" s="68"/>
      <c r="I60" s="2"/>
      <c r="O60" s="2"/>
      <c r="P60" s="6">
        <f t="shared" si="6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2">
        <f t="shared" si="7"/>
        <v>0</v>
      </c>
    </row>
    <row r="61" spans="1:25" ht="12.75" customHeight="1" x14ac:dyDescent="0.2">
      <c r="C61" s="7" t="str">
        <f>"Total Expenditure ($ "&amp;Assumptions!$B$12&amp;")"</f>
        <v>Total Expenditure ($ June 2024)</v>
      </c>
      <c r="D61" s="7"/>
      <c r="E61" s="7"/>
      <c r="F61" s="2"/>
      <c r="G61" s="7"/>
      <c r="H61" s="10"/>
      <c r="I61" s="2"/>
      <c r="J61" s="7"/>
      <c r="K61" s="7"/>
      <c r="L61" s="7"/>
      <c r="M61" s="7"/>
      <c r="N61" s="7"/>
      <c r="O61" s="2"/>
      <c r="P61" s="8">
        <f>SUM(P58:P60)</f>
        <v>3192583.1129354602</v>
      </c>
      <c r="Q61" s="8">
        <f>SUM(Q58:Q60)</f>
        <v>377782.1553155958</v>
      </c>
      <c r="R61" s="8">
        <f>SUM(R58:R60)</f>
        <v>713017.30156101845</v>
      </c>
      <c r="S61" s="8">
        <f>SUM(S58:S60)</f>
        <v>535165.49261800002</v>
      </c>
      <c r="T61" s="8">
        <f>SUM(T58:T60)</f>
        <v>3068072.5813531671</v>
      </c>
      <c r="U61" s="73">
        <f t="shared" si="7"/>
        <v>7886620.6437832415</v>
      </c>
    </row>
    <row r="62" spans="1:25" ht="12.75" customHeight="1" x14ac:dyDescent="0.2">
      <c r="C62" s="45" t="s">
        <v>44</v>
      </c>
      <c r="D62" s="45"/>
      <c r="E62" s="45"/>
      <c r="F62" s="2"/>
      <c r="G62" s="45"/>
      <c r="H62" s="45"/>
      <c r="I62" s="2"/>
      <c r="J62" s="45"/>
      <c r="K62" s="45"/>
      <c r="L62" s="45"/>
      <c r="M62" s="45"/>
      <c r="N62" s="45"/>
      <c r="O62" s="2"/>
      <c r="P62" s="46">
        <f>P61-SUM(P$10:P$54)</f>
        <v>0</v>
      </c>
      <c r="Q62" s="46">
        <f>Q61-SUM(Q$10:Q$54)</f>
        <v>0</v>
      </c>
      <c r="R62" s="46">
        <f>R61-SUM(R$10:R$54)</f>
        <v>0</v>
      </c>
      <c r="S62" s="46">
        <f>S61-SUM(S$10:S$54)</f>
        <v>0</v>
      </c>
      <c r="T62" s="46">
        <f>T61-SUM(T$10:T$54)</f>
        <v>0</v>
      </c>
      <c r="U62" s="74"/>
      <c r="V62" s="46">
        <f>SUM(P62:T62)</f>
        <v>0</v>
      </c>
    </row>
    <row r="63" spans="1:25" ht="12.75" customHeight="1" x14ac:dyDescent="0.2">
      <c r="F63" s="2"/>
      <c r="I63" s="2"/>
      <c r="O63" s="2"/>
    </row>
    <row r="64" spans="1:25" ht="12.75" customHeight="1" x14ac:dyDescent="0.2">
      <c r="C64" s="55" t="str">
        <f>"NPV ($ "&amp;Assumptions!$B$12&amp;")"</f>
        <v>NPV ($ June 2024)</v>
      </c>
      <c r="D64" s="56">
        <f>NPV(Real_Discount_rate,P61:T61)</f>
        <v>7129986.4002558496</v>
      </c>
      <c r="F64" s="2"/>
      <c r="I64" s="2"/>
      <c r="O64" s="2"/>
    </row>
    <row r="65" spans="3:21" ht="12.75" customHeight="1" x14ac:dyDescent="0.2">
      <c r="F65" s="2"/>
      <c r="I65" s="2"/>
      <c r="O65" s="2"/>
    </row>
    <row r="66" spans="3:21" ht="12.75" customHeight="1" x14ac:dyDescent="0.2">
      <c r="F66" s="2"/>
      <c r="I66" s="2"/>
      <c r="O66" s="2"/>
    </row>
    <row r="67" spans="3:21" ht="12.75" customHeight="1" x14ac:dyDescent="0.2">
      <c r="C67" s="77" t="s">
        <v>45</v>
      </c>
      <c r="F67" s="2"/>
      <c r="I67" s="2"/>
      <c r="O67" s="2"/>
      <c r="P67" s="69" t="s">
        <v>4</v>
      </c>
      <c r="Q67" s="69" t="s">
        <v>5</v>
      </c>
      <c r="R67" s="69" t="s">
        <v>6</v>
      </c>
      <c r="S67" s="69" t="s">
        <v>7</v>
      </c>
      <c r="T67" s="69" t="s">
        <v>8</v>
      </c>
      <c r="U67" s="69" t="s">
        <v>9</v>
      </c>
    </row>
    <row r="68" spans="3:21" ht="12.75" customHeight="1" x14ac:dyDescent="0.2">
      <c r="C68" s="24" t="s">
        <v>10</v>
      </c>
      <c r="D68" s="24" t="s">
        <v>42</v>
      </c>
      <c r="E68" s="24"/>
      <c r="F68" s="2"/>
      <c r="G68" s="66"/>
      <c r="H68" s="67"/>
      <c r="I68" s="2"/>
      <c r="J68" s="24"/>
      <c r="K68" s="24"/>
      <c r="L68" s="24"/>
      <c r="M68" s="24"/>
      <c r="N68" s="24"/>
      <c r="O68" s="2"/>
      <c r="P68" s="34">
        <f t="shared" ref="P68:T70" si="8">P58*business_case_dollars</f>
        <v>830088.28127004905</v>
      </c>
      <c r="Q68" s="34">
        <f t="shared" si="8"/>
        <v>420438.53824124543</v>
      </c>
      <c r="R68" s="34">
        <f t="shared" si="8"/>
        <v>453859.46777151612</v>
      </c>
      <c r="S68" s="34">
        <f t="shared" si="8"/>
        <v>467568.53837980679</v>
      </c>
      <c r="T68" s="34">
        <f t="shared" si="8"/>
        <v>819542.84234059462</v>
      </c>
      <c r="U68" s="71">
        <f>SUM(P68:T68)</f>
        <v>2991497.6680032122</v>
      </c>
    </row>
    <row r="69" spans="3:21" ht="12.75" customHeight="1" x14ac:dyDescent="0.2">
      <c r="C69" s="1" t="s">
        <v>11</v>
      </c>
      <c r="D69" s="1" t="s">
        <v>42</v>
      </c>
      <c r="F69" s="2"/>
      <c r="G69" s="68"/>
      <c r="I69" s="2"/>
      <c r="O69" s="2"/>
      <c r="P69" s="6">
        <f t="shared" si="8"/>
        <v>2722977.8398518902</v>
      </c>
      <c r="Q69" s="6">
        <f t="shared" si="8"/>
        <v>0</v>
      </c>
      <c r="R69" s="6">
        <f t="shared" si="8"/>
        <v>339666.50424957735</v>
      </c>
      <c r="S69" s="6">
        <f t="shared" si="8"/>
        <v>128023.90628053319</v>
      </c>
      <c r="T69" s="6">
        <f t="shared" si="8"/>
        <v>2594953.9335713573</v>
      </c>
      <c r="U69" s="72">
        <f t="shared" ref="U69:U71" si="9">SUM(P69:T69)</f>
        <v>5785622.1839533579</v>
      </c>
    </row>
    <row r="70" spans="3:21" ht="12.75" customHeight="1" x14ac:dyDescent="0.2">
      <c r="C70" s="1" t="s">
        <v>12</v>
      </c>
      <c r="D70" s="1" t="s">
        <v>42</v>
      </c>
      <c r="F70" s="2"/>
      <c r="G70" s="68"/>
      <c r="I70" s="2"/>
      <c r="O70" s="2"/>
      <c r="P70" s="6">
        <f t="shared" si="8"/>
        <v>0</v>
      </c>
      <c r="Q70" s="6">
        <f t="shared" si="8"/>
        <v>0</v>
      </c>
      <c r="R70" s="6">
        <f t="shared" si="8"/>
        <v>0</v>
      </c>
      <c r="S70" s="6">
        <f t="shared" si="8"/>
        <v>0</v>
      </c>
      <c r="T70" s="6">
        <f t="shared" si="8"/>
        <v>0</v>
      </c>
      <c r="U70" s="72">
        <f t="shared" si="9"/>
        <v>0</v>
      </c>
    </row>
    <row r="71" spans="3:21" x14ac:dyDescent="0.2">
      <c r="C71" s="7" t="str">
        <f>"Total Expenditure ($ "&amp;Assumptions!$C$36&amp;")"</f>
        <v>Total Expenditure ($ June 2026)</v>
      </c>
      <c r="D71" s="7"/>
      <c r="E71" s="7"/>
      <c r="F71" s="2"/>
      <c r="G71" s="7"/>
      <c r="H71" s="10"/>
      <c r="I71" s="2"/>
      <c r="J71" s="7"/>
      <c r="K71" s="7"/>
      <c r="L71" s="7"/>
      <c r="M71" s="7"/>
      <c r="N71" s="7"/>
      <c r="O71" s="2"/>
      <c r="P71" s="8">
        <f>SUM(P68:P70)</f>
        <v>3553066.1211219393</v>
      </c>
      <c r="Q71" s="8">
        <f>SUM(Q68:Q70)</f>
        <v>420438.53824124543</v>
      </c>
      <c r="R71" s="8">
        <f>SUM(R68:R70)</f>
        <v>793525.97202109348</v>
      </c>
      <c r="S71" s="8">
        <f>SUM(S68:S70)</f>
        <v>595592.44466033997</v>
      </c>
      <c r="T71" s="8">
        <f>SUM(T68:T70)</f>
        <v>3414496.7759119519</v>
      </c>
      <c r="U71" s="73">
        <f t="shared" si="9"/>
        <v>8777119.8519565687</v>
      </c>
    </row>
    <row r="72" spans="3:21" x14ac:dyDescent="0.2">
      <c r="F72" s="2"/>
      <c r="I72" s="2"/>
      <c r="O72" s="2"/>
    </row>
    <row r="73" spans="3:21" x14ac:dyDescent="0.2">
      <c r="C73" s="55" t="str">
        <f>"NPV ($ "&amp;Assumptions!$C$36&amp;")"</f>
        <v>NPV ($ June 2026)</v>
      </c>
      <c r="D73" s="56">
        <f>NPV(Real_Discount_rate,P71:T71)</f>
        <v>7935052.0336230798</v>
      </c>
      <c r="F73" s="2"/>
      <c r="I73" s="2"/>
      <c r="O73" s="2"/>
      <c r="P73" s="52"/>
      <c r="Q73" s="52"/>
      <c r="R73" s="52"/>
      <c r="S73" s="52"/>
      <c r="T73" s="52"/>
    </row>
  </sheetData>
  <conditionalFormatting sqref="G10:G54">
    <cfRule type="expression" dxfId="4" priority="5">
      <formula>$E10="Contracts"</formula>
    </cfRule>
    <cfRule type="expression" dxfId="3" priority="6">
      <formula>$E10="Materials"</formula>
    </cfRule>
    <cfRule type="expression" dxfId="2" priority="7">
      <formula>$E10="Labour"</formula>
    </cfRule>
  </conditionalFormatting>
  <conditionalFormatting sqref="P62:U62">
    <cfRule type="expression" dxfId="1" priority="1">
      <formula>ABS(P62)&gt;0.001</formula>
    </cfRule>
  </conditionalFormatting>
  <conditionalFormatting sqref="V62">
    <cfRule type="expression" dxfId="0" priority="8">
      <formula>ABS(V62)&gt;0.001</formula>
    </cfRule>
  </conditionalFormatting>
  <dataValidations count="1">
    <dataValidation type="list" allowBlank="1" showInputMessage="1" showErrorMessage="1" sqref="E10:E54" xr:uid="{26E538AD-3FEB-49D4-AC67-0B06E2C98B23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United Energy Summary</vt:lpstr>
      <vt:lpstr>Assumptions</vt:lpstr>
      <vt:lpstr>Option 1</vt:lpstr>
      <vt:lpstr>Option 2</vt:lpstr>
      <vt:lpstr>Option 3</vt:lpstr>
      <vt:lpstr>Business</vt:lpstr>
      <vt:lpstr>business_case_dollars</vt:lpstr>
      <vt:lpstr>'United Energy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2025-01-17T05:14:01Z</dcterms:created>
  <dcterms:modified xsi:type="dcterms:W3CDTF">2025-01-21T03:55:15Z</dcterms:modified>
  <cp:category/>
  <cp:contentStatus/>
</cp:coreProperties>
</file>