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74AEFCE3-BC70-49F3-964E-CEC98BD06A15}" xr6:coauthVersionLast="47" xr6:coauthVersionMax="47" xr10:uidLastSave="{00000000-0000-0000-0000-000000000000}"/>
  <bookViews>
    <workbookView xWindow="28680" yWindow="-1755" windowWidth="29040" windowHeight="15720" tabRatio="896" activeTab="1" xr2:uid="{00000000-000D-0000-FFFF-FFFF00000000}"/>
  </bookViews>
  <sheets>
    <sheet name="Cover" sheetId="91" r:id="rId1"/>
    <sheet name="UE Summary" sheetId="82" r:id="rId2"/>
    <sheet name="Assumptions" sheetId="74" r:id="rId3"/>
    <sheet name="Option 1" sheetId="79" r:id="rId4"/>
    <sheet name="Option 2" sheetId="90" r:id="rId5"/>
    <sheet name="Option 3" sheetId="89" r:id="rId6"/>
  </sheets>
  <definedNames>
    <definedName name="Business">Assumptions!$B$8</definedName>
    <definedName name="business_case_dollars">Assumptions!$C$37</definedName>
    <definedName name="_xlnm.Print_Area" localSheetId="1">'UE Summary'!$A$1:$J$41</definedName>
    <definedName name="Project_name">Assumptions!$B$6</definedName>
    <definedName name="Real_Discount_rate">Assumptions!$B$10</definedName>
    <definedName name="years" localSheetId="3">'Option 1'!$Q$8:$U$8</definedName>
    <definedName name="years" localSheetId="4">'Option 2'!$Q$8:$U$8</definedName>
    <definedName name="years" localSheetId="5">'Option 3'!$Q$8:$U$8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2" l="1"/>
  <c r="H33" i="82"/>
  <c r="I33" i="82"/>
  <c r="J33" i="82"/>
  <c r="G34" i="82"/>
  <c r="H34" i="82"/>
  <c r="I34" i="82"/>
  <c r="J34" i="82"/>
  <c r="F34" i="82"/>
  <c r="F33" i="82"/>
  <c r="G22" i="82"/>
  <c r="H22" i="82"/>
  <c r="I22" i="82"/>
  <c r="J22" i="82"/>
  <c r="G23" i="82"/>
  <c r="H23" i="82"/>
  <c r="I23" i="82"/>
  <c r="J23" i="82"/>
  <c r="F23" i="82"/>
  <c r="F22" i="82"/>
  <c r="G11" i="82"/>
  <c r="H11" i="82"/>
  <c r="I11" i="82"/>
  <c r="J11" i="82"/>
  <c r="G12" i="82"/>
  <c r="H12" i="82"/>
  <c r="I12" i="82"/>
  <c r="J12" i="82"/>
  <c r="F12" i="82"/>
  <c r="F11" i="82"/>
  <c r="C156" i="90"/>
  <c r="C156" i="79"/>
  <c r="C156" i="89"/>
  <c r="D6" i="91" a="1"/>
  <c r="D6" i="91" s="1"/>
  <c r="C5" i="91" a="1"/>
  <c r="C5" i="91" s="1"/>
  <c r="O78" i="89"/>
  <c r="N78" i="89"/>
  <c r="M78" i="89"/>
  <c r="L78" i="89"/>
  <c r="K78" i="89"/>
  <c r="K77" i="89"/>
  <c r="O76" i="89"/>
  <c r="N76" i="89"/>
  <c r="M76" i="89"/>
  <c r="L76" i="89"/>
  <c r="K76" i="89"/>
  <c r="O74" i="89"/>
  <c r="N74" i="89"/>
  <c r="M74" i="89"/>
  <c r="L74" i="89"/>
  <c r="K74" i="89"/>
  <c r="O73" i="89"/>
  <c r="N73" i="89"/>
  <c r="M73" i="89"/>
  <c r="L73" i="89"/>
  <c r="K73" i="89"/>
  <c r="G36" i="82" l="1"/>
  <c r="F14" i="82"/>
  <c r="H36" i="82"/>
  <c r="I36" i="82"/>
  <c r="J36" i="82"/>
  <c r="F36" i="82"/>
  <c r="F38" i="82" s="1"/>
  <c r="K35" i="82"/>
  <c r="K33" i="82"/>
  <c r="K34" i="82"/>
  <c r="G25" i="82"/>
  <c r="K12" i="82"/>
  <c r="I25" i="82"/>
  <c r="J14" i="82"/>
  <c r="H25" i="82"/>
  <c r="J25" i="82"/>
  <c r="I14" i="82"/>
  <c r="F25" i="82"/>
  <c r="K24" i="82"/>
  <c r="K22" i="82"/>
  <c r="K25" i="82" s="1"/>
  <c r="K23" i="82"/>
  <c r="G14" i="82"/>
  <c r="K11" i="82"/>
  <c r="K13" i="82"/>
  <c r="O61" i="90"/>
  <c r="N61" i="90"/>
  <c r="M61" i="90"/>
  <c r="L61" i="90"/>
  <c r="K61" i="90"/>
  <c r="O59" i="90"/>
  <c r="N59" i="90"/>
  <c r="M59" i="90"/>
  <c r="L59" i="90"/>
  <c r="K59" i="90"/>
  <c r="O58" i="90"/>
  <c r="N58" i="90"/>
  <c r="M58" i="90"/>
  <c r="L58" i="90"/>
  <c r="K58" i="90"/>
  <c r="O47" i="79"/>
  <c r="N47" i="79"/>
  <c r="M47" i="79"/>
  <c r="L47" i="79"/>
  <c r="K47" i="79"/>
  <c r="O46" i="79"/>
  <c r="N46" i="79"/>
  <c r="M46" i="79"/>
  <c r="L46" i="79"/>
  <c r="K46" i="79"/>
  <c r="K36" i="82" l="1"/>
  <c r="F27" i="82"/>
  <c r="H14" i="82"/>
  <c r="F16" i="82" s="1"/>
  <c r="K14" i="82"/>
  <c r="O42" i="90"/>
  <c r="N42" i="90"/>
  <c r="M42" i="90"/>
  <c r="L42" i="90"/>
  <c r="K42" i="90"/>
  <c r="O40" i="90"/>
  <c r="N40" i="90"/>
  <c r="M40" i="90"/>
  <c r="L40" i="90"/>
  <c r="K40" i="90"/>
  <c r="O39" i="90"/>
  <c r="N39" i="90"/>
  <c r="M39" i="90"/>
  <c r="L39" i="90"/>
  <c r="K39" i="90"/>
  <c r="O37" i="90"/>
  <c r="N37" i="90"/>
  <c r="M37" i="90"/>
  <c r="L37" i="90"/>
  <c r="K37" i="90"/>
  <c r="N33" i="90"/>
  <c r="K33" i="90"/>
  <c r="N32" i="90"/>
  <c r="K32" i="90"/>
  <c r="N31" i="90"/>
  <c r="K31" i="90"/>
  <c r="N29" i="90"/>
  <c r="K29" i="90"/>
  <c r="N28" i="90"/>
  <c r="K28" i="90"/>
  <c r="O27" i="90"/>
  <c r="M27" i="90"/>
  <c r="K27" i="90"/>
  <c r="O25" i="90"/>
  <c r="M25" i="90"/>
  <c r="K25" i="90"/>
  <c r="O24" i="90"/>
  <c r="N24" i="90"/>
  <c r="M24" i="90"/>
  <c r="L24" i="90"/>
  <c r="K24" i="90"/>
  <c r="O22" i="90"/>
  <c r="N22" i="90"/>
  <c r="M22" i="90"/>
  <c r="L22" i="90"/>
  <c r="K22" i="90"/>
  <c r="L21" i="90"/>
  <c r="K21" i="90"/>
  <c r="K20" i="90"/>
  <c r="K19" i="90"/>
  <c r="M18" i="90"/>
  <c r="K18" i="90"/>
  <c r="M16" i="90"/>
  <c r="K16" i="90"/>
  <c r="M15" i="90"/>
  <c r="K15" i="90"/>
  <c r="M14" i="90"/>
  <c r="K14" i="90"/>
  <c r="M13" i="90"/>
  <c r="K13" i="90"/>
  <c r="O12" i="90"/>
  <c r="N12" i="90"/>
  <c r="M12" i="90"/>
  <c r="L12" i="90"/>
  <c r="K12" i="90"/>
  <c r="O10" i="90"/>
  <c r="N10" i="90"/>
  <c r="M10" i="90"/>
  <c r="L10" i="90"/>
  <c r="K10" i="90"/>
  <c r="O42" i="79"/>
  <c r="N42" i="79"/>
  <c r="M42" i="79"/>
  <c r="L42" i="79"/>
  <c r="K42" i="79"/>
  <c r="O40" i="79"/>
  <c r="N40" i="79"/>
  <c r="M40" i="79"/>
  <c r="L40" i="79"/>
  <c r="K40" i="79"/>
  <c r="O39" i="79"/>
  <c r="N39" i="79"/>
  <c r="M39" i="79"/>
  <c r="L39" i="79"/>
  <c r="K39" i="79"/>
  <c r="O37" i="79"/>
  <c r="N37" i="79"/>
  <c r="M37" i="79"/>
  <c r="L37" i="79"/>
  <c r="K37" i="79"/>
  <c r="O24" i="79"/>
  <c r="N24" i="79"/>
  <c r="M24" i="79"/>
  <c r="L24" i="79"/>
  <c r="K24" i="79"/>
  <c r="O22" i="79"/>
  <c r="N22" i="79"/>
  <c r="M22" i="79"/>
  <c r="L22" i="79"/>
  <c r="K22" i="79"/>
  <c r="L21" i="79"/>
  <c r="K21" i="79"/>
  <c r="K20" i="79"/>
  <c r="K19" i="79"/>
  <c r="O12" i="79"/>
  <c r="N12" i="79"/>
  <c r="M12" i="79"/>
  <c r="L12" i="79"/>
  <c r="K12" i="79"/>
  <c r="O10" i="79"/>
  <c r="N10" i="79"/>
  <c r="M10" i="79"/>
  <c r="L10" i="79"/>
  <c r="K10" i="79"/>
  <c r="K62" i="90" l="1"/>
  <c r="O51" i="79"/>
  <c r="N51" i="79"/>
  <c r="M51" i="79"/>
  <c r="L51" i="79"/>
  <c r="K51" i="79"/>
  <c r="O42" i="89" l="1"/>
  <c r="N42" i="89"/>
  <c r="M42" i="89"/>
  <c r="L42" i="89"/>
  <c r="K42" i="89"/>
  <c r="O40" i="89"/>
  <c r="N40" i="89"/>
  <c r="M40" i="89"/>
  <c r="L40" i="89"/>
  <c r="K40" i="89"/>
  <c r="O39" i="89"/>
  <c r="N39" i="89"/>
  <c r="M39" i="89"/>
  <c r="L39" i="89"/>
  <c r="K39" i="89"/>
  <c r="O37" i="89"/>
  <c r="N37" i="89"/>
  <c r="M37" i="89"/>
  <c r="L37" i="89"/>
  <c r="K37" i="89"/>
  <c r="N33" i="89"/>
  <c r="K33" i="89"/>
  <c r="N32" i="89"/>
  <c r="K32" i="89"/>
  <c r="N31" i="89"/>
  <c r="K31" i="89"/>
  <c r="N29" i="89"/>
  <c r="K29" i="89"/>
  <c r="N28" i="89"/>
  <c r="K28" i="89"/>
  <c r="O27" i="89"/>
  <c r="M27" i="89"/>
  <c r="K27" i="89"/>
  <c r="O25" i="89"/>
  <c r="M25" i="89"/>
  <c r="K25" i="89"/>
  <c r="O24" i="89"/>
  <c r="N24" i="89"/>
  <c r="M24" i="89"/>
  <c r="L24" i="89"/>
  <c r="K24" i="89"/>
  <c r="O22" i="89"/>
  <c r="N22" i="89"/>
  <c r="M22" i="89"/>
  <c r="L22" i="89"/>
  <c r="K22" i="89"/>
  <c r="L21" i="89"/>
  <c r="K21" i="89"/>
  <c r="K20" i="89"/>
  <c r="K19" i="89"/>
  <c r="M18" i="89"/>
  <c r="K18" i="89"/>
  <c r="M16" i="89"/>
  <c r="K16" i="89"/>
  <c r="M15" i="89"/>
  <c r="K15" i="89"/>
  <c r="M14" i="89"/>
  <c r="K14" i="89"/>
  <c r="M13" i="89"/>
  <c r="K13" i="89"/>
  <c r="O12" i="89"/>
  <c r="N12" i="89"/>
  <c r="M12" i="89"/>
  <c r="L12" i="89"/>
  <c r="K12" i="89"/>
  <c r="O10" i="89"/>
  <c r="N10" i="89"/>
  <c r="M10" i="89"/>
  <c r="L10" i="89"/>
  <c r="K10" i="89"/>
  <c r="U77" i="79" l="1"/>
  <c r="T77" i="79"/>
  <c r="S77" i="79"/>
  <c r="R77" i="79"/>
  <c r="Q77" i="79"/>
  <c r="I77" i="79"/>
  <c r="H77" i="79"/>
  <c r="U76" i="79"/>
  <c r="T76" i="79"/>
  <c r="S76" i="79"/>
  <c r="R76" i="79"/>
  <c r="Q76" i="79"/>
  <c r="I76" i="79"/>
  <c r="H76" i="79"/>
  <c r="U75" i="79"/>
  <c r="T75" i="79"/>
  <c r="S75" i="79"/>
  <c r="R75" i="79"/>
  <c r="Q75" i="79"/>
  <c r="I75" i="79"/>
  <c r="H75" i="79"/>
  <c r="U74" i="79"/>
  <c r="T74" i="79"/>
  <c r="S74" i="79"/>
  <c r="R74" i="79"/>
  <c r="Q74" i="79"/>
  <c r="I74" i="79"/>
  <c r="H74" i="79"/>
  <c r="U73" i="79"/>
  <c r="T73" i="79"/>
  <c r="S73" i="79"/>
  <c r="R73" i="79"/>
  <c r="Q73" i="79"/>
  <c r="I73" i="79"/>
  <c r="H73" i="79"/>
  <c r="U72" i="79"/>
  <c r="T72" i="79"/>
  <c r="S72" i="79"/>
  <c r="R72" i="79"/>
  <c r="Q72" i="79"/>
  <c r="I72" i="79"/>
  <c r="H72" i="79"/>
  <c r="U71" i="79"/>
  <c r="T71" i="79"/>
  <c r="S71" i="79"/>
  <c r="R71" i="79"/>
  <c r="Q71" i="79"/>
  <c r="I71" i="79"/>
  <c r="H71" i="79"/>
  <c r="U70" i="79"/>
  <c r="T70" i="79"/>
  <c r="S70" i="79"/>
  <c r="R70" i="79"/>
  <c r="Q70" i="79"/>
  <c r="I70" i="79"/>
  <c r="H70" i="79"/>
  <c r="U69" i="79"/>
  <c r="T69" i="79"/>
  <c r="S69" i="79"/>
  <c r="R69" i="79"/>
  <c r="Q69" i="79"/>
  <c r="I69" i="79"/>
  <c r="H69" i="79"/>
  <c r="U68" i="79"/>
  <c r="T68" i="79"/>
  <c r="S68" i="79"/>
  <c r="R68" i="79"/>
  <c r="Q68" i="79"/>
  <c r="I68" i="79"/>
  <c r="H68" i="79"/>
  <c r="U67" i="79"/>
  <c r="T67" i="79"/>
  <c r="S67" i="79"/>
  <c r="R67" i="79"/>
  <c r="Q67" i="79"/>
  <c r="I67" i="79"/>
  <c r="H67" i="79"/>
  <c r="I77" i="90"/>
  <c r="U76" i="90"/>
  <c r="T76" i="90"/>
  <c r="S76" i="90"/>
  <c r="R76" i="90"/>
  <c r="Q76" i="90"/>
  <c r="I76" i="90"/>
  <c r="H76" i="90"/>
  <c r="I75" i="90"/>
  <c r="I74" i="90"/>
  <c r="H74" i="90"/>
  <c r="I73" i="90"/>
  <c r="U72" i="90"/>
  <c r="I72" i="90"/>
  <c r="H72" i="90"/>
  <c r="I71" i="90"/>
  <c r="I70" i="90"/>
  <c r="I69" i="90"/>
  <c r="I68" i="90"/>
  <c r="I67" i="90"/>
  <c r="I77" i="89"/>
  <c r="I76" i="89"/>
  <c r="I75" i="89"/>
  <c r="I74" i="89"/>
  <c r="I73" i="89"/>
  <c r="I72" i="89"/>
  <c r="I71" i="89"/>
  <c r="I70" i="89"/>
  <c r="I69" i="89"/>
  <c r="I68" i="89"/>
  <c r="I67" i="89"/>
  <c r="U39" i="79"/>
  <c r="T39" i="79"/>
  <c r="S39" i="79"/>
  <c r="R39" i="79"/>
  <c r="Q39" i="79"/>
  <c r="I39" i="79"/>
  <c r="H39" i="79"/>
  <c r="U38" i="79"/>
  <c r="T38" i="79"/>
  <c r="S38" i="79"/>
  <c r="R38" i="79"/>
  <c r="Q38" i="79"/>
  <c r="I38" i="79"/>
  <c r="H38" i="79"/>
  <c r="I37" i="79"/>
  <c r="U36" i="79"/>
  <c r="T36" i="79"/>
  <c r="S36" i="79"/>
  <c r="R36" i="79"/>
  <c r="Q36" i="79"/>
  <c r="I36" i="79"/>
  <c r="H36" i="79"/>
  <c r="U35" i="79"/>
  <c r="T35" i="79"/>
  <c r="S35" i="79"/>
  <c r="R35" i="79"/>
  <c r="Q35" i="79"/>
  <c r="I35" i="79"/>
  <c r="H35" i="79"/>
  <c r="I34" i="79"/>
  <c r="U33" i="79"/>
  <c r="T33" i="79"/>
  <c r="S33" i="79"/>
  <c r="R33" i="79"/>
  <c r="Q33" i="79"/>
  <c r="I33" i="79"/>
  <c r="H33" i="79"/>
  <c r="U32" i="79"/>
  <c r="T32" i="79"/>
  <c r="S32" i="79"/>
  <c r="R32" i="79"/>
  <c r="Q32" i="79"/>
  <c r="I32" i="79"/>
  <c r="H32" i="79"/>
  <c r="I31" i="79"/>
  <c r="U30" i="79"/>
  <c r="T30" i="79"/>
  <c r="S30" i="79"/>
  <c r="R30" i="79"/>
  <c r="Q30" i="79"/>
  <c r="I30" i="79"/>
  <c r="H30" i="79"/>
  <c r="U29" i="79"/>
  <c r="T29" i="79"/>
  <c r="S29" i="79"/>
  <c r="R29" i="79"/>
  <c r="Q29" i="79"/>
  <c r="I29" i="79"/>
  <c r="H29" i="79"/>
  <c r="I28" i="79"/>
  <c r="U27" i="79"/>
  <c r="T27" i="79"/>
  <c r="S27" i="79"/>
  <c r="R27" i="79"/>
  <c r="Q27" i="79"/>
  <c r="I27" i="79"/>
  <c r="H27" i="79"/>
  <c r="U26" i="79"/>
  <c r="T26" i="79"/>
  <c r="S26" i="79"/>
  <c r="R26" i="79"/>
  <c r="Q26" i="79"/>
  <c r="I26" i="79"/>
  <c r="H26" i="79"/>
  <c r="I25" i="79"/>
  <c r="U24" i="79"/>
  <c r="T24" i="79"/>
  <c r="S24" i="79"/>
  <c r="R24" i="79"/>
  <c r="Q24" i="79"/>
  <c r="I24" i="79"/>
  <c r="H24" i="79"/>
  <c r="U23" i="79"/>
  <c r="T23" i="79"/>
  <c r="S23" i="79"/>
  <c r="R23" i="79"/>
  <c r="Q23" i="79"/>
  <c r="I23" i="79"/>
  <c r="H23" i="79"/>
  <c r="I22" i="79"/>
  <c r="U21" i="79"/>
  <c r="T21" i="79"/>
  <c r="S21" i="79"/>
  <c r="R21" i="79"/>
  <c r="Q21" i="79"/>
  <c r="I21" i="79"/>
  <c r="H21" i="79"/>
  <c r="U20" i="79"/>
  <c r="T20" i="79"/>
  <c r="S20" i="79"/>
  <c r="R20" i="79"/>
  <c r="Q20" i="79"/>
  <c r="I20" i="79"/>
  <c r="H20" i="79"/>
  <c r="I19" i="79"/>
  <c r="U18" i="79"/>
  <c r="T18" i="79"/>
  <c r="S18" i="79"/>
  <c r="R18" i="79"/>
  <c r="Q18" i="79"/>
  <c r="I18" i="79"/>
  <c r="H18" i="79"/>
  <c r="U17" i="79"/>
  <c r="T17" i="79"/>
  <c r="S17" i="79"/>
  <c r="R17" i="79"/>
  <c r="Q17" i="79"/>
  <c r="I17" i="79"/>
  <c r="H17" i="79"/>
  <c r="I16" i="79"/>
  <c r="U39" i="90"/>
  <c r="T39" i="90"/>
  <c r="S39" i="90"/>
  <c r="R39" i="90"/>
  <c r="Q39" i="90"/>
  <c r="I39" i="90"/>
  <c r="H39" i="90"/>
  <c r="U38" i="90"/>
  <c r="T38" i="90"/>
  <c r="S38" i="90"/>
  <c r="R38" i="90"/>
  <c r="Q38" i="90"/>
  <c r="I38" i="90"/>
  <c r="H38" i="90"/>
  <c r="I37" i="90"/>
  <c r="U36" i="90"/>
  <c r="T36" i="90"/>
  <c r="S36" i="90"/>
  <c r="R36" i="90"/>
  <c r="Q36" i="90"/>
  <c r="I36" i="90"/>
  <c r="H36" i="90"/>
  <c r="U35" i="90"/>
  <c r="T35" i="90"/>
  <c r="S35" i="90"/>
  <c r="R35" i="90"/>
  <c r="Q35" i="90"/>
  <c r="I35" i="90"/>
  <c r="H35" i="90"/>
  <c r="I34" i="90"/>
  <c r="U33" i="90"/>
  <c r="T33" i="90"/>
  <c r="S33" i="90"/>
  <c r="R33" i="90"/>
  <c r="Q33" i="90"/>
  <c r="I33" i="90"/>
  <c r="H33" i="90"/>
  <c r="U32" i="90"/>
  <c r="T32" i="90"/>
  <c r="S32" i="90"/>
  <c r="R32" i="90"/>
  <c r="Q32" i="90"/>
  <c r="I32" i="90"/>
  <c r="H32" i="90"/>
  <c r="I31" i="90"/>
  <c r="U30" i="90"/>
  <c r="T30" i="90"/>
  <c r="S30" i="90"/>
  <c r="R30" i="90"/>
  <c r="Q30" i="90"/>
  <c r="I30" i="90"/>
  <c r="H30" i="90"/>
  <c r="U29" i="90"/>
  <c r="T29" i="90"/>
  <c r="S29" i="90"/>
  <c r="R29" i="90"/>
  <c r="Q29" i="90"/>
  <c r="I29" i="90"/>
  <c r="H29" i="90"/>
  <c r="I28" i="90"/>
  <c r="U27" i="90"/>
  <c r="T27" i="90"/>
  <c r="S27" i="90"/>
  <c r="R27" i="90"/>
  <c r="Q27" i="90"/>
  <c r="I27" i="90"/>
  <c r="H27" i="90"/>
  <c r="U26" i="90"/>
  <c r="T26" i="90"/>
  <c r="S26" i="90"/>
  <c r="R26" i="90"/>
  <c r="Q26" i="90"/>
  <c r="I26" i="90"/>
  <c r="H26" i="90"/>
  <c r="I25" i="90"/>
  <c r="U24" i="90"/>
  <c r="T24" i="90"/>
  <c r="S24" i="90"/>
  <c r="R24" i="90"/>
  <c r="Q24" i="90"/>
  <c r="I24" i="90"/>
  <c r="H24" i="90"/>
  <c r="U23" i="90"/>
  <c r="T23" i="90"/>
  <c r="S23" i="90"/>
  <c r="R23" i="90"/>
  <c r="Q23" i="90"/>
  <c r="I23" i="90"/>
  <c r="H23" i="90"/>
  <c r="I22" i="90"/>
  <c r="U21" i="90"/>
  <c r="T21" i="90"/>
  <c r="S21" i="90"/>
  <c r="R21" i="90"/>
  <c r="Q21" i="90"/>
  <c r="I21" i="90"/>
  <c r="H21" i="90"/>
  <c r="U20" i="90"/>
  <c r="T20" i="90"/>
  <c r="S20" i="90"/>
  <c r="R20" i="90"/>
  <c r="Q20" i="90"/>
  <c r="I20" i="90"/>
  <c r="H20" i="90"/>
  <c r="I19" i="90"/>
  <c r="U18" i="90"/>
  <c r="T18" i="90"/>
  <c r="S18" i="90"/>
  <c r="R18" i="90"/>
  <c r="Q18" i="90"/>
  <c r="I18" i="90"/>
  <c r="H18" i="90"/>
  <c r="U17" i="90"/>
  <c r="T17" i="90"/>
  <c r="S17" i="90"/>
  <c r="R17" i="90"/>
  <c r="Q17" i="90"/>
  <c r="I17" i="90"/>
  <c r="H17" i="90"/>
  <c r="I16" i="90"/>
  <c r="U39" i="89"/>
  <c r="T39" i="89"/>
  <c r="S39" i="89"/>
  <c r="R39" i="89"/>
  <c r="Q39" i="89"/>
  <c r="I39" i="89"/>
  <c r="H39" i="89"/>
  <c r="U38" i="89"/>
  <c r="T38" i="89"/>
  <c r="S38" i="89"/>
  <c r="R38" i="89"/>
  <c r="Q38" i="89"/>
  <c r="I38" i="89"/>
  <c r="H38" i="89"/>
  <c r="I37" i="89"/>
  <c r="U36" i="89"/>
  <c r="T36" i="89"/>
  <c r="S36" i="89"/>
  <c r="R36" i="89"/>
  <c r="Q36" i="89"/>
  <c r="I36" i="89"/>
  <c r="H36" i="89"/>
  <c r="U35" i="89"/>
  <c r="T35" i="89"/>
  <c r="S35" i="89"/>
  <c r="R35" i="89"/>
  <c r="Q35" i="89"/>
  <c r="I35" i="89"/>
  <c r="H35" i="89"/>
  <c r="I34" i="89"/>
  <c r="U33" i="89"/>
  <c r="T33" i="89"/>
  <c r="S33" i="89"/>
  <c r="R33" i="89"/>
  <c r="Q33" i="89"/>
  <c r="I33" i="89"/>
  <c r="H33" i="89"/>
  <c r="U32" i="89"/>
  <c r="T32" i="89"/>
  <c r="S32" i="89"/>
  <c r="R32" i="89"/>
  <c r="Q32" i="89"/>
  <c r="I32" i="89"/>
  <c r="H32" i="89"/>
  <c r="I31" i="89"/>
  <c r="U30" i="89"/>
  <c r="T30" i="89"/>
  <c r="S30" i="89"/>
  <c r="R30" i="89"/>
  <c r="Q30" i="89"/>
  <c r="I30" i="89"/>
  <c r="H30" i="89"/>
  <c r="U29" i="89"/>
  <c r="T29" i="89"/>
  <c r="S29" i="89"/>
  <c r="R29" i="89"/>
  <c r="Q29" i="89"/>
  <c r="I29" i="89"/>
  <c r="H29" i="89"/>
  <c r="I28" i="89"/>
  <c r="U27" i="89"/>
  <c r="T27" i="89"/>
  <c r="S27" i="89"/>
  <c r="R27" i="89"/>
  <c r="Q27" i="89"/>
  <c r="I27" i="89"/>
  <c r="H27" i="89"/>
  <c r="U26" i="89"/>
  <c r="T26" i="89"/>
  <c r="S26" i="89"/>
  <c r="R26" i="89"/>
  <c r="Q26" i="89"/>
  <c r="I26" i="89"/>
  <c r="H26" i="89"/>
  <c r="I25" i="89"/>
  <c r="U24" i="89"/>
  <c r="T24" i="89"/>
  <c r="S24" i="89"/>
  <c r="R24" i="89"/>
  <c r="Q24" i="89"/>
  <c r="I24" i="89"/>
  <c r="H24" i="89"/>
  <c r="U23" i="89"/>
  <c r="T23" i="89"/>
  <c r="S23" i="89"/>
  <c r="R23" i="89"/>
  <c r="Q23" i="89"/>
  <c r="I23" i="89"/>
  <c r="H23" i="89"/>
  <c r="I22" i="89"/>
  <c r="U21" i="89"/>
  <c r="T21" i="89"/>
  <c r="S21" i="89"/>
  <c r="R21" i="89"/>
  <c r="Q21" i="89"/>
  <c r="I21" i="89"/>
  <c r="H21" i="89"/>
  <c r="U20" i="89"/>
  <c r="T20" i="89"/>
  <c r="S20" i="89"/>
  <c r="R20" i="89"/>
  <c r="Q20" i="89"/>
  <c r="I20" i="89"/>
  <c r="H20" i="89"/>
  <c r="I19" i="89"/>
  <c r="U18" i="89"/>
  <c r="T18" i="89"/>
  <c r="S18" i="89"/>
  <c r="R18" i="89"/>
  <c r="Q18" i="89"/>
  <c r="I18" i="89"/>
  <c r="H18" i="89"/>
  <c r="U17" i="89"/>
  <c r="T17" i="89"/>
  <c r="S17" i="89"/>
  <c r="R17" i="89"/>
  <c r="Q17" i="89"/>
  <c r="I17" i="89"/>
  <c r="H17" i="89"/>
  <c r="I16" i="89"/>
  <c r="C145" i="90"/>
  <c r="C143" i="90"/>
  <c r="C122" i="90"/>
  <c r="C111" i="90"/>
  <c r="C108" i="90"/>
  <c r="U89" i="90"/>
  <c r="T89" i="90"/>
  <c r="S89" i="90"/>
  <c r="R89" i="90"/>
  <c r="Q89" i="90"/>
  <c r="I89" i="90"/>
  <c r="H89" i="90"/>
  <c r="U88" i="90"/>
  <c r="T88" i="90"/>
  <c r="S88" i="90"/>
  <c r="R88" i="90"/>
  <c r="Q88" i="90"/>
  <c r="I88" i="90"/>
  <c r="H88" i="90"/>
  <c r="U87" i="90"/>
  <c r="T87" i="90"/>
  <c r="S87" i="90"/>
  <c r="R87" i="90"/>
  <c r="Q87" i="90"/>
  <c r="I87" i="90"/>
  <c r="H87" i="90"/>
  <c r="U86" i="90"/>
  <c r="T86" i="90"/>
  <c r="S86" i="90"/>
  <c r="R86" i="90"/>
  <c r="Q86" i="90"/>
  <c r="I86" i="90"/>
  <c r="H86" i="90"/>
  <c r="U85" i="90"/>
  <c r="T85" i="90"/>
  <c r="S85" i="90"/>
  <c r="R85" i="90"/>
  <c r="Q85" i="90"/>
  <c r="I85" i="90"/>
  <c r="H85" i="90"/>
  <c r="U84" i="90"/>
  <c r="T84" i="90"/>
  <c r="S84" i="90"/>
  <c r="R84" i="90"/>
  <c r="Q84" i="90"/>
  <c r="I84" i="90"/>
  <c r="H84" i="90"/>
  <c r="I83" i="90"/>
  <c r="H83" i="90"/>
  <c r="U82" i="90"/>
  <c r="T82" i="90"/>
  <c r="S82" i="90"/>
  <c r="R82" i="90"/>
  <c r="Q82" i="90"/>
  <c r="I82" i="90"/>
  <c r="H82" i="90"/>
  <c r="I81" i="90"/>
  <c r="H81" i="90"/>
  <c r="U80" i="90"/>
  <c r="T80" i="90"/>
  <c r="S80" i="90"/>
  <c r="R80" i="90"/>
  <c r="Q80" i="90"/>
  <c r="I80" i="90"/>
  <c r="H80" i="90"/>
  <c r="U79" i="90"/>
  <c r="T79" i="90"/>
  <c r="I79" i="90"/>
  <c r="H79" i="90"/>
  <c r="U78" i="90"/>
  <c r="T78" i="90"/>
  <c r="S78" i="90"/>
  <c r="R78" i="90"/>
  <c r="Q78" i="90"/>
  <c r="I78" i="90"/>
  <c r="H78" i="90"/>
  <c r="I66" i="90"/>
  <c r="I65" i="90"/>
  <c r="I64" i="90"/>
  <c r="I63" i="90"/>
  <c r="H63" i="90"/>
  <c r="I62" i="90"/>
  <c r="H62" i="90"/>
  <c r="I61" i="90"/>
  <c r="I60" i="90"/>
  <c r="H60" i="90"/>
  <c r="U59" i="90"/>
  <c r="I59" i="90"/>
  <c r="H59" i="90"/>
  <c r="I58" i="90"/>
  <c r="I57" i="90"/>
  <c r="I56" i="90"/>
  <c r="I55" i="90"/>
  <c r="I54" i="90"/>
  <c r="I53" i="90"/>
  <c r="I52" i="90"/>
  <c r="I51" i="90"/>
  <c r="I50" i="90"/>
  <c r="I49" i="90"/>
  <c r="I48" i="90"/>
  <c r="I47" i="90"/>
  <c r="I46" i="90"/>
  <c r="I45" i="90"/>
  <c r="I44" i="90"/>
  <c r="I43" i="90"/>
  <c r="U42" i="90"/>
  <c r="T42" i="90"/>
  <c r="S42" i="90"/>
  <c r="R42" i="90"/>
  <c r="Q42" i="90"/>
  <c r="I42" i="90"/>
  <c r="H42" i="90"/>
  <c r="U41" i="90"/>
  <c r="T41" i="90"/>
  <c r="S41" i="90"/>
  <c r="R41" i="90"/>
  <c r="Q41" i="90"/>
  <c r="I41" i="90"/>
  <c r="H41" i="90"/>
  <c r="I40" i="90"/>
  <c r="U15" i="90"/>
  <c r="T15" i="90"/>
  <c r="S15" i="90"/>
  <c r="R15" i="90"/>
  <c r="Q15" i="90"/>
  <c r="I15" i="90"/>
  <c r="H15" i="90"/>
  <c r="U14" i="90"/>
  <c r="T14" i="90"/>
  <c r="S14" i="90"/>
  <c r="R14" i="90"/>
  <c r="Q14" i="90"/>
  <c r="I14" i="90"/>
  <c r="H14" i="90"/>
  <c r="I13" i="90"/>
  <c r="I12" i="90"/>
  <c r="I11" i="90"/>
  <c r="I10" i="90"/>
  <c r="A5" i="90"/>
  <c r="A2" i="90"/>
  <c r="A1" i="90"/>
  <c r="C145" i="89"/>
  <c r="C143" i="89"/>
  <c r="C122" i="89"/>
  <c r="C111" i="89"/>
  <c r="C108" i="89"/>
  <c r="I89" i="89"/>
  <c r="H89" i="89"/>
  <c r="T89" i="89" s="1"/>
  <c r="T88" i="89"/>
  <c r="R88" i="89"/>
  <c r="I88" i="89"/>
  <c r="H88" i="89"/>
  <c r="I87" i="89"/>
  <c r="T86" i="89"/>
  <c r="R86" i="89"/>
  <c r="Q86" i="89"/>
  <c r="I86" i="89"/>
  <c r="H86" i="89"/>
  <c r="I85" i="89"/>
  <c r="I84" i="89"/>
  <c r="H84" i="89"/>
  <c r="I83" i="89"/>
  <c r="I82" i="89"/>
  <c r="I81" i="89"/>
  <c r="I80" i="89"/>
  <c r="I79" i="89"/>
  <c r="I78" i="89"/>
  <c r="I66" i="89"/>
  <c r="I65" i="89"/>
  <c r="I64" i="89"/>
  <c r="I63" i="89"/>
  <c r="I62" i="89"/>
  <c r="I61" i="89"/>
  <c r="I60" i="89"/>
  <c r="I59" i="89"/>
  <c r="I58" i="89"/>
  <c r="I57" i="89"/>
  <c r="I56" i="89"/>
  <c r="I55" i="89"/>
  <c r="I54" i="89"/>
  <c r="I53" i="89"/>
  <c r="I52" i="89"/>
  <c r="I51" i="89"/>
  <c r="I50" i="89"/>
  <c r="I49" i="89"/>
  <c r="I48" i="89"/>
  <c r="I47" i="89"/>
  <c r="I46" i="89"/>
  <c r="I45" i="89"/>
  <c r="I44" i="89"/>
  <c r="I43" i="89"/>
  <c r="U42" i="89"/>
  <c r="T42" i="89"/>
  <c r="S42" i="89"/>
  <c r="R42" i="89"/>
  <c r="Q42" i="89"/>
  <c r="I42" i="89"/>
  <c r="H42" i="89"/>
  <c r="U41" i="89"/>
  <c r="T41" i="89"/>
  <c r="S41" i="89"/>
  <c r="R41" i="89"/>
  <c r="Q41" i="89"/>
  <c r="I41" i="89"/>
  <c r="H41" i="89"/>
  <c r="I40" i="89"/>
  <c r="U15" i="89"/>
  <c r="T15" i="89"/>
  <c r="S15" i="89"/>
  <c r="R15" i="89"/>
  <c r="Q15" i="89"/>
  <c r="I15" i="89"/>
  <c r="H15" i="89"/>
  <c r="U14" i="89"/>
  <c r="T14" i="89"/>
  <c r="S14" i="89"/>
  <c r="R14" i="89"/>
  <c r="Q14" i="89"/>
  <c r="I14" i="89"/>
  <c r="H14" i="89"/>
  <c r="I13" i="89"/>
  <c r="I12" i="89"/>
  <c r="I11" i="89"/>
  <c r="I10" i="89"/>
  <c r="A5" i="89"/>
  <c r="W3" i="89"/>
  <c r="A2" i="89"/>
  <c r="A1" i="89"/>
  <c r="C122" i="79"/>
  <c r="R89" i="89" l="1"/>
  <c r="S89" i="89"/>
  <c r="Q88" i="89"/>
  <c r="S88" i="89"/>
  <c r="U86" i="89"/>
  <c r="U84" i="89"/>
  <c r="U89" i="89"/>
  <c r="Q84" i="89"/>
  <c r="S86" i="89"/>
  <c r="U88" i="89"/>
  <c r="S84" i="89"/>
  <c r="T84" i="89"/>
  <c r="Q89" i="89"/>
  <c r="R84" i="89"/>
  <c r="U83" i="90"/>
  <c r="S79" i="90"/>
  <c r="U81" i="90"/>
  <c r="Q83" i="90"/>
  <c r="R83" i="90"/>
  <c r="Q81" i="90"/>
  <c r="S83" i="90"/>
  <c r="R81" i="90"/>
  <c r="T83" i="90"/>
  <c r="Q79" i="90"/>
  <c r="S81" i="90"/>
  <c r="R79" i="90"/>
  <c r="T81" i="90"/>
  <c r="U74" i="90"/>
  <c r="U60" i="90"/>
  <c r="S63" i="90"/>
  <c r="S102" i="90" s="1"/>
  <c r="T63" i="90"/>
  <c r="T102" i="90" s="1"/>
  <c r="T72" i="90"/>
  <c r="T59" i="90"/>
  <c r="S59" i="90"/>
  <c r="R62" i="90"/>
  <c r="S62" i="90"/>
  <c r="Q60" i="90"/>
  <c r="Q59" i="90"/>
  <c r="R60" i="90"/>
  <c r="T62" i="90"/>
  <c r="U63" i="90"/>
  <c r="U102" i="90" s="1"/>
  <c r="Q74" i="90"/>
  <c r="R59" i="90"/>
  <c r="S60" i="90"/>
  <c r="U62" i="90"/>
  <c r="R74" i="90"/>
  <c r="T60" i="90"/>
  <c r="Q72" i="90"/>
  <c r="S74" i="90"/>
  <c r="S118" i="90" s="1"/>
  <c r="R72" i="90"/>
  <c r="T74" i="90"/>
  <c r="T96" i="90" s="1"/>
  <c r="Q63" i="90"/>
  <c r="S72" i="90"/>
  <c r="Q62" i="90"/>
  <c r="R63" i="90"/>
  <c r="R102" i="90" s="1"/>
  <c r="Q104" i="89"/>
  <c r="T118" i="90"/>
  <c r="R104" i="89"/>
  <c r="Q104" i="90"/>
  <c r="U118" i="90"/>
  <c r="T97" i="90"/>
  <c r="R104" i="90"/>
  <c r="S104" i="90"/>
  <c r="T104" i="90"/>
  <c r="U104" i="90"/>
  <c r="R118" i="90"/>
  <c r="S104" i="89"/>
  <c r="T104" i="89"/>
  <c r="U104" i="89"/>
  <c r="Q102" i="90" l="1"/>
  <c r="S96" i="90"/>
  <c r="R96" i="90"/>
  <c r="Q118" i="90"/>
  <c r="V118" i="90" s="1"/>
  <c r="V104" i="89"/>
  <c r="V104" i="90"/>
  <c r="B14" i="74"/>
  <c r="H65" i="90" l="1"/>
  <c r="H85" i="89"/>
  <c r="H71" i="89"/>
  <c r="H64" i="90"/>
  <c r="H80" i="89"/>
  <c r="H47" i="89"/>
  <c r="H70" i="89"/>
  <c r="H83" i="89"/>
  <c r="H79" i="89"/>
  <c r="H87" i="89"/>
  <c r="H82" i="89"/>
  <c r="H73" i="89"/>
  <c r="H68" i="89"/>
  <c r="H66" i="90"/>
  <c r="H81" i="89"/>
  <c r="H71" i="90"/>
  <c r="H67" i="89"/>
  <c r="H72" i="89"/>
  <c r="H77" i="90"/>
  <c r="H75" i="90"/>
  <c r="H73" i="90"/>
  <c r="H70" i="90"/>
  <c r="H69" i="90"/>
  <c r="K69" i="90" s="1"/>
  <c r="H68" i="90"/>
  <c r="H67" i="90"/>
  <c r="K67" i="90" s="1"/>
  <c r="H77" i="89"/>
  <c r="H76" i="89"/>
  <c r="H75" i="89"/>
  <c r="H74" i="89"/>
  <c r="H69" i="89"/>
  <c r="M69" i="89" s="1"/>
  <c r="H37" i="79"/>
  <c r="H34" i="79"/>
  <c r="H31" i="79"/>
  <c r="H28" i="79"/>
  <c r="H25" i="79"/>
  <c r="H22" i="79"/>
  <c r="H19" i="79"/>
  <c r="H16" i="79"/>
  <c r="H37" i="90"/>
  <c r="H34" i="90"/>
  <c r="H31" i="90"/>
  <c r="H28" i="90"/>
  <c r="H25" i="90"/>
  <c r="H22" i="90"/>
  <c r="H19" i="90"/>
  <c r="H16" i="90"/>
  <c r="H37" i="89"/>
  <c r="H34" i="89"/>
  <c r="H31" i="89"/>
  <c r="H28" i="89"/>
  <c r="H25" i="89"/>
  <c r="H22" i="89"/>
  <c r="H19" i="89"/>
  <c r="H16" i="89"/>
  <c r="H61" i="90"/>
  <c r="H58" i="90"/>
  <c r="H57" i="90"/>
  <c r="H56" i="90"/>
  <c r="H55" i="90"/>
  <c r="H54" i="90"/>
  <c r="H52" i="90"/>
  <c r="H51" i="90"/>
  <c r="H50" i="90"/>
  <c r="H49" i="90"/>
  <c r="H48" i="90"/>
  <c r="H47" i="90"/>
  <c r="H46" i="90"/>
  <c r="H45" i="90"/>
  <c r="H44" i="90"/>
  <c r="H40" i="90"/>
  <c r="H78" i="89"/>
  <c r="H66" i="89"/>
  <c r="L66" i="89" s="1"/>
  <c r="H65" i="89"/>
  <c r="L65" i="89" s="1"/>
  <c r="H64" i="89"/>
  <c r="L64" i="89" s="1"/>
  <c r="H63" i="89"/>
  <c r="L63" i="89" s="1"/>
  <c r="H62" i="89"/>
  <c r="L62" i="89" s="1"/>
  <c r="H61" i="89"/>
  <c r="L61" i="89" s="1"/>
  <c r="H60" i="89"/>
  <c r="K60" i="89" s="1"/>
  <c r="H59" i="89"/>
  <c r="K59" i="89" s="1"/>
  <c r="H58" i="89"/>
  <c r="K58" i="89" s="1"/>
  <c r="H57" i="89"/>
  <c r="K57" i="89" s="1"/>
  <c r="H56" i="89"/>
  <c r="K56" i="89" s="1"/>
  <c r="H55" i="89"/>
  <c r="K55" i="89" s="1"/>
  <c r="H54" i="89"/>
  <c r="H52" i="89"/>
  <c r="H51" i="89"/>
  <c r="H50" i="89"/>
  <c r="H49" i="89"/>
  <c r="H48" i="89"/>
  <c r="H46" i="89"/>
  <c r="H45" i="89"/>
  <c r="H44" i="89"/>
  <c r="H40" i="89"/>
  <c r="V102" i="90"/>
  <c r="H53" i="90"/>
  <c r="K53" i="90" s="1"/>
  <c r="H11" i="90"/>
  <c r="H43" i="90"/>
  <c r="H10" i="90"/>
  <c r="H13" i="89"/>
  <c r="H11" i="89"/>
  <c r="H53" i="89"/>
  <c r="H12" i="89"/>
  <c r="H10" i="89"/>
  <c r="H12" i="90"/>
  <c r="H43" i="89"/>
  <c r="H13" i="90"/>
  <c r="A3" i="82"/>
  <c r="K87" i="89" l="1"/>
  <c r="Q87" i="89" s="1"/>
  <c r="U87" i="89"/>
  <c r="R87" i="89"/>
  <c r="T87" i="89"/>
  <c r="S87" i="89"/>
  <c r="K79" i="89"/>
  <c r="Q79" i="89"/>
  <c r="S79" i="89"/>
  <c r="R79" i="89"/>
  <c r="T79" i="89"/>
  <c r="U79" i="89"/>
  <c r="K83" i="89"/>
  <c r="Q83" i="89" s="1"/>
  <c r="T83" i="89"/>
  <c r="U83" i="89"/>
  <c r="R83" i="89"/>
  <c r="S83" i="89"/>
  <c r="R70" i="89"/>
  <c r="M70" i="89"/>
  <c r="U70" i="89"/>
  <c r="Q70" i="89"/>
  <c r="S70" i="89"/>
  <c r="T70" i="89"/>
  <c r="T72" i="89"/>
  <c r="M72" i="89"/>
  <c r="S72" i="89" s="1"/>
  <c r="U72" i="89"/>
  <c r="Q72" i="89"/>
  <c r="R72" i="89"/>
  <c r="U47" i="89"/>
  <c r="Q47" i="89"/>
  <c r="R47" i="89"/>
  <c r="S47" i="89"/>
  <c r="T47" i="89"/>
  <c r="N53" i="89"/>
  <c r="T53" i="89" s="1"/>
  <c r="O53" i="89"/>
  <c r="U53" i="89" s="1"/>
  <c r="Q67" i="89"/>
  <c r="M67" i="89"/>
  <c r="S67" i="89" s="1"/>
  <c r="U67" i="89"/>
  <c r="R67" i="89"/>
  <c r="T67" i="89"/>
  <c r="K80" i="89"/>
  <c r="Q80" i="89" s="1"/>
  <c r="S80" i="89"/>
  <c r="R80" i="89"/>
  <c r="U80" i="89"/>
  <c r="T80" i="89"/>
  <c r="N49" i="89"/>
  <c r="T49" i="89" s="1"/>
  <c r="O49" i="89"/>
  <c r="U49" i="89" s="1"/>
  <c r="O34" i="90"/>
  <c r="U34" i="90" s="1"/>
  <c r="K34" i="90"/>
  <c r="U71" i="90"/>
  <c r="K71" i="90"/>
  <c r="Q71" i="90" s="1"/>
  <c r="T71" i="90"/>
  <c r="S71" i="90"/>
  <c r="R71" i="90"/>
  <c r="S64" i="90"/>
  <c r="K64" i="90"/>
  <c r="Q64" i="90" s="1"/>
  <c r="T64" i="90"/>
  <c r="R64" i="90"/>
  <c r="U64" i="90"/>
  <c r="N50" i="89"/>
  <c r="T50" i="89" s="1"/>
  <c r="T98" i="89" s="1"/>
  <c r="O50" i="89"/>
  <c r="U50" i="89" s="1"/>
  <c r="U98" i="89" s="1"/>
  <c r="K81" i="89"/>
  <c r="R81" i="89"/>
  <c r="Q81" i="89"/>
  <c r="T81" i="89"/>
  <c r="U81" i="89"/>
  <c r="S81" i="89"/>
  <c r="M71" i="89"/>
  <c r="S71" i="89" s="1"/>
  <c r="U71" i="89"/>
  <c r="T71" i="89"/>
  <c r="Q71" i="89"/>
  <c r="R71" i="89"/>
  <c r="N51" i="89"/>
  <c r="T51" i="89" s="1"/>
  <c r="T105" i="89" s="1"/>
  <c r="O51" i="89"/>
  <c r="U51" i="89" s="1"/>
  <c r="U105" i="89" s="1"/>
  <c r="T66" i="90"/>
  <c r="K66" i="90"/>
  <c r="Q66" i="90" s="1"/>
  <c r="U66" i="90"/>
  <c r="R66" i="90"/>
  <c r="S66" i="90"/>
  <c r="K85" i="89"/>
  <c r="Q85" i="89" s="1"/>
  <c r="S85" i="89"/>
  <c r="U85" i="89"/>
  <c r="T85" i="89"/>
  <c r="R85" i="89"/>
  <c r="N52" i="89"/>
  <c r="T52" i="89" s="1"/>
  <c r="O52" i="89"/>
  <c r="U52" i="89" s="1"/>
  <c r="U68" i="89"/>
  <c r="M68" i="89"/>
  <c r="R68" i="89"/>
  <c r="S68" i="89"/>
  <c r="T68" i="89"/>
  <c r="Q68" i="89"/>
  <c r="K65" i="90"/>
  <c r="Q65" i="90" s="1"/>
  <c r="U65" i="90"/>
  <c r="T65" i="90"/>
  <c r="S65" i="90"/>
  <c r="R65" i="90"/>
  <c r="N54" i="89"/>
  <c r="T54" i="89" s="1"/>
  <c r="O54" i="89"/>
  <c r="U54" i="89" s="1"/>
  <c r="O34" i="89"/>
  <c r="U34" i="89" s="1"/>
  <c r="M34" i="89"/>
  <c r="S34" i="89" s="1"/>
  <c r="K34" i="89"/>
  <c r="Q34" i="89" s="1"/>
  <c r="U73" i="89"/>
  <c r="Q73" i="89"/>
  <c r="R73" i="89"/>
  <c r="S73" i="89"/>
  <c r="T73" i="89"/>
  <c r="K82" i="89"/>
  <c r="Q82" i="89" s="1"/>
  <c r="R82" i="89"/>
  <c r="S82" i="89"/>
  <c r="T82" i="89"/>
  <c r="U82" i="89"/>
  <c r="U40" i="89"/>
  <c r="S40" i="89"/>
  <c r="R40" i="89"/>
  <c r="Q40" i="89"/>
  <c r="T40" i="89"/>
  <c r="U44" i="89"/>
  <c r="U101" i="89" s="1"/>
  <c r="Q44" i="89"/>
  <c r="Q101" i="89" s="1"/>
  <c r="S44" i="89"/>
  <c r="S101" i="89" s="1"/>
  <c r="R44" i="89"/>
  <c r="R101" i="89" s="1"/>
  <c r="T44" i="89"/>
  <c r="T101" i="89" s="1"/>
  <c r="Q45" i="89"/>
  <c r="R45" i="89"/>
  <c r="T45" i="89"/>
  <c r="S45" i="89"/>
  <c r="U45" i="89"/>
  <c r="U46" i="89"/>
  <c r="T46" i="89"/>
  <c r="S46" i="89"/>
  <c r="R46" i="89"/>
  <c r="Q46" i="89"/>
  <c r="T48" i="89"/>
  <c r="T97" i="89" s="1"/>
  <c r="U48" i="89"/>
  <c r="U97" i="89" s="1"/>
  <c r="S48" i="89"/>
  <c r="S97" i="89" s="1"/>
  <c r="R48" i="89"/>
  <c r="R97" i="89" s="1"/>
  <c r="Q48" i="89"/>
  <c r="Q97" i="89" s="1"/>
  <c r="S49" i="89"/>
  <c r="R49" i="89"/>
  <c r="Q49" i="89"/>
  <c r="S50" i="89"/>
  <c r="S98" i="89" s="1"/>
  <c r="Q50" i="89"/>
  <c r="Q98" i="89" s="1"/>
  <c r="R50" i="89"/>
  <c r="R98" i="89" s="1"/>
  <c r="Q51" i="89"/>
  <c r="Q105" i="89" s="1"/>
  <c r="R51" i="89"/>
  <c r="R105" i="89" s="1"/>
  <c r="S51" i="89"/>
  <c r="S105" i="89" s="1"/>
  <c r="R52" i="89"/>
  <c r="Q52" i="89"/>
  <c r="S52" i="89"/>
  <c r="R54" i="89"/>
  <c r="Q54" i="89"/>
  <c r="S54" i="89"/>
  <c r="S55" i="89"/>
  <c r="Q55" i="89"/>
  <c r="R55" i="89"/>
  <c r="T55" i="89"/>
  <c r="U55" i="89"/>
  <c r="T56" i="89"/>
  <c r="Q56" i="89"/>
  <c r="S56" i="89"/>
  <c r="U56" i="89"/>
  <c r="R56" i="89"/>
  <c r="U57" i="89"/>
  <c r="T57" i="89"/>
  <c r="R57" i="89"/>
  <c r="Q57" i="89"/>
  <c r="S57" i="89"/>
  <c r="T58" i="89"/>
  <c r="Q58" i="89"/>
  <c r="U58" i="89"/>
  <c r="S58" i="89"/>
  <c r="R58" i="89"/>
  <c r="U59" i="89"/>
  <c r="Q59" i="89"/>
  <c r="T59" i="89"/>
  <c r="S59" i="89"/>
  <c r="R59" i="89"/>
  <c r="U60" i="89"/>
  <c r="R60" i="89"/>
  <c r="Q60" i="89"/>
  <c r="S60" i="89"/>
  <c r="T60" i="89"/>
  <c r="Q61" i="89"/>
  <c r="U61" i="89"/>
  <c r="T61" i="89"/>
  <c r="R61" i="89"/>
  <c r="S61" i="89"/>
  <c r="R62" i="89"/>
  <c r="Q62" i="89"/>
  <c r="S62" i="89"/>
  <c r="T62" i="89"/>
  <c r="U62" i="89"/>
  <c r="S63" i="89"/>
  <c r="R63" i="89"/>
  <c r="T63" i="89"/>
  <c r="U63" i="89"/>
  <c r="Q63" i="89"/>
  <c r="T64" i="89"/>
  <c r="R64" i="89"/>
  <c r="S64" i="89"/>
  <c r="U64" i="89"/>
  <c r="Q64" i="89"/>
  <c r="U65" i="89"/>
  <c r="Q65" i="89"/>
  <c r="R65" i="89"/>
  <c r="S65" i="89"/>
  <c r="T65" i="89"/>
  <c r="U66" i="89"/>
  <c r="Q66" i="89"/>
  <c r="R66" i="89"/>
  <c r="S66" i="89"/>
  <c r="T66" i="89"/>
  <c r="R78" i="89"/>
  <c r="U78" i="89"/>
  <c r="S78" i="89"/>
  <c r="Q78" i="89"/>
  <c r="T78" i="89"/>
  <c r="R40" i="90"/>
  <c r="U40" i="90"/>
  <c r="T40" i="90"/>
  <c r="S40" i="90"/>
  <c r="Q40" i="90"/>
  <c r="R44" i="90"/>
  <c r="R101" i="90" s="1"/>
  <c r="S44" i="90"/>
  <c r="S101" i="90" s="1"/>
  <c r="T44" i="90"/>
  <c r="T101" i="90" s="1"/>
  <c r="U44" i="90"/>
  <c r="U101" i="90" s="1"/>
  <c r="Q44" i="90"/>
  <c r="Q101" i="90" s="1"/>
  <c r="S45" i="90"/>
  <c r="T45" i="90"/>
  <c r="U45" i="90"/>
  <c r="Q45" i="90"/>
  <c r="R45" i="90"/>
  <c r="O46" i="90"/>
  <c r="U46" i="90" s="1"/>
  <c r="N46" i="90"/>
  <c r="T46" i="90"/>
  <c r="S46" i="90"/>
  <c r="R46" i="90"/>
  <c r="Q46" i="90"/>
  <c r="O47" i="90"/>
  <c r="U47" i="90" s="1"/>
  <c r="N47" i="90"/>
  <c r="T47" i="90" s="1"/>
  <c r="S47" i="90"/>
  <c r="R47" i="90"/>
  <c r="Q47" i="90"/>
  <c r="O48" i="90"/>
  <c r="N48" i="90"/>
  <c r="U48" i="90"/>
  <c r="U97" i="90" s="1"/>
  <c r="T48" i="90"/>
  <c r="S48" i="90"/>
  <c r="S97" i="90" s="1"/>
  <c r="R48" i="90"/>
  <c r="R97" i="90" s="1"/>
  <c r="Q48" i="90"/>
  <c r="Q97" i="90" s="1"/>
  <c r="O49" i="90"/>
  <c r="U49" i="90" s="1"/>
  <c r="N49" i="90"/>
  <c r="T49" i="90" s="1"/>
  <c r="S49" i="90"/>
  <c r="Q49" i="90"/>
  <c r="R49" i="90"/>
  <c r="O50" i="90"/>
  <c r="U50" i="90" s="1"/>
  <c r="U98" i="90" s="1"/>
  <c r="N50" i="90"/>
  <c r="T50" i="90"/>
  <c r="T98" i="90" s="1"/>
  <c r="Q50" i="90"/>
  <c r="Q98" i="90" s="1"/>
  <c r="R50" i="90"/>
  <c r="R98" i="90" s="1"/>
  <c r="S50" i="90"/>
  <c r="S98" i="90" s="1"/>
  <c r="Q51" i="90"/>
  <c r="Q105" i="90" s="1"/>
  <c r="O51" i="90"/>
  <c r="U51" i="90" s="1"/>
  <c r="U105" i="90" s="1"/>
  <c r="N51" i="90"/>
  <c r="T51" i="90" s="1"/>
  <c r="T105" i="90" s="1"/>
  <c r="R51" i="90"/>
  <c r="R105" i="90" s="1"/>
  <c r="S51" i="90"/>
  <c r="S105" i="90" s="1"/>
  <c r="R52" i="90"/>
  <c r="K52" i="90"/>
  <c r="Q52" i="90" s="1"/>
  <c r="S52" i="90"/>
  <c r="T52" i="90"/>
  <c r="U52" i="90"/>
  <c r="R54" i="90"/>
  <c r="K54" i="90"/>
  <c r="Q54" i="90" s="1"/>
  <c r="S54" i="90"/>
  <c r="T54" i="90"/>
  <c r="U54" i="90"/>
  <c r="S55" i="90"/>
  <c r="K55" i="90"/>
  <c r="Q55" i="90" s="1"/>
  <c r="T55" i="90"/>
  <c r="U55" i="90"/>
  <c r="R55" i="90"/>
  <c r="U56" i="90"/>
  <c r="K56" i="90"/>
  <c r="Q56" i="90" s="1"/>
  <c r="T56" i="90"/>
  <c r="S56" i="90"/>
  <c r="R56" i="90"/>
  <c r="K57" i="90"/>
  <c r="Q57" i="90" s="1"/>
  <c r="U57" i="90"/>
  <c r="T57" i="90"/>
  <c r="S57" i="90"/>
  <c r="R57" i="90"/>
  <c r="U58" i="90"/>
  <c r="R58" i="90"/>
  <c r="Q58" i="90"/>
  <c r="T58" i="90"/>
  <c r="S58" i="90"/>
  <c r="Q61" i="90"/>
  <c r="T61" i="90"/>
  <c r="S61" i="90"/>
  <c r="R61" i="90"/>
  <c r="U61" i="90"/>
  <c r="Q16" i="89"/>
  <c r="S16" i="89"/>
  <c r="R16" i="89"/>
  <c r="T16" i="89"/>
  <c r="U16" i="89"/>
  <c r="T19" i="89"/>
  <c r="U19" i="89"/>
  <c r="Q19" i="89"/>
  <c r="R19" i="89"/>
  <c r="S19" i="89"/>
  <c r="U22" i="89"/>
  <c r="T22" i="89"/>
  <c r="S22" i="89"/>
  <c r="Q22" i="89"/>
  <c r="R22" i="89"/>
  <c r="S25" i="89"/>
  <c r="T25" i="89"/>
  <c r="U25" i="89"/>
  <c r="Q25" i="89"/>
  <c r="R25" i="89"/>
  <c r="U28" i="89"/>
  <c r="Q28" i="89"/>
  <c r="S28" i="89"/>
  <c r="T28" i="89"/>
  <c r="R28" i="89"/>
  <c r="S31" i="89"/>
  <c r="U31" i="89"/>
  <c r="T31" i="89"/>
  <c r="R31" i="89"/>
  <c r="Q31" i="89"/>
  <c r="T34" i="89"/>
  <c r="R34" i="89"/>
  <c r="U37" i="89"/>
  <c r="S37" i="89"/>
  <c r="Q37" i="89"/>
  <c r="R37" i="89"/>
  <c r="T37" i="89"/>
  <c r="Q16" i="90"/>
  <c r="U16" i="90"/>
  <c r="S16" i="90"/>
  <c r="R16" i="90"/>
  <c r="T16" i="90"/>
  <c r="T19" i="90"/>
  <c r="U19" i="90"/>
  <c r="S19" i="90"/>
  <c r="Q19" i="90"/>
  <c r="R19" i="90"/>
  <c r="U22" i="90"/>
  <c r="T22" i="90"/>
  <c r="S22" i="90"/>
  <c r="Q22" i="90"/>
  <c r="R22" i="90"/>
  <c r="R25" i="90"/>
  <c r="T25" i="90"/>
  <c r="S25" i="90"/>
  <c r="Q25" i="90"/>
  <c r="U25" i="90"/>
  <c r="U28" i="90"/>
  <c r="Q28" i="90"/>
  <c r="R28" i="90"/>
  <c r="S28" i="90"/>
  <c r="T28" i="90"/>
  <c r="U31" i="90"/>
  <c r="T31" i="90"/>
  <c r="R31" i="90"/>
  <c r="Q31" i="90"/>
  <c r="S31" i="90"/>
  <c r="S34" i="90"/>
  <c r="T34" i="90"/>
  <c r="Q34" i="90"/>
  <c r="R34" i="90"/>
  <c r="U37" i="90"/>
  <c r="Q37" i="90"/>
  <c r="R37" i="90"/>
  <c r="S37" i="90"/>
  <c r="T37" i="90"/>
  <c r="R16" i="79"/>
  <c r="U16" i="79"/>
  <c r="T16" i="79"/>
  <c r="S16" i="79"/>
  <c r="Q16" i="79"/>
  <c r="R19" i="79"/>
  <c r="T19" i="79"/>
  <c r="S19" i="79"/>
  <c r="Q19" i="79"/>
  <c r="U19" i="79"/>
  <c r="U22" i="79"/>
  <c r="T22" i="79"/>
  <c r="R22" i="79"/>
  <c r="S22" i="79"/>
  <c r="Q22" i="79"/>
  <c r="Q25" i="79"/>
  <c r="R25" i="79"/>
  <c r="S25" i="79"/>
  <c r="T25" i="79"/>
  <c r="U25" i="79"/>
  <c r="T28" i="79"/>
  <c r="U28" i="79"/>
  <c r="S28" i="79"/>
  <c r="R28" i="79"/>
  <c r="Q28" i="79"/>
  <c r="S31" i="79"/>
  <c r="U31" i="79"/>
  <c r="T31" i="79"/>
  <c r="Q31" i="79"/>
  <c r="R31" i="79"/>
  <c r="S34" i="79"/>
  <c r="T34" i="79"/>
  <c r="U34" i="79"/>
  <c r="Q34" i="79"/>
  <c r="R34" i="79"/>
  <c r="U37" i="79"/>
  <c r="S37" i="79"/>
  <c r="Q37" i="79"/>
  <c r="R37" i="79"/>
  <c r="T37" i="79"/>
  <c r="S69" i="89"/>
  <c r="T69" i="89"/>
  <c r="U69" i="89"/>
  <c r="Q69" i="89"/>
  <c r="R69" i="89"/>
  <c r="S74" i="89"/>
  <c r="S102" i="89" s="1"/>
  <c r="Q74" i="89"/>
  <c r="Q102" i="89" s="1"/>
  <c r="U74" i="89"/>
  <c r="T74" i="89"/>
  <c r="T102" i="89" s="1"/>
  <c r="R74" i="89"/>
  <c r="T75" i="89"/>
  <c r="Q75" i="89"/>
  <c r="U75" i="89"/>
  <c r="R75" i="89"/>
  <c r="S75" i="89"/>
  <c r="U76" i="89"/>
  <c r="Q76" i="89"/>
  <c r="R76" i="89"/>
  <c r="S76" i="89"/>
  <c r="T76" i="89"/>
  <c r="U77" i="89"/>
  <c r="Q77" i="89"/>
  <c r="R77" i="89"/>
  <c r="S77" i="89"/>
  <c r="T77" i="89"/>
  <c r="Q67" i="90"/>
  <c r="U67" i="90"/>
  <c r="R67" i="90"/>
  <c r="S67" i="90"/>
  <c r="T67" i="90"/>
  <c r="T68" i="90"/>
  <c r="R68" i="90"/>
  <c r="U68" i="90"/>
  <c r="Q68" i="90"/>
  <c r="S68" i="90"/>
  <c r="S69" i="90"/>
  <c r="Q69" i="90"/>
  <c r="R69" i="90"/>
  <c r="T69" i="90"/>
  <c r="U69" i="90"/>
  <c r="T70" i="90"/>
  <c r="S70" i="90"/>
  <c r="R70" i="90"/>
  <c r="U70" i="90"/>
  <c r="U96" i="90" s="1"/>
  <c r="Q70" i="90"/>
  <c r="Q96" i="90" s="1"/>
  <c r="R73" i="90"/>
  <c r="T73" i="90"/>
  <c r="U73" i="90"/>
  <c r="Q73" i="90"/>
  <c r="S73" i="90"/>
  <c r="U75" i="90"/>
  <c r="Q75" i="90"/>
  <c r="R75" i="90"/>
  <c r="S75" i="90"/>
  <c r="T75" i="90"/>
  <c r="R77" i="90"/>
  <c r="S77" i="90"/>
  <c r="T77" i="90"/>
  <c r="U77" i="90"/>
  <c r="Q77" i="90"/>
  <c r="S53" i="89"/>
  <c r="R53" i="89"/>
  <c r="Q53" i="89"/>
  <c r="T11" i="89"/>
  <c r="U11" i="89"/>
  <c r="Q11" i="89"/>
  <c r="R11" i="89"/>
  <c r="S11" i="89"/>
  <c r="U13" i="89"/>
  <c r="R13" i="89"/>
  <c r="Q13" i="89"/>
  <c r="S13" i="89"/>
  <c r="T13" i="89"/>
  <c r="U12" i="89"/>
  <c r="Q12" i="89"/>
  <c r="R12" i="89"/>
  <c r="S12" i="89"/>
  <c r="T12" i="89"/>
  <c r="T43" i="89"/>
  <c r="U43" i="89"/>
  <c r="R43" i="89"/>
  <c r="S43" i="89"/>
  <c r="Q43" i="89"/>
  <c r="T43" i="90"/>
  <c r="U43" i="90"/>
  <c r="S43" i="90"/>
  <c r="Q43" i="90"/>
  <c r="R43" i="90"/>
  <c r="S10" i="90"/>
  <c r="T10" i="90"/>
  <c r="R10" i="90"/>
  <c r="Q10" i="90"/>
  <c r="U10" i="90"/>
  <c r="S12" i="90"/>
  <c r="S95" i="90" s="1"/>
  <c r="U12" i="90"/>
  <c r="U95" i="90" s="1"/>
  <c r="T12" i="90"/>
  <c r="T95" i="90" s="1"/>
  <c r="R12" i="90"/>
  <c r="R95" i="90" s="1"/>
  <c r="Q12" i="90"/>
  <c r="Q95" i="90" s="1"/>
  <c r="T11" i="90"/>
  <c r="U11" i="90"/>
  <c r="S11" i="90"/>
  <c r="Q11" i="90"/>
  <c r="R11" i="90"/>
  <c r="U13" i="90"/>
  <c r="Q13" i="90"/>
  <c r="S13" i="90"/>
  <c r="T13" i="90"/>
  <c r="R13" i="90"/>
  <c r="S10" i="89"/>
  <c r="U10" i="89"/>
  <c r="T10" i="89"/>
  <c r="R10" i="89"/>
  <c r="Q10" i="89"/>
  <c r="U53" i="90"/>
  <c r="Q53" i="90"/>
  <c r="R53" i="90"/>
  <c r="S53" i="90"/>
  <c r="T53" i="90"/>
  <c r="B21" i="74"/>
  <c r="Q94" i="89" l="1"/>
  <c r="R94" i="89"/>
  <c r="U94" i="89"/>
  <c r="T94" i="89"/>
  <c r="T94" i="90"/>
  <c r="U95" i="89"/>
  <c r="R94" i="90"/>
  <c r="U94" i="90"/>
  <c r="Q95" i="89"/>
  <c r="S94" i="89"/>
  <c r="T95" i="89"/>
  <c r="S95" i="89"/>
  <c r="R102" i="89"/>
  <c r="R95" i="89"/>
  <c r="U102" i="89"/>
  <c r="V97" i="89"/>
  <c r="Q94" i="90"/>
  <c r="S94" i="90"/>
  <c r="V97" i="90"/>
  <c r="V96" i="90"/>
  <c r="V105" i="90"/>
  <c r="V98" i="90"/>
  <c r="V101" i="90"/>
  <c r="V105" i="89"/>
  <c r="V98" i="89"/>
  <c r="V101" i="89"/>
  <c r="R96" i="89"/>
  <c r="R118" i="89"/>
  <c r="U96" i="89"/>
  <c r="U118" i="89"/>
  <c r="T96" i="89"/>
  <c r="T118" i="89"/>
  <c r="S96" i="89"/>
  <c r="S118" i="89"/>
  <c r="Q96" i="89"/>
  <c r="Q118" i="89"/>
  <c r="V95" i="90"/>
  <c r="T115" i="90"/>
  <c r="T115" i="89"/>
  <c r="S115" i="89"/>
  <c r="S100" i="89"/>
  <c r="S116" i="89"/>
  <c r="Q93" i="89"/>
  <c r="Q115" i="89"/>
  <c r="T93" i="89"/>
  <c r="U103" i="90"/>
  <c r="U119" i="90"/>
  <c r="S93" i="90"/>
  <c r="R100" i="89"/>
  <c r="R116" i="89"/>
  <c r="R100" i="90"/>
  <c r="R116" i="90"/>
  <c r="U100" i="89"/>
  <c r="U116" i="89"/>
  <c r="Q116" i="90"/>
  <c r="Q100" i="90"/>
  <c r="T100" i="89"/>
  <c r="T116" i="89"/>
  <c r="Q103" i="89"/>
  <c r="Q119" i="89"/>
  <c r="T103" i="90"/>
  <c r="T119" i="90"/>
  <c r="S115" i="90"/>
  <c r="U115" i="90"/>
  <c r="U93" i="90"/>
  <c r="U100" i="90"/>
  <c r="U116" i="90"/>
  <c r="T103" i="89"/>
  <c r="T119" i="89"/>
  <c r="R103" i="90"/>
  <c r="R119" i="90"/>
  <c r="Q93" i="90"/>
  <c r="Q115" i="90"/>
  <c r="T100" i="90"/>
  <c r="T116" i="90"/>
  <c r="R115" i="89"/>
  <c r="S93" i="89"/>
  <c r="S103" i="89"/>
  <c r="S119" i="89"/>
  <c r="U115" i="89"/>
  <c r="U93" i="89"/>
  <c r="S100" i="90"/>
  <c r="S116" i="90"/>
  <c r="R103" i="89"/>
  <c r="R119" i="89"/>
  <c r="S103" i="90"/>
  <c r="S119" i="90"/>
  <c r="Q103" i="90"/>
  <c r="Q119" i="90"/>
  <c r="T93" i="90"/>
  <c r="R93" i="90"/>
  <c r="R115" i="90"/>
  <c r="Q100" i="89"/>
  <c r="Q116" i="89"/>
  <c r="R93" i="89"/>
  <c r="U103" i="89"/>
  <c r="U119" i="89"/>
  <c r="J32" i="82"/>
  <c r="I32" i="82"/>
  <c r="H32" i="82"/>
  <c r="G32" i="82"/>
  <c r="F32" i="82"/>
  <c r="J21" i="82"/>
  <c r="I21" i="82"/>
  <c r="H21" i="82"/>
  <c r="G21" i="82"/>
  <c r="F21" i="82"/>
  <c r="A2" i="82"/>
  <c r="A1" i="82"/>
  <c r="C145" i="79"/>
  <c r="C143" i="79"/>
  <c r="C36" i="74"/>
  <c r="C37" i="74" s="1"/>
  <c r="W3" i="90" l="1"/>
  <c r="V102" i="89"/>
  <c r="V95" i="89"/>
  <c r="V94" i="89"/>
  <c r="S149" i="89"/>
  <c r="V94" i="90"/>
  <c r="V118" i="89"/>
  <c r="V96" i="89"/>
  <c r="T117" i="90"/>
  <c r="S117" i="89"/>
  <c r="U135" i="90"/>
  <c r="U106" i="90"/>
  <c r="Q153" i="90"/>
  <c r="Q120" i="90"/>
  <c r="V119" i="90"/>
  <c r="V120" i="90" s="1"/>
  <c r="Q149" i="90"/>
  <c r="V115" i="90"/>
  <c r="Q117" i="90"/>
  <c r="U128" i="90"/>
  <c r="U99" i="90"/>
  <c r="V103" i="89"/>
  <c r="Q138" i="89"/>
  <c r="U135" i="89"/>
  <c r="U106" i="89"/>
  <c r="T128" i="89"/>
  <c r="T99" i="89"/>
  <c r="T135" i="90"/>
  <c r="T106" i="90"/>
  <c r="U153" i="89"/>
  <c r="U120" i="89"/>
  <c r="U117" i="89"/>
  <c r="U149" i="89"/>
  <c r="Q128" i="90"/>
  <c r="V93" i="90"/>
  <c r="Q99" i="90"/>
  <c r="U149" i="90"/>
  <c r="U117" i="90"/>
  <c r="T150" i="89"/>
  <c r="R150" i="90"/>
  <c r="Q149" i="89"/>
  <c r="V115" i="89"/>
  <c r="Q117" i="89"/>
  <c r="Q153" i="89"/>
  <c r="V119" i="89"/>
  <c r="Q120" i="89"/>
  <c r="U99" i="89"/>
  <c r="U128" i="89"/>
  <c r="R128" i="89"/>
  <c r="R99" i="89"/>
  <c r="S153" i="89"/>
  <c r="S120" i="89"/>
  <c r="R120" i="90"/>
  <c r="R153" i="90"/>
  <c r="S149" i="90"/>
  <c r="S117" i="90"/>
  <c r="T135" i="89"/>
  <c r="T106" i="89"/>
  <c r="R135" i="90"/>
  <c r="R106" i="90"/>
  <c r="Q128" i="89"/>
  <c r="V93" i="89"/>
  <c r="Q99" i="89"/>
  <c r="Q150" i="89"/>
  <c r="V116" i="89"/>
  <c r="S138" i="90"/>
  <c r="S138" i="89"/>
  <c r="R138" i="90"/>
  <c r="Q135" i="90"/>
  <c r="V100" i="90"/>
  <c r="Q106" i="90"/>
  <c r="R150" i="89"/>
  <c r="S150" i="89"/>
  <c r="S106" i="90"/>
  <c r="S135" i="90"/>
  <c r="U150" i="89"/>
  <c r="U138" i="89"/>
  <c r="S120" i="90"/>
  <c r="S153" i="90"/>
  <c r="V100" i="89"/>
  <c r="Q106" i="89"/>
  <c r="Q135" i="89"/>
  <c r="R153" i="89"/>
  <c r="R120" i="89"/>
  <c r="S99" i="89"/>
  <c r="S128" i="89"/>
  <c r="T153" i="89"/>
  <c r="T120" i="89"/>
  <c r="V116" i="90"/>
  <c r="Q150" i="90"/>
  <c r="R135" i="89"/>
  <c r="R106" i="89"/>
  <c r="S135" i="89"/>
  <c r="S106" i="89"/>
  <c r="S132" i="90"/>
  <c r="S137" i="89"/>
  <c r="S133" i="89"/>
  <c r="T130" i="89"/>
  <c r="S130" i="90"/>
  <c r="Q131" i="90"/>
  <c r="Q130" i="90"/>
  <c r="Q136" i="89"/>
  <c r="Q133" i="89"/>
  <c r="S132" i="89"/>
  <c r="R132" i="89"/>
  <c r="U136" i="90"/>
  <c r="U137" i="90"/>
  <c r="S136" i="89"/>
  <c r="Q129" i="90"/>
  <c r="R132" i="90"/>
  <c r="T140" i="89"/>
  <c r="T133" i="89"/>
  <c r="U133" i="89"/>
  <c r="T136" i="90"/>
  <c r="S133" i="90"/>
  <c r="U137" i="89"/>
  <c r="Q133" i="90"/>
  <c r="Q132" i="89"/>
  <c r="Q137" i="90"/>
  <c r="S137" i="90"/>
  <c r="U140" i="89"/>
  <c r="R140" i="90"/>
  <c r="Q131" i="89"/>
  <c r="T140" i="90"/>
  <c r="U129" i="90"/>
  <c r="Q140" i="90"/>
  <c r="R140" i="89"/>
  <c r="R133" i="89"/>
  <c r="U132" i="90"/>
  <c r="T137" i="90"/>
  <c r="U131" i="90"/>
  <c r="R133" i="90"/>
  <c r="T131" i="89"/>
  <c r="T136" i="89"/>
  <c r="Q140" i="89"/>
  <c r="U133" i="90"/>
  <c r="S140" i="89"/>
  <c r="S131" i="89"/>
  <c r="Q139" i="90"/>
  <c r="U131" i="89"/>
  <c r="R137" i="90"/>
  <c r="S131" i="90"/>
  <c r="R136" i="90"/>
  <c r="T137" i="89"/>
  <c r="R137" i="89"/>
  <c r="S140" i="90"/>
  <c r="T133" i="90"/>
  <c r="Q132" i="90"/>
  <c r="Q136" i="90"/>
  <c r="Q137" i="89"/>
  <c r="R131" i="89"/>
  <c r="R136" i="89"/>
  <c r="T131" i="90"/>
  <c r="U136" i="89"/>
  <c r="T132" i="89"/>
  <c r="U132" i="89"/>
  <c r="U140" i="90"/>
  <c r="S136" i="90"/>
  <c r="R131" i="90"/>
  <c r="Q130" i="89"/>
  <c r="R139" i="89"/>
  <c r="U139" i="89"/>
  <c r="T130" i="90"/>
  <c r="T152" i="90"/>
  <c r="R129" i="90"/>
  <c r="U152" i="90"/>
  <c r="T139" i="90"/>
  <c r="S139" i="90"/>
  <c r="T129" i="90"/>
  <c r="U152" i="89"/>
  <c r="R152" i="90"/>
  <c r="S152" i="89"/>
  <c r="T132" i="90"/>
  <c r="U130" i="90"/>
  <c r="U139" i="90"/>
  <c r="R152" i="89"/>
  <c r="S129" i="89"/>
  <c r="R130" i="90"/>
  <c r="U130" i="89"/>
  <c r="U129" i="89"/>
  <c r="T129" i="89"/>
  <c r="Q129" i="89"/>
  <c r="T152" i="89"/>
  <c r="T139" i="89"/>
  <c r="R139" i="90"/>
  <c r="Q152" i="89"/>
  <c r="S139" i="89"/>
  <c r="Q139" i="89"/>
  <c r="S129" i="90"/>
  <c r="S152" i="90"/>
  <c r="Q152" i="90"/>
  <c r="S130" i="89"/>
  <c r="R129" i="89"/>
  <c r="R130" i="89"/>
  <c r="R138" i="89"/>
  <c r="R149" i="89"/>
  <c r="R117" i="89"/>
  <c r="T138" i="89"/>
  <c r="T120" i="90"/>
  <c r="T153" i="90"/>
  <c r="T117" i="89"/>
  <c r="S99" i="90"/>
  <c r="S128" i="90"/>
  <c r="T128" i="90"/>
  <c r="T99" i="90"/>
  <c r="U138" i="90"/>
  <c r="V103" i="90"/>
  <c r="Q138" i="90"/>
  <c r="R149" i="90"/>
  <c r="R117" i="90"/>
  <c r="R128" i="90"/>
  <c r="R99" i="90"/>
  <c r="S150" i="90"/>
  <c r="T150" i="90"/>
  <c r="U150" i="90"/>
  <c r="T138" i="90"/>
  <c r="T149" i="89"/>
  <c r="U153" i="90"/>
  <c r="U120" i="90"/>
  <c r="T149" i="90"/>
  <c r="T122" i="90" l="1"/>
  <c r="T123" i="90" s="1"/>
  <c r="V99" i="90"/>
  <c r="V120" i="89"/>
  <c r="S151" i="89"/>
  <c r="R108" i="90"/>
  <c r="R109" i="90" s="1"/>
  <c r="V99" i="89"/>
  <c r="U108" i="89"/>
  <c r="U109" i="89" s="1"/>
  <c r="R122" i="90"/>
  <c r="R123" i="90" s="1"/>
  <c r="Q122" i="90"/>
  <c r="Q123" i="90" s="1"/>
  <c r="T154" i="90"/>
  <c r="S122" i="89"/>
  <c r="S123" i="89" s="1"/>
  <c r="R122" i="89"/>
  <c r="R123" i="89" s="1"/>
  <c r="U108" i="90"/>
  <c r="U109" i="90" s="1"/>
  <c r="S108" i="89"/>
  <c r="S109" i="89" s="1"/>
  <c r="V152" i="90"/>
  <c r="V106" i="89"/>
  <c r="T108" i="89"/>
  <c r="T109" i="89" s="1"/>
  <c r="R151" i="90"/>
  <c r="S154" i="90"/>
  <c r="V139" i="90"/>
  <c r="T108" i="90"/>
  <c r="T109" i="90" s="1"/>
  <c r="T154" i="89"/>
  <c r="R154" i="89"/>
  <c r="Q122" i="89"/>
  <c r="Q123" i="89" s="1"/>
  <c r="Q108" i="90"/>
  <c r="T151" i="90"/>
  <c r="V138" i="90"/>
  <c r="V152" i="89"/>
  <c r="T151" i="89"/>
  <c r="U154" i="89"/>
  <c r="V131" i="89"/>
  <c r="R108" i="89"/>
  <c r="R109" i="89" s="1"/>
  <c r="V130" i="90"/>
  <c r="T141" i="89"/>
  <c r="R134" i="89"/>
  <c r="Q151" i="90"/>
  <c r="V149" i="90"/>
  <c r="V131" i="90"/>
  <c r="Q141" i="89"/>
  <c r="V135" i="89"/>
  <c r="V128" i="89"/>
  <c r="Q134" i="89"/>
  <c r="V138" i="89"/>
  <c r="V135" i="90"/>
  <c r="Q141" i="90"/>
  <c r="V139" i="89"/>
  <c r="V130" i="89"/>
  <c r="T122" i="89"/>
  <c r="T123" i="89" s="1"/>
  <c r="S141" i="90"/>
  <c r="S151" i="90"/>
  <c r="U134" i="89"/>
  <c r="V117" i="89"/>
  <c r="Q134" i="90"/>
  <c r="V128" i="90"/>
  <c r="T141" i="90"/>
  <c r="Q154" i="90"/>
  <c r="V153" i="90"/>
  <c r="S141" i="89"/>
  <c r="Q151" i="89"/>
  <c r="V149" i="89"/>
  <c r="R134" i="90"/>
  <c r="T134" i="90"/>
  <c r="V129" i="89"/>
  <c r="U154" i="90"/>
  <c r="V140" i="89"/>
  <c r="S134" i="89"/>
  <c r="U151" i="89"/>
  <c r="T134" i="89"/>
  <c r="U134" i="90"/>
  <c r="U122" i="89"/>
  <c r="U123" i="89" s="1"/>
  <c r="U141" i="90"/>
  <c r="V137" i="89"/>
  <c r="V140" i="90"/>
  <c r="R141" i="89"/>
  <c r="S134" i="90"/>
  <c r="R151" i="89"/>
  <c r="V136" i="90"/>
  <c r="V132" i="89"/>
  <c r="V133" i="89"/>
  <c r="S122" i="90"/>
  <c r="S123" i="90" s="1"/>
  <c r="V150" i="89"/>
  <c r="S154" i="89"/>
  <c r="U122" i="90"/>
  <c r="U123" i="90" s="1"/>
  <c r="V137" i="90"/>
  <c r="R141" i="90"/>
  <c r="S108" i="90"/>
  <c r="S109" i="90" s="1"/>
  <c r="R154" i="90"/>
  <c r="V132" i="90"/>
  <c r="V133" i="90"/>
  <c r="V129" i="90"/>
  <c r="V136" i="89"/>
  <c r="V150" i="90"/>
  <c r="V106" i="90"/>
  <c r="Q108" i="89"/>
  <c r="Q154" i="89"/>
  <c r="V153" i="89"/>
  <c r="U151" i="90"/>
  <c r="U141" i="89"/>
  <c r="V117" i="90"/>
  <c r="C111" i="79"/>
  <c r="D111" i="89" l="1"/>
  <c r="Q109" i="90"/>
  <c r="D111" i="90"/>
  <c r="S156" i="89"/>
  <c r="S157" i="89" s="1"/>
  <c r="V154" i="90"/>
  <c r="T156" i="90"/>
  <c r="T157" i="90" s="1"/>
  <c r="V122" i="90"/>
  <c r="V123" i="90" s="1"/>
  <c r="W123" i="90" s="1"/>
  <c r="Q143" i="89"/>
  <c r="T143" i="89"/>
  <c r="T144" i="89" s="1"/>
  <c r="T156" i="89"/>
  <c r="T157" i="89" s="1"/>
  <c r="S156" i="90"/>
  <c r="S157" i="90" s="1"/>
  <c r="R156" i="89"/>
  <c r="R157" i="89" s="1"/>
  <c r="S143" i="90"/>
  <c r="S144" i="90" s="1"/>
  <c r="Q143" i="90"/>
  <c r="U156" i="89"/>
  <c r="U157" i="89" s="1"/>
  <c r="U156" i="90"/>
  <c r="U157" i="90" s="1"/>
  <c r="R143" i="89"/>
  <c r="R144" i="89" s="1"/>
  <c r="V154" i="89"/>
  <c r="R156" i="90"/>
  <c r="R157" i="90" s="1"/>
  <c r="U143" i="90"/>
  <c r="U144" i="90" s="1"/>
  <c r="R143" i="90"/>
  <c r="R144" i="90" s="1"/>
  <c r="V151" i="89"/>
  <c r="V134" i="90"/>
  <c r="V122" i="89"/>
  <c r="V123" i="89" s="1"/>
  <c r="W123" i="89" s="1"/>
  <c r="Q156" i="89"/>
  <c r="V108" i="90"/>
  <c r="V134" i="89"/>
  <c r="V108" i="89"/>
  <c r="Q109" i="89"/>
  <c r="S143" i="89"/>
  <c r="S144" i="89" s="1"/>
  <c r="V151" i="90"/>
  <c r="T143" i="90"/>
  <c r="T144" i="90" s="1"/>
  <c r="U143" i="89"/>
  <c r="U144" i="89" s="1"/>
  <c r="V141" i="90"/>
  <c r="V141" i="89"/>
  <c r="Q156" i="90"/>
  <c r="A2" i="79"/>
  <c r="A1" i="79"/>
  <c r="A2" i="74"/>
  <c r="A1" i="74"/>
  <c r="C108" i="79"/>
  <c r="U89" i="79"/>
  <c r="T89" i="79"/>
  <c r="S89" i="79"/>
  <c r="R89" i="79"/>
  <c r="Q89" i="79"/>
  <c r="I89" i="79"/>
  <c r="H89" i="79"/>
  <c r="U88" i="79"/>
  <c r="T88" i="79"/>
  <c r="S88" i="79"/>
  <c r="R88" i="79"/>
  <c r="Q88" i="79"/>
  <c r="I88" i="79"/>
  <c r="H88" i="79"/>
  <c r="U87" i="79"/>
  <c r="T87" i="79"/>
  <c r="S87" i="79"/>
  <c r="R87" i="79"/>
  <c r="Q87" i="79"/>
  <c r="I87" i="79"/>
  <c r="H87" i="79"/>
  <c r="U86" i="79"/>
  <c r="T86" i="79"/>
  <c r="S86" i="79"/>
  <c r="R86" i="79"/>
  <c r="Q86" i="79"/>
  <c r="I86" i="79"/>
  <c r="H86" i="79"/>
  <c r="U85" i="79"/>
  <c r="T85" i="79"/>
  <c r="S85" i="79"/>
  <c r="R85" i="79"/>
  <c r="Q85" i="79"/>
  <c r="I85" i="79"/>
  <c r="H85" i="79"/>
  <c r="U84" i="79"/>
  <c r="T84" i="79"/>
  <c r="S84" i="79"/>
  <c r="R84" i="79"/>
  <c r="Q84" i="79"/>
  <c r="I84" i="79"/>
  <c r="H84" i="79"/>
  <c r="U83" i="79"/>
  <c r="T83" i="79"/>
  <c r="S83" i="79"/>
  <c r="R83" i="79"/>
  <c r="Q83" i="79"/>
  <c r="I83" i="79"/>
  <c r="H83" i="79"/>
  <c r="U82" i="79"/>
  <c r="T82" i="79"/>
  <c r="S82" i="79"/>
  <c r="R82" i="79"/>
  <c r="Q82" i="79"/>
  <c r="I82" i="79"/>
  <c r="H82" i="79"/>
  <c r="U81" i="79"/>
  <c r="T81" i="79"/>
  <c r="S81" i="79"/>
  <c r="R81" i="79"/>
  <c r="Q81" i="79"/>
  <c r="I81" i="79"/>
  <c r="H81" i="79"/>
  <c r="U80" i="79"/>
  <c r="T80" i="79"/>
  <c r="S80" i="79"/>
  <c r="R80" i="79"/>
  <c r="Q80" i="79"/>
  <c r="I80" i="79"/>
  <c r="H80" i="79"/>
  <c r="U79" i="79"/>
  <c r="T79" i="79"/>
  <c r="S79" i="79"/>
  <c r="R79" i="79"/>
  <c r="Q79" i="79"/>
  <c r="I79" i="79"/>
  <c r="H79" i="79"/>
  <c r="U78" i="79"/>
  <c r="T78" i="79"/>
  <c r="S78" i="79"/>
  <c r="R78" i="79"/>
  <c r="Q78" i="79"/>
  <c r="I78" i="79"/>
  <c r="H78" i="79"/>
  <c r="U66" i="79"/>
  <c r="T66" i="79"/>
  <c r="S66" i="79"/>
  <c r="R66" i="79"/>
  <c r="Q66" i="79"/>
  <c r="I66" i="79"/>
  <c r="H66" i="79"/>
  <c r="U65" i="79"/>
  <c r="T65" i="79"/>
  <c r="S65" i="79"/>
  <c r="R65" i="79"/>
  <c r="Q65" i="79"/>
  <c r="I65" i="79"/>
  <c r="H65" i="79"/>
  <c r="U64" i="79"/>
  <c r="T64" i="79"/>
  <c r="S64" i="79"/>
  <c r="R64" i="79"/>
  <c r="Q64" i="79"/>
  <c r="I64" i="79"/>
  <c r="H64" i="79"/>
  <c r="U63" i="79"/>
  <c r="T63" i="79"/>
  <c r="S63" i="79"/>
  <c r="R63" i="79"/>
  <c r="Q63" i="79"/>
  <c r="I63" i="79"/>
  <c r="H63" i="79"/>
  <c r="U62" i="79"/>
  <c r="T62" i="79"/>
  <c r="S62" i="79"/>
  <c r="R62" i="79"/>
  <c r="Q62" i="79"/>
  <c r="I62" i="79"/>
  <c r="H62" i="79"/>
  <c r="U61" i="79"/>
  <c r="T61" i="79"/>
  <c r="S61" i="79"/>
  <c r="R61" i="79"/>
  <c r="Q61" i="79"/>
  <c r="I61" i="79"/>
  <c r="H61" i="79"/>
  <c r="U60" i="79"/>
  <c r="T60" i="79"/>
  <c r="S60" i="79"/>
  <c r="R60" i="79"/>
  <c r="Q60" i="79"/>
  <c r="I60" i="79"/>
  <c r="H60" i="79"/>
  <c r="U59" i="79"/>
  <c r="T59" i="79"/>
  <c r="S59" i="79"/>
  <c r="R59" i="79"/>
  <c r="Q59" i="79"/>
  <c r="I59" i="79"/>
  <c r="H59" i="79"/>
  <c r="U58" i="79"/>
  <c r="T58" i="79"/>
  <c r="S58" i="79"/>
  <c r="R58" i="79"/>
  <c r="Q58" i="79"/>
  <c r="I58" i="79"/>
  <c r="H58" i="79"/>
  <c r="U57" i="79"/>
  <c r="T57" i="79"/>
  <c r="S57" i="79"/>
  <c r="R57" i="79"/>
  <c r="Q57" i="79"/>
  <c r="I57" i="79"/>
  <c r="H57" i="79"/>
  <c r="U56" i="79"/>
  <c r="T56" i="79"/>
  <c r="S56" i="79"/>
  <c r="R56" i="79"/>
  <c r="Q56" i="79"/>
  <c r="I56" i="79"/>
  <c r="H56" i="79"/>
  <c r="I55" i="79"/>
  <c r="H55" i="79"/>
  <c r="T55" i="79" s="1"/>
  <c r="I54" i="79"/>
  <c r="H54" i="79"/>
  <c r="U54" i="79" s="1"/>
  <c r="I53" i="79"/>
  <c r="H53" i="79"/>
  <c r="Q53" i="79" s="1"/>
  <c r="U52" i="79"/>
  <c r="T52" i="79"/>
  <c r="S52" i="79"/>
  <c r="R52" i="79"/>
  <c r="Q52" i="79"/>
  <c r="I52" i="79"/>
  <c r="H52" i="79"/>
  <c r="U51" i="79"/>
  <c r="U105" i="79" s="1"/>
  <c r="U140" i="79" s="1"/>
  <c r="T51" i="79"/>
  <c r="T105" i="79" s="1"/>
  <c r="T140" i="79" s="1"/>
  <c r="S51" i="79"/>
  <c r="S105" i="79" s="1"/>
  <c r="S140" i="79" s="1"/>
  <c r="R51" i="79"/>
  <c r="R105" i="79" s="1"/>
  <c r="R140" i="79" s="1"/>
  <c r="Q51" i="79"/>
  <c r="Q105" i="79" s="1"/>
  <c r="Q140" i="79" s="1"/>
  <c r="I51" i="79"/>
  <c r="H51" i="79"/>
  <c r="U50" i="79"/>
  <c r="U98" i="79" s="1"/>
  <c r="U133" i="79" s="1"/>
  <c r="T50" i="79"/>
  <c r="T98" i="79" s="1"/>
  <c r="T133" i="79" s="1"/>
  <c r="S50" i="79"/>
  <c r="S98" i="79" s="1"/>
  <c r="S133" i="79" s="1"/>
  <c r="R50" i="79"/>
  <c r="R98" i="79" s="1"/>
  <c r="R133" i="79" s="1"/>
  <c r="Q50" i="79"/>
  <c r="Q98" i="79" s="1"/>
  <c r="Q133" i="79" s="1"/>
  <c r="I50" i="79"/>
  <c r="H50" i="79"/>
  <c r="U49" i="79"/>
  <c r="T49" i="79"/>
  <c r="S49" i="79"/>
  <c r="R49" i="79"/>
  <c r="Q49" i="79"/>
  <c r="I49" i="79"/>
  <c r="H49" i="79"/>
  <c r="I48" i="79"/>
  <c r="H48" i="79"/>
  <c r="Q48" i="79" s="1"/>
  <c r="I47" i="79"/>
  <c r="H47" i="79"/>
  <c r="U46" i="79"/>
  <c r="T46" i="79"/>
  <c r="S46" i="79"/>
  <c r="R46" i="79"/>
  <c r="Q46" i="79"/>
  <c r="I46" i="79"/>
  <c r="H46" i="79"/>
  <c r="I45" i="79"/>
  <c r="H45" i="79"/>
  <c r="U45" i="79" s="1"/>
  <c r="I44" i="79"/>
  <c r="H44" i="79"/>
  <c r="I43" i="79"/>
  <c r="H43" i="79"/>
  <c r="U43" i="79" s="1"/>
  <c r="U100" i="79" s="1"/>
  <c r="U42" i="79"/>
  <c r="T42" i="79"/>
  <c r="S42" i="79"/>
  <c r="R42" i="79"/>
  <c r="Q42" i="79"/>
  <c r="I42" i="79"/>
  <c r="H42" i="79"/>
  <c r="U41" i="79"/>
  <c r="T41" i="79"/>
  <c r="S41" i="79"/>
  <c r="R41" i="79"/>
  <c r="Q41" i="79"/>
  <c r="I41" i="79"/>
  <c r="H41" i="79"/>
  <c r="I40" i="79"/>
  <c r="H40" i="79"/>
  <c r="U15" i="79"/>
  <c r="T15" i="79"/>
  <c r="S15" i="79"/>
  <c r="R15" i="79"/>
  <c r="Q15" i="79"/>
  <c r="I15" i="79"/>
  <c r="H15" i="79"/>
  <c r="U14" i="79"/>
  <c r="T14" i="79"/>
  <c r="S14" i="79"/>
  <c r="R14" i="79"/>
  <c r="Q14" i="79"/>
  <c r="I14" i="79"/>
  <c r="H14" i="79"/>
  <c r="I13" i="79"/>
  <c r="H13" i="79"/>
  <c r="U13" i="79" s="1"/>
  <c r="I12" i="79"/>
  <c r="H12" i="79"/>
  <c r="Q12" i="79" s="1"/>
  <c r="I11" i="79"/>
  <c r="H11" i="79"/>
  <c r="T11" i="79" s="1"/>
  <c r="I10" i="79"/>
  <c r="H10" i="79"/>
  <c r="U10" i="79" s="1"/>
  <c r="A5" i="79"/>
  <c r="W3" i="79"/>
  <c r="Q144" i="89" l="1"/>
  <c r="D145" i="89"/>
  <c r="Q144" i="90"/>
  <c r="D145" i="90"/>
  <c r="Q54" i="79"/>
  <c r="R54" i="79"/>
  <c r="S54" i="79"/>
  <c r="T54" i="79"/>
  <c r="T96" i="79"/>
  <c r="T131" i="79" s="1"/>
  <c r="T40" i="79"/>
  <c r="S40" i="79"/>
  <c r="R40" i="79"/>
  <c r="Q40" i="79"/>
  <c r="U44" i="79"/>
  <c r="T44" i="79"/>
  <c r="S44" i="79"/>
  <c r="R44" i="79"/>
  <c r="Q44" i="79"/>
  <c r="U47" i="79"/>
  <c r="T47" i="79"/>
  <c r="S47" i="79"/>
  <c r="R47" i="79"/>
  <c r="Q47" i="79"/>
  <c r="U55" i="79"/>
  <c r="U96" i="79" s="1"/>
  <c r="U131" i="79" s="1"/>
  <c r="Q55" i="79"/>
  <c r="Q96" i="79" s="1"/>
  <c r="Q131" i="79" s="1"/>
  <c r="R55" i="79"/>
  <c r="R96" i="79" s="1"/>
  <c r="R131" i="79" s="1"/>
  <c r="S55" i="79"/>
  <c r="S96" i="79" s="1"/>
  <c r="S131" i="79" s="1"/>
  <c r="U40" i="79"/>
  <c r="V143" i="89"/>
  <c r="Q157" i="90"/>
  <c r="V156" i="90"/>
  <c r="V157" i="90" s="1"/>
  <c r="V143" i="90"/>
  <c r="V109" i="89"/>
  <c r="W109" i="89" s="1"/>
  <c r="Q157" i="89"/>
  <c r="V156" i="89"/>
  <c r="V157" i="89" s="1"/>
  <c r="V109" i="90"/>
  <c r="W109" i="90" s="1"/>
  <c r="V140" i="79"/>
  <c r="V133" i="79"/>
  <c r="S53" i="79"/>
  <c r="S103" i="79" s="1"/>
  <c r="S138" i="79" s="1"/>
  <c r="V105" i="79"/>
  <c r="Q104" i="79"/>
  <c r="Q139" i="79" s="1"/>
  <c r="Q119" i="79"/>
  <c r="Q153" i="79" s="1"/>
  <c r="R104" i="79"/>
  <c r="R139" i="79" s="1"/>
  <c r="Q102" i="79"/>
  <c r="Q103" i="79"/>
  <c r="Q138" i="79" s="1"/>
  <c r="S119" i="79"/>
  <c r="S153" i="79" s="1"/>
  <c r="S104" i="79"/>
  <c r="S139" i="79" s="1"/>
  <c r="T104" i="79"/>
  <c r="T139" i="79" s="1"/>
  <c r="Q97" i="79"/>
  <c r="Q132" i="79" s="1"/>
  <c r="U104" i="79"/>
  <c r="U139" i="79" s="1"/>
  <c r="R53" i="79"/>
  <c r="T53" i="79"/>
  <c r="T119" i="79" s="1"/>
  <c r="T153" i="79" s="1"/>
  <c r="U53" i="79"/>
  <c r="U119" i="79" s="1"/>
  <c r="U153" i="79" s="1"/>
  <c r="U135" i="79"/>
  <c r="Q43" i="79"/>
  <c r="Q100" i="79" s="1"/>
  <c r="R43" i="79"/>
  <c r="R100" i="79" s="1"/>
  <c r="S43" i="79"/>
  <c r="S100" i="79" s="1"/>
  <c r="T43" i="79"/>
  <c r="T100" i="79" s="1"/>
  <c r="T101" i="79"/>
  <c r="T136" i="79" s="1"/>
  <c r="S101" i="79"/>
  <c r="S136" i="79" s="1"/>
  <c r="Q95" i="79"/>
  <c r="Q101" i="79"/>
  <c r="U101" i="79"/>
  <c r="U136" i="79" s="1"/>
  <c r="R101" i="79"/>
  <c r="R136" i="79" s="1"/>
  <c r="T12" i="79"/>
  <c r="T95" i="79" s="1"/>
  <c r="U12" i="79"/>
  <c r="U95" i="79" s="1"/>
  <c r="U48" i="79"/>
  <c r="T48" i="79"/>
  <c r="R48" i="79"/>
  <c r="S48" i="79"/>
  <c r="S102" i="79" s="1"/>
  <c r="R12" i="79"/>
  <c r="R95" i="79" s="1"/>
  <c r="S12" i="79"/>
  <c r="S95" i="79" s="1"/>
  <c r="R45" i="79"/>
  <c r="Q45" i="79"/>
  <c r="T45" i="79"/>
  <c r="S45" i="79"/>
  <c r="Q10" i="79"/>
  <c r="U11" i="79"/>
  <c r="T10" i="79"/>
  <c r="S11" i="79"/>
  <c r="R10" i="79"/>
  <c r="S10" i="79"/>
  <c r="R11" i="79"/>
  <c r="Q13" i="79"/>
  <c r="R13" i="79"/>
  <c r="Q11" i="79"/>
  <c r="S13" i="79"/>
  <c r="T13" i="79"/>
  <c r="U116" i="79" l="1"/>
  <c r="U150" i="79" s="1"/>
  <c r="Q94" i="79"/>
  <c r="Q129" i="79" s="1"/>
  <c r="Q118" i="79"/>
  <c r="Q152" i="79" s="1"/>
  <c r="Q154" i="79" s="1"/>
  <c r="V144" i="89"/>
  <c r="W144" i="89" s="1"/>
  <c r="V131" i="79"/>
  <c r="W157" i="89"/>
  <c r="V144" i="90"/>
  <c r="W144" i="90" s="1"/>
  <c r="W157" i="90"/>
  <c r="Q130" i="79"/>
  <c r="S137" i="79"/>
  <c r="Q136" i="79"/>
  <c r="V139" i="79"/>
  <c r="T130" i="79"/>
  <c r="R130" i="79"/>
  <c r="S130" i="79"/>
  <c r="U130" i="79"/>
  <c r="Q137" i="79"/>
  <c r="S116" i="79"/>
  <c r="S150" i="79" s="1"/>
  <c r="R102" i="79"/>
  <c r="R103" i="79"/>
  <c r="R138" i="79" s="1"/>
  <c r="T118" i="79"/>
  <c r="T97" i="79"/>
  <c r="T132" i="79" s="1"/>
  <c r="S118" i="79"/>
  <c r="S97" i="79"/>
  <c r="S132" i="79" s="1"/>
  <c r="Q120" i="79"/>
  <c r="R97" i="79"/>
  <c r="R132" i="79" s="1"/>
  <c r="R118" i="79"/>
  <c r="R152" i="79" s="1"/>
  <c r="R119" i="79"/>
  <c r="U102" i="79"/>
  <c r="U137" i="79" s="1"/>
  <c r="U103" i="79"/>
  <c r="U94" i="79"/>
  <c r="U129" i="79" s="1"/>
  <c r="U118" i="79"/>
  <c r="U97" i="79"/>
  <c r="U132" i="79" s="1"/>
  <c r="T102" i="79"/>
  <c r="T103" i="79"/>
  <c r="Q116" i="79"/>
  <c r="Q150" i="79" s="1"/>
  <c r="T116" i="79"/>
  <c r="T150" i="79" s="1"/>
  <c r="T135" i="79"/>
  <c r="R116" i="79"/>
  <c r="R150" i="79" s="1"/>
  <c r="S135" i="79"/>
  <c r="R135" i="79"/>
  <c r="V100" i="79"/>
  <c r="Q135" i="79"/>
  <c r="T94" i="79"/>
  <c r="T129" i="79" s="1"/>
  <c r="R94" i="79"/>
  <c r="R129" i="79" s="1"/>
  <c r="U93" i="79"/>
  <c r="S94" i="79"/>
  <c r="S129" i="79" s="1"/>
  <c r="T115" i="79"/>
  <c r="T149" i="79" s="1"/>
  <c r="T93" i="79"/>
  <c r="U115" i="79"/>
  <c r="Q93" i="79"/>
  <c r="Q115" i="79"/>
  <c r="Q149" i="79" s="1"/>
  <c r="S115" i="79"/>
  <c r="S149" i="79" s="1"/>
  <c r="S93" i="79"/>
  <c r="R93" i="79"/>
  <c r="R115" i="79"/>
  <c r="R149" i="79" s="1"/>
  <c r="V104" i="79"/>
  <c r="Q106" i="79"/>
  <c r="S106" i="79"/>
  <c r="V98" i="79"/>
  <c r="V101" i="79"/>
  <c r="V95" i="79"/>
  <c r="S151" i="79" l="1"/>
  <c r="V132" i="79"/>
  <c r="V150" i="79"/>
  <c r="U117" i="79"/>
  <c r="U149" i="79"/>
  <c r="U151" i="79" s="1"/>
  <c r="T138" i="79"/>
  <c r="V119" i="79"/>
  <c r="R153" i="79"/>
  <c r="V153" i="79" s="1"/>
  <c r="T120" i="79"/>
  <c r="T152" i="79"/>
  <c r="T154" i="79" s="1"/>
  <c r="T137" i="79"/>
  <c r="S120" i="79"/>
  <c r="S152" i="79"/>
  <c r="S154" i="79" s="1"/>
  <c r="V136" i="79"/>
  <c r="R151" i="79"/>
  <c r="T151" i="79"/>
  <c r="R137" i="79"/>
  <c r="Q151" i="79"/>
  <c r="Q156" i="79" s="1"/>
  <c r="U120" i="79"/>
  <c r="U152" i="79"/>
  <c r="U154" i="79" s="1"/>
  <c r="U138" i="79"/>
  <c r="Q141" i="79"/>
  <c r="S141" i="79"/>
  <c r="R106" i="79"/>
  <c r="U106" i="79"/>
  <c r="S117" i="79"/>
  <c r="V103" i="79"/>
  <c r="R117" i="79"/>
  <c r="R120" i="79"/>
  <c r="U99" i="79"/>
  <c r="V102" i="79"/>
  <c r="V118" i="79"/>
  <c r="T106" i="79"/>
  <c r="T117" i="79"/>
  <c r="V116" i="79"/>
  <c r="V135" i="79"/>
  <c r="V115" i="79"/>
  <c r="Q117" i="79"/>
  <c r="Q122" i="79" s="1"/>
  <c r="V97" i="79"/>
  <c r="Q99" i="79"/>
  <c r="Q108" i="79" s="1"/>
  <c r="V96" i="79"/>
  <c r="T99" i="79"/>
  <c r="R99" i="79"/>
  <c r="S99" i="79"/>
  <c r="S108" i="79" s="1"/>
  <c r="S109" i="79" s="1"/>
  <c r="V94" i="79"/>
  <c r="V93" i="79"/>
  <c r="S156" i="79" l="1"/>
  <c r="S157" i="79" s="1"/>
  <c r="U141" i="79"/>
  <c r="R141" i="79"/>
  <c r="S122" i="79"/>
  <c r="S123" i="79" s="1"/>
  <c r="U122" i="79"/>
  <c r="U123" i="79" s="1"/>
  <c r="R108" i="79"/>
  <c r="R109" i="79" s="1"/>
  <c r="V152" i="79"/>
  <c r="V154" i="79" s="1"/>
  <c r="T122" i="79"/>
  <c r="T123" i="79" s="1"/>
  <c r="V138" i="79"/>
  <c r="T156" i="79"/>
  <c r="T157" i="79" s="1"/>
  <c r="V149" i="79"/>
  <c r="V151" i="79" s="1"/>
  <c r="V137" i="79"/>
  <c r="U156" i="79"/>
  <c r="U157" i="79" s="1"/>
  <c r="Q157" i="79"/>
  <c r="V120" i="79"/>
  <c r="T141" i="79"/>
  <c r="R154" i="79"/>
  <c r="R156" i="79" s="1"/>
  <c r="U108" i="79"/>
  <c r="U109" i="79" s="1"/>
  <c r="V106" i="79"/>
  <c r="T108" i="79"/>
  <c r="T109" i="79" s="1"/>
  <c r="R122" i="79"/>
  <c r="R123" i="79" s="1"/>
  <c r="V117" i="79"/>
  <c r="Q123" i="79"/>
  <c r="V99" i="79"/>
  <c r="Q109" i="79"/>
  <c r="D111" i="79" l="1"/>
  <c r="V141" i="79"/>
  <c r="R157" i="79"/>
  <c r="V156" i="79"/>
  <c r="V122" i="79"/>
  <c r="V123" i="79" s="1"/>
  <c r="W123" i="79" s="1"/>
  <c r="V108" i="79"/>
  <c r="V157" i="79" l="1"/>
  <c r="W157" i="79" s="1"/>
  <c r="V109" i="79"/>
  <c r="W109" i="79" s="1"/>
  <c r="U128" i="79" l="1"/>
  <c r="T128" i="79"/>
  <c r="R128" i="79"/>
  <c r="S128" i="79"/>
  <c r="Q128" i="79"/>
  <c r="T134" i="79" l="1"/>
  <c r="T143" i="79" s="1"/>
  <c r="T144" i="79" s="1"/>
  <c r="Q134" i="79"/>
  <c r="Q143" i="79" s="1"/>
  <c r="U134" i="79"/>
  <c r="U143" i="79" s="1"/>
  <c r="U144" i="79" s="1"/>
  <c r="S134" i="79"/>
  <c r="S143" i="79" s="1"/>
  <c r="S144" i="79" s="1"/>
  <c r="R134" i="79"/>
  <c r="R143" i="79" s="1"/>
  <c r="R144" i="79" s="1"/>
  <c r="V130" i="79"/>
  <c r="V129" i="79"/>
  <c r="V128" i="79"/>
  <c r="Q144" i="79" l="1"/>
  <c r="D145" i="79"/>
  <c r="V134" i="79"/>
  <c r="V143" i="79"/>
  <c r="V144" i="79" l="1"/>
  <c r="W144" i="7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<sst xmlns="http://schemas.openxmlformats.org/spreadsheetml/2006/main" count="1288" uniqueCount="152">
  <si>
    <t>Total</t>
  </si>
  <si>
    <t>Preferred option:</t>
  </si>
  <si>
    <t>Option 2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</si>
  <si>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</si>
  <si>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</si>
  <si>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</si>
  <si>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</si>
  <si>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</si>
  <si>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</si>
  <si>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</si>
  <si>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</si>
  <si>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</si>
  <si>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</si>
  <si>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</si>
  <si>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</si>
  <si>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</si>
  <si>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3</t>
  </si>
  <si>
    <t>Assumption Types</t>
  </si>
  <si>
    <t>Assumptions</t>
  </si>
  <si>
    <t>Parameters</t>
  </si>
  <si>
    <t>Area Applied</t>
  </si>
  <si>
    <t>Business case:</t>
  </si>
  <si>
    <t>Business:</t>
  </si>
  <si>
    <t>UE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</si>
  <si>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</si>
  <si>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</si>
  <si>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</si>
  <si>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</si>
  <si>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</si>
  <si>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</si>
  <si>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</si>
  <si>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Do Nothing</t>
  </si>
  <si>
    <t>Minimum to maintain/prudent currency</t>
  </si>
  <si>
    <t>Maintain and enhance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</si>
  <si>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</si>
  <si>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</si>
  <si>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</si>
  <si>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</si>
  <si>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</si>
  <si>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</si>
  <si>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</si>
  <si>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</si>
  <si>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 xml:space="preserve">Recurrent / </t>
  </si>
  <si>
    <t>Units</t>
  </si>
  <si>
    <t>Quantity of units</t>
  </si>
  <si>
    <t>Cost ($)</t>
  </si>
  <si>
    <t>Opex</t>
  </si>
  <si>
    <t>Non recurrent</t>
  </si>
  <si>
    <t>unit rate</t>
  </si>
  <si>
    <t>Corporate services management - iManage</t>
  </si>
  <si>
    <t>Capex</t>
  </si>
  <si>
    <t>Recurrent</t>
  </si>
  <si>
    <t>Corporate services management - ReadSoft</t>
  </si>
  <si>
    <t xml:space="preserve"> Corporate services management - Recwise</t>
  </si>
  <si>
    <t>Corporate services management - Recwise</t>
  </si>
  <si>
    <t>Corporate services management - SuccessFactors</t>
  </si>
  <si>
    <t>Corporate services management - Cintellate (ROAM)</t>
  </si>
  <si>
    <t>Field Services Management - Asset Inspection - BlueWorx</t>
  </si>
  <si>
    <t xml:space="preserve">Field Services Management - Before You Dig Australia (Ticket Access) </t>
  </si>
  <si>
    <t>Design and Drawing - Drawing Management System (Vault)</t>
  </si>
  <si>
    <t>Field Services Management - Vegetation Management (Xugo)</t>
  </si>
  <si>
    <t xml:space="preserve">Field Service Management - Salesforce Field Services </t>
  </si>
  <si>
    <t>Design and Drawing - Design Apps - Neara</t>
  </si>
  <si>
    <t>Globalscape FTP - not applicable</t>
  </si>
  <si>
    <t>Windows - Major patching of existing Windows SOE.</t>
  </si>
  <si>
    <t>Corporate website - not applicable</t>
  </si>
  <si>
    <t>Service Now - VPN Backup Tapes (including growth)</t>
  </si>
  <si>
    <t>Service Now - VPN Service Now Currency Upgrade</t>
  </si>
  <si>
    <t>AIP Copperleaf - Licence Fee - no additional opex cost</t>
  </si>
  <si>
    <t>AIP Copperleaf - SaaS modules &amp; Predictive analytics - no additional opex cost</t>
  </si>
  <si>
    <t>AIP Copperleaf - Maintenence requirements - no additional opex cost</t>
  </si>
  <si>
    <t>AIP Copperleaf - Accelerate package - annual consultancy, training, updates</t>
  </si>
  <si>
    <t>Reporting - BW AMS Support cost uplift due to increased volume of incidents ( 1 FTE)</t>
  </si>
  <si>
    <t>Reporting - Support and Maintenance Extended Support</t>
  </si>
  <si>
    <t>Reporting - Emergency Security Patching and Deployment</t>
  </si>
  <si>
    <t>Summary</t>
  </si>
  <si>
    <t>Check</t>
  </si>
  <si>
    <t>Total Recurrent</t>
  </si>
  <si>
    <t>Total Non Recurrent</t>
  </si>
  <si>
    <t>Summary for Regulation - for Business Case</t>
  </si>
  <si>
    <t>Capex &amp; Opex</t>
  </si>
  <si>
    <t>-</t>
  </si>
  <si>
    <t>Globalscape FTP - Upgrade Internal Labour</t>
  </si>
  <si>
    <t>Windows - Version 12+  Upgrade Internal Labour</t>
  </si>
  <si>
    <t>Windows - Version 12+ Upgrade External Labour (vendor)</t>
  </si>
  <si>
    <t>Corporate website - rebuild - project management</t>
  </si>
  <si>
    <t>Corporate website - rebuild - analysis and architecture</t>
  </si>
  <si>
    <t>Corporate website - rebuild - development</t>
  </si>
  <si>
    <t>Corporate website - rebuild - testing</t>
  </si>
  <si>
    <t>Corporate website - rebuild - deployment</t>
  </si>
  <si>
    <t>Corporate website - rebuild - release and environment management</t>
  </si>
  <si>
    <t>Corporate website - enhancements - project management</t>
  </si>
  <si>
    <t>Corporate website - enhancements- analysis and architecture</t>
  </si>
  <si>
    <t>Corporate website - enhancements - development</t>
  </si>
  <si>
    <t>Corporate website - enhancements - testing</t>
  </si>
  <si>
    <t>Corporate website - enhancements - deployment</t>
  </si>
  <si>
    <t>Corporate website - enhancements - release and environment management</t>
  </si>
  <si>
    <t>Service Now - UE Service Now Currency Upgrade</t>
  </si>
  <si>
    <t>Service Now - UE Backup Tapes (including growth)</t>
  </si>
  <si>
    <t>Service Now - UE Service Now Currency</t>
  </si>
  <si>
    <t>Service Now - UE Service Now Currency Relevance</t>
  </si>
  <si>
    <t>Copperleaf - Upfront costs (50% VPN share)</t>
  </si>
  <si>
    <t>AIP - Copperleaf - Accelerate package - annual consultancy, training, updates</t>
  </si>
  <si>
    <t>AIP - Copperleaf - IT Project management costs (internal)</t>
  </si>
  <si>
    <t>AIP - Copperleaf - IT Data transfer &amp; setup in new system</t>
  </si>
  <si>
    <t>AIP - Copperleaf - IT Testing and fault finding</t>
  </si>
  <si>
    <t>Reporting - Currency refresh of SAP Data Services</t>
  </si>
  <si>
    <t>Reporting - Currency refresh of SAP BW on Hana</t>
  </si>
  <si>
    <t>Reporting - Currency refresh of SAP SLT</t>
  </si>
  <si>
    <t>Globalscape FTP - Replacement Research &amp; Investigation</t>
  </si>
  <si>
    <t>Globalscape FTP - Architecture &amp; Design</t>
  </si>
  <si>
    <t>Globalscape FTP - Replacement Implementation</t>
  </si>
  <si>
    <t>Globalscape FTP - Maintenance</t>
  </si>
  <si>
    <t>Corporate website - release and environment management</t>
  </si>
  <si>
    <t>Corporate website - Multilanguage &amp; accessiblity uplift - project management</t>
  </si>
  <si>
    <t>Corporate website - Multilanguage &amp; accessiblity uplift - analysis and architecture</t>
  </si>
  <si>
    <t>Corporate website - Multilanguage &amp; accessiblity uplift - development</t>
  </si>
  <si>
    <t>Corporate website - Multilanguage &amp; accessiblity uplift - testing</t>
  </si>
  <si>
    <t>Corporate website - Multilanguage &amp; accessiblity uplift - deployment</t>
  </si>
  <si>
    <t>Corporate website - Multilanguage &amp; accessiblity uplift - release and environment management</t>
  </si>
  <si>
    <t>Corporate website - UE historical outages - Project Management</t>
  </si>
  <si>
    <t>Corporate website - UE historical outages - Analysis &amp; Architecture</t>
  </si>
  <si>
    <t>Corporate website - UE historical outages - Development</t>
  </si>
  <si>
    <t>Corporate website - UE historical outages - Testing</t>
  </si>
  <si>
    <t>Corporate website - UE historical outages - Deployment</t>
  </si>
  <si>
    <t>Corporate website - UE historical outages - Release &amp; Environment Management</t>
  </si>
  <si>
    <t>Service Now - UE Service Now Currecy Relevance</t>
  </si>
  <si>
    <t>AIP Copperleaf - Upfront costs (50% VPN share)</t>
  </si>
  <si>
    <t>AIP Copperleaf - Service Package - as per Copperleaf Accelerate</t>
  </si>
  <si>
    <t>AIP Copperleaf - IT Project management costs (internal)</t>
  </si>
  <si>
    <t>AIP Copperleaf - IT Data transfer, system integration &amp; setup of new system</t>
  </si>
  <si>
    <t>AIP Copperleaf - IT Testing and fault finding</t>
  </si>
  <si>
    <t>AIP Copperleaf - Change management and user training</t>
  </si>
  <si>
    <t>Lagged conversion to Jun 26</t>
  </si>
  <si>
    <t>Regulatory proposal 2026-31</t>
  </si>
  <si>
    <t>Model number:</t>
  </si>
  <si>
    <t>Escalation: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</si>
  <si>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</si>
  <si>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</si>
  <si>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</si>
  <si>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</si>
  <si>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</si>
  <si>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</si>
  <si>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</si>
  <si>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>Enterprise management systems</t>
  </si>
  <si>
    <t>Opex (excl real price escalation)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</si>
  <si>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</si>
  <si>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</si>
  <si>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</si>
  <si>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</si>
  <si>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** refer to UE MOD 9.03 - Opex step changes - Jan 2025</t>
  </si>
  <si>
    <t>Opex (incl real price escalation)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</si>
</sst>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75" formatCode="[Red]\●;[Red]\●;[Color10]\●"/>
    <numFmt numFmtId="181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2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215B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5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6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2" fillId="0" borderId="0" xfId="13" applyFont="1" applyAlignment="1">
      <alignment horizontal="left" vertical="center"/>
    </xf>
    <xf numFmtId="0" fontId="18" fillId="3" borderId="0" xfId="0" applyFont="1" applyFill="1"/>
    <xf numFmtId="0" fontId="19" fillId="3" borderId="0" xfId="0" applyFont="1" applyFill="1"/>
    <xf numFmtId="0" fontId="20" fillId="3" borderId="0" xfId="0" applyFont="1" applyFill="1"/>
    <xf numFmtId="0" fontId="20" fillId="3" borderId="0" xfId="0" applyFont="1" applyFill="1" applyAlignment="1">
      <alignment horizontal="center"/>
    </xf>
    <xf numFmtId="0" fontId="21" fillId="0" borderId="0" xfId="0" applyFont="1"/>
    <xf numFmtId="6" fontId="12" fillId="0" borderId="2" xfId="0" applyNumberFormat="1" applyFont="1" applyBorder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/>
    <xf numFmtId="0" fontId="25" fillId="0" borderId="0" xfId="13" applyFont="1" applyAlignment="1">
      <alignment horizontal="left" vertical="center"/>
    </xf>
    <xf numFmtId="1" fontId="26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7" fillId="6" borderId="0" xfId="0" applyFont="1" applyFill="1"/>
    <xf numFmtId="167" fontId="28" fillId="6" borderId="0" xfId="0" applyNumberFormat="1" applyFont="1" applyFill="1"/>
    <xf numFmtId="0" fontId="32" fillId="5" borderId="0" xfId="14" applyFont="1" applyFill="1"/>
    <xf numFmtId="0" fontId="33" fillId="0" borderId="0" xfId="0" applyFont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0" fontId="13" fillId="8" borderId="0" xfId="0" applyFont="1" applyFill="1"/>
    <xf numFmtId="6" fontId="13" fillId="8" borderId="0" xfId="0" applyNumberFormat="1" applyFont="1" applyFill="1"/>
    <xf numFmtId="0" fontId="24" fillId="0" borderId="0" xfId="0" applyFont="1" applyAlignment="1">
      <alignment horizontal="right"/>
    </xf>
    <xf numFmtId="0" fontId="30" fillId="0" borderId="0" xfId="0" applyFont="1" applyAlignment="1">
      <alignment horizontal="right"/>
    </xf>
    <xf numFmtId="10" fontId="15" fillId="3" borderId="0" xfId="0" applyNumberFormat="1" applyFont="1" applyFill="1"/>
    <xf numFmtId="0" fontId="25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1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29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29" fillId="2" borderId="1" xfId="26" applyNumberFormat="1" applyFont="1" applyFill="1" applyBorder="1" applyProtection="1">
      <protection locked="0"/>
    </xf>
    <xf numFmtId="10" fontId="29" fillId="2" borderId="1" xfId="26" applyNumberFormat="1" applyFont="1" applyFill="1" applyBorder="1" applyAlignment="1" applyProtection="1">
      <alignment horizontal="right"/>
      <protection locked="0"/>
    </xf>
    <xf numFmtId="1" fontId="29" fillId="2" borderId="1" xfId="26" applyNumberFormat="1" applyFont="1" applyFill="1" applyBorder="1" applyAlignment="1" applyProtection="1">
      <alignment horizontal="right"/>
      <protection locked="0"/>
    </xf>
    <xf numFmtId="0" fontId="31" fillId="2" borderId="7" xfId="0" applyFont="1" applyFill="1" applyBorder="1" applyAlignment="1" applyProtection="1">
      <alignment vertical="center"/>
      <protection locked="0"/>
    </xf>
    <xf numFmtId="0" fontId="31" fillId="2" borderId="6" xfId="0" applyFont="1" applyFill="1" applyBorder="1" applyAlignment="1" applyProtection="1">
      <alignment vertical="center"/>
      <protection locked="0"/>
    </xf>
    <xf numFmtId="0" fontId="31" fillId="2" borderId="5" xfId="0" applyFont="1" applyFill="1" applyBorder="1" applyAlignment="1" applyProtection="1">
      <alignment vertical="center"/>
      <protection locked="0"/>
    </xf>
    <xf numFmtId="168" fontId="31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29" fillId="2" borderId="13" xfId="26" applyNumberFormat="1" applyFont="1" applyFill="1" applyBorder="1" applyProtection="1">
      <protection locked="0"/>
    </xf>
    <xf numFmtId="10" fontId="29" fillId="2" borderId="2" xfId="26" applyNumberFormat="1" applyFont="1" applyFill="1" applyBorder="1" applyProtection="1">
      <protection locked="0"/>
    </xf>
    <xf numFmtId="10" fontId="29" fillId="2" borderId="12" xfId="26" applyNumberFormat="1" applyFont="1" applyFill="1" applyBorder="1" applyProtection="1">
      <protection locked="0"/>
    </xf>
    <xf numFmtId="10" fontId="29" fillId="2" borderId="6" xfId="26" applyNumberFormat="1" applyFont="1" applyFill="1" applyBorder="1" applyProtection="1">
      <protection locked="0"/>
    </xf>
    <xf numFmtId="10" fontId="29" fillId="2" borderId="5" xfId="26" applyNumberFormat="1" applyFont="1" applyFill="1" applyBorder="1" applyProtection="1">
      <protection locked="0"/>
    </xf>
    <xf numFmtId="10" fontId="29" fillId="2" borderId="7" xfId="26" applyNumberFormat="1" applyFont="1" applyFill="1" applyBorder="1" applyProtection="1">
      <protection locked="0"/>
    </xf>
    <xf numFmtId="10" fontId="29" fillId="0" borderId="0" xfId="26" applyNumberFormat="1" applyFont="1" applyFill="1" applyBorder="1" applyProtection="1">
      <protection locked="0"/>
    </xf>
    <xf numFmtId="9" fontId="29" fillId="2" borderId="1" xfId="26" applyFont="1" applyFill="1" applyBorder="1" applyProtection="1">
      <protection locked="0"/>
    </xf>
    <xf numFmtId="9" fontId="29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49" fontId="29" fillId="9" borderId="0" xfId="26" applyNumberFormat="1" applyFont="1" applyFill="1" applyAlignment="1">
      <alignment horizontal="right"/>
    </xf>
    <xf numFmtId="7" fontId="29" fillId="9" borderId="0" xfId="26" applyNumberFormat="1" applyFont="1" applyFill="1" applyAlignment="1">
      <alignment horizontal="right"/>
    </xf>
    <xf numFmtId="7" fontId="26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2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13" fillId="4" borderId="0" xfId="0" applyFont="1" applyFill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166" fontId="12" fillId="0" borderId="15" xfId="0" applyNumberFormat="1" applyFont="1" applyBorder="1" applyAlignment="1">
      <alignment horizontal="right" vertical="top"/>
    </xf>
    <xf numFmtId="0" fontId="13" fillId="0" borderId="3" xfId="0" applyFont="1" applyBorder="1" applyAlignment="1">
      <alignment horizontal="center"/>
    </xf>
    <xf numFmtId="0" fontId="27" fillId="0" borderId="0" xfId="0" applyFont="1"/>
    <xf numFmtId="167" fontId="28" fillId="0" borderId="0" xfId="0" applyNumberFormat="1" applyFont="1"/>
    <xf numFmtId="6" fontId="12" fillId="0" borderId="0" xfId="0" applyNumberFormat="1" applyFont="1" applyAlignment="1">
      <alignment horizontal="right" vertical="top"/>
    </xf>
    <xf numFmtId="0" fontId="26" fillId="0" borderId="2" xfId="0" applyFont="1" applyBorder="1" applyAlignment="1">
      <alignment horizontal="left"/>
    </xf>
    <xf numFmtId="0" fontId="37" fillId="0" borderId="2" xfId="0" applyFont="1" applyBorder="1"/>
    <xf numFmtId="0" fontId="42" fillId="0" borderId="2" xfId="0" applyFont="1" applyBorder="1"/>
    <xf numFmtId="0" fontId="26" fillId="0" borderId="2" xfId="0" applyFont="1" applyBorder="1" applyAlignment="1">
      <alignment horizontal="right"/>
    </xf>
    <xf numFmtId="170" fontId="26" fillId="0" borderId="2" xfId="0" applyNumberFormat="1" applyFont="1" applyBorder="1" applyAlignment="1">
      <alignment horizontal="right"/>
    </xf>
    <xf numFmtId="10" fontId="26" fillId="0" borderId="0" xfId="26" applyNumberFormat="1" applyFont="1" applyFill="1"/>
    <xf numFmtId="0" fontId="1" fillId="10" borderId="0" xfId="33" applyFill="1"/>
    <xf numFmtId="0" fontId="1" fillId="0" borderId="0" xfId="33"/>
    <xf numFmtId="0" fontId="11" fillId="0" borderId="0" xfId="34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2" fontId="47" fillId="0" borderId="0" xfId="33" applyNumberFormat="1" applyFont="1" applyAlignment="1">
      <alignment horizontal="left"/>
    </xf>
    <xf numFmtId="0" fontId="48" fillId="0" borderId="0" xfId="33" applyFont="1"/>
    <xf numFmtId="181" fontId="49" fillId="0" borderId="0" xfId="33" applyNumberFormat="1" applyFont="1" applyAlignment="1">
      <alignment horizontal="left"/>
    </xf>
    <xf numFmtId="0" fontId="50" fillId="0" borderId="0" xfId="33" applyFont="1"/>
    <xf numFmtId="10" fontId="29" fillId="2" borderId="1" xfId="26" applyNumberFormat="1" applyFont="1" applyFill="1" applyBorder="1" applyAlignment="1">
      <alignment horizontal="right"/>
    </xf>
    <xf numFmtId="8" fontId="31" fillId="2" borderId="1" xfId="0" applyNumberFormat="1" applyFont="1" applyFill="1" applyBorder="1" applyAlignment="1">
      <alignment horizontal="right"/>
    </xf>
    <xf numFmtId="49" fontId="22" fillId="0" borderId="0" xfId="0" applyNumberFormat="1" applyFont="1" applyAlignment="1">
      <alignment horizontal="right"/>
    </xf>
    <xf numFmtId="0" fontId="51" fillId="0" borderId="5" xfId="0" applyFont="1" applyBorder="1"/>
    <xf numFmtId="6" fontId="51" fillId="0" borderId="5" xfId="0" applyNumberFormat="1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260C0C0D-56A0-49BA-924A-BEBDBDC51FEC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4CBE869E-EB2B-4900-91C5-F25BD726CCE9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35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CCFF"/>
      <color rgb="FF0000FF"/>
      <color rgb="FF487B79"/>
      <color rgb="FFFFFFCC"/>
      <color rgb="FF40566A"/>
      <color rgb="FFFFCCCC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6789A76C-A94C-42B4-A5E6-54B293C2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3B09A-0991-4E6B-920C-E94C7A38C4B7}">
  <sheetPr>
    <tabColor theme="1" tint="0.34998626667073579"/>
  </sheetPr>
  <dimension ref="A1:K43"/>
  <sheetViews>
    <sheetView showGridLines="0" workbookViewId="0">
      <selection activeCell="C26" sqref="C26"/>
    </sheetView>
  </sheetViews>
  <sheetFormatPr defaultColWidth="0" defaultRowHeight="12.95" customHeight="1" zeroHeight="1" x14ac:dyDescent="0.2"/>
  <cols>
    <col min="1" max="1" width="12.85546875" style="121" customWidth="1"/>
    <col min="2" max="2" width="2.5703125" style="121" customWidth="1"/>
    <col min="3" max="3" width="16.85546875" style="121" customWidth="1"/>
    <col min="4" max="11" width="10.5703125" style="121" customWidth="1"/>
    <col min="12" max="16384" width="10.5703125" style="121" hidden="1"/>
  </cols>
  <sheetData>
    <row r="1" spans="1:11" ht="15" x14ac:dyDescent="0.25">
      <c r="A1" s="119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23.25" x14ac:dyDescent="0.35">
      <c r="A2" s="119"/>
      <c r="B2" s="120"/>
      <c r="C2" s="122" t="s">
        <v>29</v>
      </c>
      <c r="D2" s="123"/>
      <c r="E2" s="123"/>
      <c r="F2" s="120"/>
      <c r="G2" s="120"/>
      <c r="H2" s="120"/>
      <c r="I2" s="120"/>
      <c r="J2" s="120"/>
      <c r="K2" s="120"/>
    </row>
    <row r="3" spans="1:11" ht="15.75" x14ac:dyDescent="0.25">
      <c r="A3" s="119"/>
      <c r="B3" s="120"/>
      <c r="C3" s="124" t="s">
        <v>134</v>
      </c>
      <c r="D3" s="123"/>
      <c r="E3" s="123"/>
      <c r="F3" s="120"/>
      <c r="G3" s="120"/>
      <c r="H3" s="120"/>
      <c r="I3" s="120"/>
      <c r="J3" s="120"/>
      <c r="K3" s="120"/>
    </row>
    <row r="4" spans="1:11" ht="15" x14ac:dyDescent="0.25">
      <c r="A4" s="119"/>
      <c r="B4" s="120"/>
      <c r="C4" s="120"/>
      <c r="D4" s="123"/>
      <c r="E4" s="123"/>
      <c r="F4" s="120"/>
      <c r="G4" s="120"/>
      <c r="H4" s="120"/>
      <c r="I4" s="120"/>
      <c r="J4" s="120"/>
      <c r="K4" s="120"/>
    </row>
    <row r="5" spans="1:11" ht="15" x14ac:dyDescent="0.25">
      <c r="A5" s="119"/>
      <c r="B5" s="120"/>
      <c r="C5" s="125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20"/>
      <c r="E5" s="120"/>
      <c r="F5" s="120"/>
      <c r="G5" s="120"/>
      <c r="H5" s="120"/>
      <c r="I5" s="120"/>
      <c r="J5" s="120"/>
      <c r="K5" s="120"/>
    </row>
    <row r="6" spans="1:11" ht="15" x14ac:dyDescent="0.25">
      <c r="A6" s="119"/>
      <c r="B6" s="120"/>
      <c r="C6" s="126" t="s">
        <v>135</v>
      </c>
      <c r="D6" s="127" t="e" cm="1">
        <f t="array" aca="1" ref="D6" ca="1">LEFT(_xlfn.TEXTAFTER(CELL("filename")," MOD "),FIND(" - ",_xlfn.TEXTAFTER(CELL("filename")," MOD "),1)-1)</f>
        <v>#N/A</v>
      </c>
      <c r="E6" s="126"/>
      <c r="F6" s="120"/>
      <c r="G6" s="120"/>
      <c r="H6" s="120"/>
      <c r="I6" s="120"/>
      <c r="J6" s="120"/>
      <c r="K6" s="120"/>
    </row>
    <row r="7" spans="1:11" ht="15" x14ac:dyDescent="0.25">
      <c r="A7" s="119"/>
      <c r="B7" s="120"/>
      <c r="C7" s="120"/>
      <c r="D7" s="120"/>
      <c r="E7" s="120"/>
      <c r="F7" s="128"/>
      <c r="G7" s="128"/>
      <c r="H7" s="128"/>
      <c r="I7" s="120"/>
      <c r="J7" s="128"/>
      <c r="K7" s="128"/>
    </row>
    <row r="8" spans="1:11" ht="15" x14ac:dyDescent="0.25">
      <c r="A8" s="119"/>
      <c r="B8" s="120"/>
      <c r="C8" s="129">
        <v>45688</v>
      </c>
      <c r="D8" s="120"/>
      <c r="E8" s="120"/>
      <c r="F8" s="128"/>
      <c r="G8" s="128"/>
      <c r="H8" s="128"/>
      <c r="I8" s="120"/>
      <c r="J8" s="128"/>
      <c r="K8" s="128"/>
    </row>
    <row r="9" spans="1:11" ht="15" x14ac:dyDescent="0.25">
      <c r="A9" s="119"/>
      <c r="B9" s="120"/>
      <c r="C9" s="130"/>
      <c r="D9" s="130"/>
      <c r="E9" s="120"/>
      <c r="F9" s="128"/>
      <c r="G9" s="128"/>
      <c r="H9" s="128"/>
      <c r="I9" s="128"/>
      <c r="J9" s="128"/>
      <c r="K9" s="128"/>
    </row>
    <row r="10" spans="1:11" ht="15" x14ac:dyDescent="0.25">
      <c r="A10" s="119"/>
      <c r="B10" s="120"/>
      <c r="C10" s="130"/>
      <c r="D10" s="130"/>
      <c r="E10" s="120"/>
      <c r="F10" s="128"/>
      <c r="G10" s="128"/>
      <c r="H10" s="128"/>
      <c r="I10" s="128"/>
      <c r="J10" s="128"/>
      <c r="K10" s="128"/>
    </row>
    <row r="11" spans="1:11" ht="15" x14ac:dyDescent="0.25">
      <c r="A11" s="119"/>
      <c r="B11" s="120"/>
      <c r="C11" s="130"/>
      <c r="D11" s="130"/>
      <c r="E11" s="120"/>
      <c r="F11" s="128"/>
      <c r="G11" s="128"/>
      <c r="H11" s="128"/>
      <c r="I11" s="128"/>
      <c r="J11" s="128"/>
      <c r="K11" s="128"/>
    </row>
    <row r="12" spans="1:11" ht="15" x14ac:dyDescent="0.25">
      <c r="A12" s="119"/>
      <c r="B12" s="120"/>
      <c r="C12" s="130"/>
      <c r="D12" s="130"/>
      <c r="E12" s="120"/>
      <c r="F12" s="128"/>
      <c r="G12" s="128"/>
      <c r="H12" s="128"/>
      <c r="I12" s="128"/>
      <c r="J12" s="128"/>
      <c r="K12" s="128"/>
    </row>
    <row r="13" spans="1:11" ht="15" x14ac:dyDescent="0.25">
      <c r="A13" s="119"/>
      <c r="B13" s="120"/>
      <c r="C13" s="130"/>
      <c r="D13" s="130"/>
      <c r="E13" s="120"/>
      <c r="F13" s="128"/>
      <c r="G13" s="128"/>
      <c r="H13" s="128"/>
      <c r="I13" s="128"/>
      <c r="J13" s="128"/>
      <c r="K13" s="128"/>
    </row>
    <row r="14" spans="1:11" ht="15" x14ac:dyDescent="0.25">
      <c r="A14" s="119"/>
      <c r="B14" s="120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11" ht="15" x14ac:dyDescent="0.25">
      <c r="A15" s="119"/>
      <c r="B15" s="120"/>
      <c r="C15" s="125"/>
      <c r="D15" s="128"/>
      <c r="E15" s="128"/>
      <c r="F15" s="128"/>
      <c r="G15" s="128"/>
      <c r="H15" s="128"/>
      <c r="I15" s="128"/>
      <c r="J15" s="128"/>
      <c r="K15" s="128"/>
    </row>
    <row r="16" spans="1:11" ht="15" x14ac:dyDescent="0.25">
      <c r="A16" s="119"/>
      <c r="B16" s="120"/>
      <c r="C16" s="125"/>
      <c r="D16" s="128"/>
      <c r="E16" s="128"/>
      <c r="F16" s="128"/>
      <c r="G16" s="128"/>
      <c r="H16" s="128"/>
      <c r="I16" s="128"/>
      <c r="J16" s="128"/>
      <c r="K16" s="128"/>
    </row>
    <row r="17" spans="1:11" ht="15" x14ac:dyDescent="0.25">
      <c r="A17" s="119"/>
      <c r="B17" s="120"/>
      <c r="C17" s="128"/>
      <c r="D17" s="128"/>
      <c r="E17" s="128"/>
      <c r="F17" s="128"/>
      <c r="G17" s="128"/>
      <c r="H17" s="128"/>
      <c r="I17" s="128"/>
      <c r="J17" s="128"/>
      <c r="K17" s="128"/>
    </row>
    <row r="18" spans="1:11" ht="15" x14ac:dyDescent="0.25">
      <c r="A18" s="119"/>
      <c r="B18" s="120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11" ht="15" x14ac:dyDescent="0.25">
      <c r="A19" s="119"/>
      <c r="B19" s="120"/>
      <c r="C19" s="128"/>
      <c r="D19" s="128"/>
      <c r="E19" s="128"/>
      <c r="F19" s="128"/>
      <c r="H19" s="128"/>
      <c r="I19" s="128"/>
      <c r="J19" s="128"/>
      <c r="K19" s="128"/>
    </row>
    <row r="20" spans="1:11" ht="15" x14ac:dyDescent="0.25">
      <c r="A20" s="119"/>
      <c r="B20" s="120"/>
      <c r="C20" s="128"/>
      <c r="D20" s="128"/>
      <c r="E20" s="128"/>
      <c r="F20" s="128"/>
      <c r="G20" s="128"/>
      <c r="H20" s="128"/>
      <c r="I20" s="128"/>
      <c r="J20" s="128"/>
      <c r="K20" s="128"/>
    </row>
    <row r="21" spans="1:11" ht="15" x14ac:dyDescent="0.25">
      <c r="A21" s="119"/>
      <c r="B21" s="120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11" ht="15" x14ac:dyDescent="0.25">
      <c r="A22" s="119"/>
      <c r="B22" s="120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11" ht="15" x14ac:dyDescent="0.25">
      <c r="A23" s="119"/>
      <c r="B23" s="120"/>
      <c r="C23" s="128"/>
      <c r="D23" s="128"/>
      <c r="E23" s="128"/>
      <c r="F23" s="128"/>
      <c r="G23" s="128"/>
      <c r="H23" s="128"/>
      <c r="I23" s="128"/>
      <c r="J23" s="128"/>
      <c r="K23" s="128"/>
    </row>
    <row r="24" spans="1:11" ht="15" x14ac:dyDescent="0.25">
      <c r="A24" s="119"/>
      <c r="B24" s="120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11" ht="15" x14ac:dyDescent="0.25">
      <c r="A25" s="119"/>
      <c r="B25" s="120"/>
      <c r="C25" s="128"/>
      <c r="D25" s="128"/>
      <c r="E25" s="128"/>
      <c r="F25" s="128"/>
      <c r="G25" s="128"/>
      <c r="H25" s="128"/>
      <c r="I25" s="128"/>
      <c r="J25" s="128"/>
      <c r="K25" s="128"/>
    </row>
    <row r="26" spans="1:11" ht="15" x14ac:dyDescent="0.25">
      <c r="A26" s="119"/>
      <c r="B26" s="120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11" ht="15" x14ac:dyDescent="0.25">
      <c r="A27" s="119"/>
      <c r="B27" s="120"/>
      <c r="C27" s="128"/>
      <c r="D27" s="128"/>
      <c r="E27" s="128"/>
      <c r="F27" s="128"/>
      <c r="G27" s="128"/>
      <c r="H27" s="128"/>
      <c r="I27" s="128"/>
      <c r="J27" s="128"/>
      <c r="K27" s="128"/>
    </row>
    <row r="28" spans="1:11" ht="15" x14ac:dyDescent="0.25">
      <c r="A28" s="119"/>
      <c r="B28" s="120"/>
      <c r="C28" s="128"/>
      <c r="D28" s="128"/>
      <c r="E28" s="128"/>
      <c r="F28" s="128"/>
      <c r="G28" s="128"/>
      <c r="H28" s="128"/>
      <c r="I28" s="128"/>
      <c r="J28" s="128"/>
      <c r="K28" s="128"/>
    </row>
    <row r="29" spans="1:11" ht="15" x14ac:dyDescent="0.25">
      <c r="A29" s="119"/>
      <c r="B29" s="120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11" ht="15" x14ac:dyDescent="0.25">
      <c r="A30" s="119"/>
      <c r="B30" s="120"/>
      <c r="C30" s="128"/>
      <c r="D30" s="120"/>
      <c r="E30" s="128"/>
      <c r="F30" s="128"/>
      <c r="G30" s="128"/>
      <c r="H30" s="128"/>
      <c r="I30" s="128"/>
      <c r="J30" s="128"/>
      <c r="K30" s="128"/>
    </row>
    <row r="31" spans="1:11" ht="15" x14ac:dyDescent="0.25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20"/>
    </row>
    <row r="32" spans="1:11" ht="15" x14ac:dyDescent="0.25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20"/>
    </row>
    <row r="33" spans="1:11" ht="15" x14ac:dyDescent="0.25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0"/>
    </row>
    <row r="34" spans="1:11" ht="15" x14ac:dyDescent="0.25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0"/>
    </row>
    <row r="35" spans="1:11" ht="15" x14ac:dyDescent="0.2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0"/>
    </row>
    <row r="36" spans="1:11" ht="15" x14ac:dyDescent="0.2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0"/>
    </row>
    <row r="37" spans="1:11" ht="15" x14ac:dyDescent="0.25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0"/>
    </row>
    <row r="38" spans="1:11" ht="15" x14ac:dyDescent="0.2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0"/>
    </row>
    <row r="39" spans="1:11" ht="15" x14ac:dyDescent="0.25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0"/>
    </row>
    <row r="40" spans="1:11" ht="15" x14ac:dyDescent="0.25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0"/>
    </row>
    <row r="41" spans="1:11" ht="15" x14ac:dyDescent="0.2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0"/>
    </row>
    <row r="42" spans="1:11" ht="15" x14ac:dyDescent="0.25">
      <c r="A42" s="119"/>
      <c r="B42" s="120"/>
      <c r="C42" s="120"/>
      <c r="D42" s="120"/>
      <c r="E42" s="120"/>
      <c r="F42" s="120"/>
      <c r="G42" s="120"/>
      <c r="H42" s="120"/>
      <c r="I42" s="120"/>
      <c r="J42" s="120"/>
      <c r="K42" s="120"/>
    </row>
    <row r="43" spans="1:11" ht="15" x14ac:dyDescent="0.25">
      <c r="A43" s="119"/>
      <c r="B43" s="120"/>
      <c r="C43" s="120"/>
      <c r="D43" s="120"/>
      <c r="E43" s="120"/>
      <c r="F43" s="120"/>
      <c r="G43" s="120"/>
      <c r="H43" s="120"/>
      <c r="I43" s="120"/>
      <c r="J43" s="120"/>
      <c r="K43" s="120"/>
    </row>
  </sheetData>
  <conditionalFormatting sqref="C5">
    <cfRule type="expression" dxfId="34" priority="1">
      <formula>LEFT(C5,1)="&lt;"</formula>
    </cfRule>
  </conditionalFormatting>
  <conditionalFormatting sqref="D6">
    <cfRule type="expression" dxfId="33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41"/>
  <sheetViews>
    <sheetView showGridLines="0" tabSelected="1" zoomScale="85" zoomScaleNormal="85" workbookViewId="0">
      <selection activeCell="F44" sqref="F44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29" t="str">
        <f>"Summary ($ "&amp;Assumptions!$C$35&amp;")"</f>
        <v>Summary ($ June 2026)</v>
      </c>
      <c r="B3" s="27"/>
      <c r="C3" s="28"/>
      <c r="D3" s="28"/>
      <c r="E3" s="28"/>
      <c r="F3" s="28"/>
      <c r="G3" s="28"/>
      <c r="H3" s="28"/>
      <c r="I3" s="28"/>
      <c r="J3" s="28"/>
      <c r="K3" s="28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79" t="s">
        <v>2</v>
      </c>
      <c r="E6" s="2"/>
      <c r="P6"/>
    </row>
    <row r="7" spans="1:16" ht="12.75" customHeight="1" x14ac:dyDescent="0.25">
      <c r="B7" s="44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3" t="s">
        <v>3</v>
      </c>
      <c r="C10" s="33" t="s">
        <v>4</v>
      </c>
      <c r="D10" s="33"/>
      <c r="E10" s="34"/>
      <c r="F10" s="35" t="s">
        <v>5</v>
      </c>
      <c r="G10" s="35" t="s">
        <v>6</v>
      </c>
      <c r="H10" s="35" t="s">
        <v>7</v>
      </c>
      <c r="I10" s="35" t="s">
        <v>8</v>
      </c>
      <c r="J10" s="35" t="s">
        <v>9</v>
      </c>
      <c r="K10" s="69" t="s">
        <v>0</v>
      </c>
      <c r="P10"/>
    </row>
    <row r="11" spans="1:16" ht="12.75" customHeight="1" x14ac:dyDescent="0.25">
      <c r="C11" s="1" t="s">
        <v>50</v>
      </c>
      <c r="D11" s="105"/>
      <c r="E11" s="2"/>
      <c r="F11" s="6">
        <f>'Option 1'!Q134</f>
        <v>815601.82951333607</v>
      </c>
      <c r="G11" s="6">
        <f>'Option 1'!R134</f>
        <v>411030.8143760669</v>
      </c>
      <c r="H11" s="6">
        <f>'Option 1'!S134</f>
        <v>507912.27859841648</v>
      </c>
      <c r="I11" s="6">
        <f>'Option 1'!T134</f>
        <v>394648.74022081459</v>
      </c>
      <c r="J11" s="6">
        <f>'Option 1'!U134</f>
        <v>400792.0180290342</v>
      </c>
      <c r="K11" s="6">
        <f>SUM(F11:J11)</f>
        <v>2529985.6807376682</v>
      </c>
      <c r="M11" s="96"/>
      <c r="P11"/>
    </row>
    <row r="12" spans="1:16" ht="12.75" customHeight="1" x14ac:dyDescent="0.25">
      <c r="C12" s="1" t="s">
        <v>145</v>
      </c>
      <c r="D12" s="105"/>
      <c r="E12" s="2"/>
      <c r="F12" s="6">
        <f>'Option 1'!Q141</f>
        <v>0</v>
      </c>
      <c r="G12" s="6">
        <f>'Option 1'!R141</f>
        <v>100162.13817749369</v>
      </c>
      <c r="H12" s="6">
        <f>'Option 1'!S141</f>
        <v>100162.13817749369</v>
      </c>
      <c r="I12" s="6">
        <f>'Option 1'!T141</f>
        <v>100162.13817749369</v>
      </c>
      <c r="J12" s="6">
        <f>'Option 1'!U141</f>
        <v>100162.13817749369</v>
      </c>
      <c r="K12" s="6">
        <f>SUM(F12:J12)</f>
        <v>400648.55270997476</v>
      </c>
      <c r="M12" s="96"/>
      <c r="P12"/>
    </row>
    <row r="13" spans="1:16" ht="12.75" customHeight="1" x14ac:dyDescent="0.2">
      <c r="C13" s="1" t="s">
        <v>146</v>
      </c>
      <c r="D13" s="105"/>
      <c r="F13" s="6">
        <v>0</v>
      </c>
      <c r="G13" s="6">
        <v>104983.82769607725</v>
      </c>
      <c r="H13" s="6">
        <v>105947.03132783165</v>
      </c>
      <c r="I13" s="6">
        <v>107020.65740084837</v>
      </c>
      <c r="J13" s="6">
        <v>108057.14961306202</v>
      </c>
      <c r="K13" s="6">
        <f>SUM(F13:J13)</f>
        <v>426008.66603781935</v>
      </c>
      <c r="M13" s="96"/>
    </row>
    <row r="14" spans="1:16" ht="12.75" customHeight="1" x14ac:dyDescent="0.2">
      <c r="C14" s="99" t="s">
        <v>147</v>
      </c>
      <c r="D14" s="134" t="s">
        <v>148</v>
      </c>
      <c r="E14" s="99"/>
      <c r="F14" s="103">
        <f>F11+F13</f>
        <v>815601.82951333607</v>
      </c>
      <c r="G14" s="103">
        <f t="shared" ref="G14:K14" si="0">G11+G13</f>
        <v>516014.64207214414</v>
      </c>
      <c r="H14" s="103">
        <f t="shared" si="0"/>
        <v>613859.30992624816</v>
      </c>
      <c r="I14" s="103">
        <f t="shared" si="0"/>
        <v>501669.39762166294</v>
      </c>
      <c r="J14" s="103">
        <f t="shared" si="0"/>
        <v>508849.16764209623</v>
      </c>
      <c r="K14" s="103">
        <f t="shared" si="0"/>
        <v>2955994.3467754875</v>
      </c>
      <c r="M14" s="96"/>
    </row>
    <row r="15" spans="1:16" ht="12.75" customHeight="1" x14ac:dyDescent="0.2">
      <c r="D15" s="105"/>
      <c r="F15" s="6"/>
      <c r="G15" s="6"/>
      <c r="H15" s="6"/>
      <c r="I15" s="6"/>
      <c r="J15" s="6"/>
      <c r="K15" s="6"/>
      <c r="M15" s="96"/>
    </row>
    <row r="16" spans="1:16" ht="12.75" customHeight="1" x14ac:dyDescent="0.2">
      <c r="C16" s="99" t="s">
        <v>15</v>
      </c>
      <c r="D16" s="134"/>
      <c r="E16" s="134"/>
      <c r="F16" s="135">
        <f>NPV(Real_Discount_rate,F14:J14)</f>
        <v>2689005.4506962672</v>
      </c>
      <c r="G16" s="6"/>
      <c r="H16" s="6"/>
      <c r="I16" s="6"/>
      <c r="J16" s="6"/>
      <c r="K16" s="6"/>
      <c r="M16" s="96"/>
    </row>
    <row r="17" spans="2:13" ht="12.75" customHeight="1" x14ac:dyDescent="0.2">
      <c r="M17" s="96"/>
    </row>
    <row r="18" spans="2:13" ht="12.75" customHeight="1" x14ac:dyDescent="0.2">
      <c r="C18" s="1" t="s">
        <v>149</v>
      </c>
      <c r="M18" s="96"/>
    </row>
    <row r="19" spans="2:13" ht="12.75" customHeight="1" x14ac:dyDescent="0.2">
      <c r="M19" s="96"/>
    </row>
    <row r="20" spans="2:13" ht="12.75" customHeight="1" x14ac:dyDescent="0.2"/>
    <row r="21" spans="2:13" ht="12.75" customHeight="1" x14ac:dyDescent="0.2">
      <c r="B21" s="33" t="s">
        <v>2</v>
      </c>
      <c r="C21" s="33" t="s">
        <v>4</v>
      </c>
      <c r="D21" s="33"/>
      <c r="E21" s="34"/>
      <c r="F21" s="35" t="str">
        <f>F$10</f>
        <v>2026/27</v>
      </c>
      <c r="G21" s="35" t="str">
        <f t="shared" ref="G21:J21" si="1">G$10</f>
        <v>2027/28</v>
      </c>
      <c r="H21" s="35" t="str">
        <f t="shared" si="1"/>
        <v>2028/29</v>
      </c>
      <c r="I21" s="35" t="str">
        <f t="shared" si="1"/>
        <v>2029/30</v>
      </c>
      <c r="J21" s="35" t="str">
        <f t="shared" si="1"/>
        <v>2030/31</v>
      </c>
      <c r="K21" s="69" t="s">
        <v>0</v>
      </c>
    </row>
    <row r="22" spans="2:13" ht="12.75" customHeight="1" x14ac:dyDescent="0.2">
      <c r="C22" s="1" t="s">
        <v>50</v>
      </c>
      <c r="D22" s="105"/>
      <c r="E22" s="2"/>
      <c r="F22" s="6">
        <f>'Option 2'!Q134</f>
        <v>4625044.0584686417</v>
      </c>
      <c r="G22" s="6">
        <f>'Option 2'!R134</f>
        <v>816037.96847555868</v>
      </c>
      <c r="H22" s="6">
        <f>'Option 2'!S134</f>
        <v>2175389.6935720602</v>
      </c>
      <c r="I22" s="6">
        <f>'Option 2'!T134</f>
        <v>1707875.8177633348</v>
      </c>
      <c r="J22" s="6">
        <f>'Option 2'!U134</f>
        <v>1563516.7848185897</v>
      </c>
      <c r="K22" s="6">
        <f>SUM(F22:J22)</f>
        <v>10887864.323098185</v>
      </c>
      <c r="M22" s="96"/>
    </row>
    <row r="23" spans="2:13" x14ac:dyDescent="0.2">
      <c r="C23" s="1" t="s">
        <v>145</v>
      </c>
      <c r="D23" s="105"/>
      <c r="E23" s="2"/>
      <c r="F23" s="6">
        <f>'Option 2'!Q141</f>
        <v>0</v>
      </c>
      <c r="G23" s="6">
        <f>'Option 2'!R141</f>
        <v>0</v>
      </c>
      <c r="H23" s="6">
        <f>'Option 2'!S141</f>
        <v>0</v>
      </c>
      <c r="I23" s="6">
        <f>'Option 2'!T141</f>
        <v>0</v>
      </c>
      <c r="J23" s="6">
        <f>'Option 2'!U141</f>
        <v>0</v>
      </c>
      <c r="K23" s="6">
        <f>SUM(F23:J23)</f>
        <v>0</v>
      </c>
      <c r="M23" s="96"/>
    </row>
    <row r="24" spans="2:13" x14ac:dyDescent="0.2">
      <c r="C24" s="1" t="s">
        <v>151</v>
      </c>
      <c r="D24" s="105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>SUM(F24:J24)</f>
        <v>0</v>
      </c>
      <c r="M24" s="96"/>
    </row>
    <row r="25" spans="2:13" x14ac:dyDescent="0.2">
      <c r="C25" s="99" t="s">
        <v>147</v>
      </c>
      <c r="D25" s="134" t="s">
        <v>148</v>
      </c>
      <c r="E25" s="99"/>
      <c r="F25" s="103">
        <f>F22+F24</f>
        <v>4625044.0584686417</v>
      </c>
      <c r="G25" s="103">
        <f t="shared" ref="G25:K25" si="2">G22+G24</f>
        <v>816037.96847555868</v>
      </c>
      <c r="H25" s="103">
        <f t="shared" si="2"/>
        <v>2175389.6935720602</v>
      </c>
      <c r="I25" s="103">
        <f t="shared" si="2"/>
        <v>1707875.8177633348</v>
      </c>
      <c r="J25" s="103">
        <f t="shared" si="2"/>
        <v>1563516.7848185897</v>
      </c>
      <c r="K25" s="103">
        <f t="shared" si="2"/>
        <v>10887864.323098185</v>
      </c>
      <c r="M25" s="96"/>
    </row>
    <row r="26" spans="2:13" x14ac:dyDescent="0.2">
      <c r="D26" s="105"/>
      <c r="F26" s="6"/>
      <c r="G26" s="6"/>
      <c r="H26" s="6"/>
      <c r="I26" s="6"/>
      <c r="J26" s="6"/>
      <c r="K26" s="6"/>
      <c r="M26" s="96"/>
    </row>
    <row r="27" spans="2:13" x14ac:dyDescent="0.2">
      <c r="C27" s="99" t="s">
        <v>15</v>
      </c>
      <c r="D27" s="134"/>
      <c r="E27" s="134"/>
      <c r="F27" s="135">
        <f>NPV(Real_Discount_rate,F25:J25)</f>
        <v>9997252.9299794398</v>
      </c>
      <c r="G27" s="6"/>
      <c r="H27" s="6"/>
      <c r="I27" s="6"/>
      <c r="J27" s="6"/>
      <c r="K27" s="6"/>
      <c r="M27" s="96"/>
    </row>
    <row r="28" spans="2:13" x14ac:dyDescent="0.2">
      <c r="M28" s="96"/>
    </row>
    <row r="29" spans="2:13" x14ac:dyDescent="0.2">
      <c r="C29" s="1" t="s">
        <v>150</v>
      </c>
      <c r="M29" s="96"/>
    </row>
    <row r="30" spans="2:13" x14ac:dyDescent="0.2">
      <c r="D30" s="46"/>
      <c r="F30" s="6"/>
      <c r="G30" s="6"/>
      <c r="H30" s="6"/>
      <c r="I30" s="6"/>
      <c r="J30" s="6"/>
      <c r="K30" s="6"/>
      <c r="M30" s="96"/>
    </row>
    <row r="32" spans="2:13" x14ac:dyDescent="0.2">
      <c r="B32" s="33" t="s">
        <v>16</v>
      </c>
      <c r="C32" s="33" t="s">
        <v>4</v>
      </c>
      <c r="D32" s="33"/>
      <c r="E32" s="34"/>
      <c r="F32" s="35" t="str">
        <f>F$10</f>
        <v>2026/27</v>
      </c>
      <c r="G32" s="35" t="str">
        <f t="shared" ref="G32:J32" si="3">G$10</f>
        <v>2027/28</v>
      </c>
      <c r="H32" s="35" t="str">
        <f t="shared" si="3"/>
        <v>2028/29</v>
      </c>
      <c r="I32" s="35" t="str">
        <f t="shared" si="3"/>
        <v>2029/30</v>
      </c>
      <c r="J32" s="35" t="str">
        <f t="shared" si="3"/>
        <v>2030/31</v>
      </c>
      <c r="K32" s="69" t="s">
        <v>0</v>
      </c>
    </row>
    <row r="33" spans="3:13" x14ac:dyDescent="0.2">
      <c r="C33" s="1" t="s">
        <v>50</v>
      </c>
      <c r="D33" s="105"/>
      <c r="E33" s="2"/>
      <c r="F33" s="6">
        <f>'Option 3'!Q134</f>
        <v>8283747.2152415961</v>
      </c>
      <c r="G33" s="6">
        <f>'Option 3'!R134</f>
        <v>3166627.6630626633</v>
      </c>
      <c r="H33" s="6">
        <f>'Option 3'!S134</f>
        <v>4536892.7010136684</v>
      </c>
      <c r="I33" s="6">
        <f>'Option 3'!T134</f>
        <v>3754159.0546854921</v>
      </c>
      <c r="J33" s="6">
        <f>'Option 3'!U134</f>
        <v>3309255.6488035554</v>
      </c>
      <c r="K33" s="6">
        <f>SUM(F33:J33)</f>
        <v>23050682.282806974</v>
      </c>
      <c r="M33" s="96"/>
    </row>
    <row r="34" spans="3:13" x14ac:dyDescent="0.2">
      <c r="C34" s="1" t="s">
        <v>145</v>
      </c>
      <c r="D34" s="105"/>
      <c r="E34" s="2"/>
      <c r="F34" s="6">
        <f>'Option 3'!Q141</f>
        <v>0</v>
      </c>
      <c r="G34" s="6">
        <f>'Option 3'!R141</f>
        <v>0</v>
      </c>
      <c r="H34" s="6">
        <f>'Option 3'!S141</f>
        <v>0</v>
      </c>
      <c r="I34" s="6">
        <f>'Option 3'!T141</f>
        <v>0</v>
      </c>
      <c r="J34" s="6">
        <f>'Option 3'!U141</f>
        <v>0</v>
      </c>
      <c r="K34" s="6">
        <f>SUM(F34:J34)</f>
        <v>0</v>
      </c>
      <c r="M34" s="96"/>
    </row>
    <row r="35" spans="3:13" x14ac:dyDescent="0.2">
      <c r="C35" s="1" t="s">
        <v>151</v>
      </c>
      <c r="D35" s="105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>SUM(F35:J35)</f>
        <v>0</v>
      </c>
      <c r="M35" s="96"/>
    </row>
    <row r="36" spans="3:13" x14ac:dyDescent="0.2">
      <c r="C36" s="99" t="s">
        <v>147</v>
      </c>
      <c r="D36" s="134" t="s">
        <v>148</v>
      </c>
      <c r="E36" s="99"/>
      <c r="F36" s="103">
        <f>F33+F35</f>
        <v>8283747.2152415961</v>
      </c>
      <c r="G36" s="103">
        <f t="shared" ref="G36:K36" si="4">G33+G35</f>
        <v>3166627.6630626633</v>
      </c>
      <c r="H36" s="103">
        <f t="shared" si="4"/>
        <v>4536892.7010136684</v>
      </c>
      <c r="I36" s="103">
        <f t="shared" si="4"/>
        <v>3754159.0546854921</v>
      </c>
      <c r="J36" s="103">
        <f t="shared" si="4"/>
        <v>3309255.6488035554</v>
      </c>
      <c r="K36" s="103">
        <f t="shared" si="4"/>
        <v>23050682.282806974</v>
      </c>
      <c r="M36" s="96"/>
    </row>
    <row r="37" spans="3:13" x14ac:dyDescent="0.2">
      <c r="D37" s="105"/>
      <c r="F37" s="6"/>
      <c r="G37" s="6"/>
      <c r="H37" s="6"/>
      <c r="I37" s="6"/>
      <c r="J37" s="6"/>
      <c r="K37" s="6"/>
      <c r="M37" s="96"/>
    </row>
    <row r="38" spans="3:13" x14ac:dyDescent="0.2">
      <c r="C38" s="99" t="s">
        <v>15</v>
      </c>
      <c r="D38" s="134"/>
      <c r="E38" s="134"/>
      <c r="F38" s="135">
        <f>NPV(Real_Discount_rate,F36:J36)</f>
        <v>21109555.771758474</v>
      </c>
      <c r="G38" s="6"/>
      <c r="H38" s="6"/>
      <c r="I38" s="6"/>
      <c r="J38" s="6"/>
      <c r="K38" s="6"/>
      <c r="M38" s="96"/>
    </row>
    <row r="39" spans="3:13" x14ac:dyDescent="0.2">
      <c r="M39" s="96"/>
    </row>
    <row r="40" spans="3:13" x14ac:dyDescent="0.2">
      <c r="C40" s="1" t="s">
        <v>149</v>
      </c>
      <c r="M40" s="96"/>
    </row>
    <row r="41" spans="3:13" x14ac:dyDescent="0.2">
      <c r="D41" s="46"/>
      <c r="F41" s="6"/>
      <c r="G41" s="6"/>
      <c r="H41" s="6"/>
      <c r="I41" s="6"/>
      <c r="J41" s="6"/>
      <c r="K41" s="6"/>
      <c r="M41" s="96"/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4F7F24EB-589A-41FA-A86D-D0BF4B8353E5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="90" zoomScaleNormal="90" workbookViewId="0">
      <selection activeCell="B30" sqref="B30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58" t="str">
        <f>Project_name</f>
        <v>Enterprise management systems</v>
      </c>
      <c r="B1" s="14"/>
      <c r="C1" s="14"/>
      <c r="D1" s="14"/>
      <c r="E1" s="14"/>
      <c r="F1" s="14"/>
      <c r="G1" s="14"/>
      <c r="H1" s="14"/>
      <c r="I1" s="11"/>
      <c r="J1" s="11"/>
      <c r="K1" s="11"/>
    </row>
    <row r="2" spans="1:35" ht="15.75" x14ac:dyDescent="0.25">
      <c r="A2" s="55" t="str">
        <f>Business</f>
        <v>UE</v>
      </c>
      <c r="B2" s="13"/>
      <c r="C2" s="13"/>
      <c r="D2" s="13"/>
      <c r="E2" s="13"/>
      <c r="F2" s="13"/>
      <c r="G2" s="13"/>
      <c r="H2" s="13"/>
      <c r="I2" s="11"/>
      <c r="J2" s="11"/>
      <c r="K2" s="11"/>
    </row>
    <row r="3" spans="1:35" s="18" customFormat="1" ht="12.75" customHeight="1" x14ac:dyDescent="0.25">
      <c r="A3" s="29" t="s">
        <v>18</v>
      </c>
      <c r="B3" s="27"/>
      <c r="C3" s="27"/>
      <c r="D3" s="27"/>
      <c r="E3" s="27"/>
      <c r="F3" s="27"/>
      <c r="G3" s="27"/>
      <c r="H3" s="13"/>
      <c r="I3" s="11"/>
      <c r="J3" s="11"/>
      <c r="K3" s="1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6" t="s">
        <v>17</v>
      </c>
      <c r="B4" s="39" t="s">
        <v>18</v>
      </c>
      <c r="C4" s="26" t="s">
        <v>19</v>
      </c>
      <c r="D4" s="26" t="s">
        <v>20</v>
      </c>
    </row>
    <row r="5" spans="1:35" ht="12.75" customHeight="1" x14ac:dyDescent="0.25">
      <c r="A5" s="26"/>
      <c r="B5" s="39"/>
      <c r="C5" s="26"/>
      <c r="D5" s="26"/>
    </row>
    <row r="6" spans="1:35" ht="12.75" customHeight="1" x14ac:dyDescent="0.25">
      <c r="A6" s="1" t="s">
        <v>21</v>
      </c>
      <c r="B6" s="72" t="s">
        <v>144</v>
      </c>
      <c r="C6" s="72"/>
      <c r="D6" s="26"/>
    </row>
    <row r="7" spans="1:35" ht="12.75" customHeight="1" x14ac:dyDescent="0.25">
      <c r="A7" s="26"/>
      <c r="B7" s="39"/>
      <c r="C7" s="26"/>
      <c r="D7" s="26"/>
    </row>
    <row r="8" spans="1:35" ht="12.75" customHeight="1" x14ac:dyDescent="0.25">
      <c r="A8" s="1" t="s">
        <v>22</v>
      </c>
      <c r="B8" s="73" t="s">
        <v>23</v>
      </c>
      <c r="C8" s="26"/>
      <c r="D8" s="26"/>
    </row>
    <row r="9" spans="1:35" ht="12.75" customHeight="1" x14ac:dyDescent="0.25">
      <c r="A9" s="26"/>
      <c r="B9" s="56"/>
      <c r="C9" s="26"/>
      <c r="D9" s="26"/>
    </row>
    <row r="10" spans="1:35" ht="12.75" customHeight="1" x14ac:dyDescent="0.25">
      <c r="A10" s="1" t="s">
        <v>24</v>
      </c>
      <c r="B10" s="131">
        <v>3.5000000000000003E-2</v>
      </c>
      <c r="C10" s="41"/>
      <c r="D10" s="26"/>
    </row>
    <row r="11" spans="1:35" ht="12.75" customHeight="1" x14ac:dyDescent="0.25">
      <c r="A11" s="26"/>
      <c r="B11" s="56"/>
      <c r="C11" s="26"/>
      <c r="D11" s="26"/>
    </row>
    <row r="12" spans="1:35" ht="12.75" customHeight="1" x14ac:dyDescent="0.25">
      <c r="A12" s="41" t="s">
        <v>25</v>
      </c>
      <c r="B12" s="74" t="s">
        <v>138</v>
      </c>
      <c r="C12" s="41" t="s">
        <v>26</v>
      </c>
      <c r="D12" s="26"/>
    </row>
    <row r="13" spans="1:35" ht="12.75" customHeight="1" x14ac:dyDescent="0.25">
      <c r="A13" s="41"/>
      <c r="B13" s="57"/>
      <c r="C13" s="41"/>
      <c r="D13" s="41"/>
      <c r="E13" s="41"/>
    </row>
    <row r="14" spans="1:35" ht="12.75" customHeight="1" x14ac:dyDescent="0.25">
      <c r="A14" s="41" t="s">
        <v>27</v>
      </c>
      <c r="B14" s="132">
        <f>IF(B12="2022/23",C42,C43)</f>
        <v>145.77740895836223</v>
      </c>
      <c r="C14" s="41"/>
      <c r="D14" s="41"/>
      <c r="E14" s="41"/>
    </row>
    <row r="15" spans="1:35" ht="12.75" customHeight="1" x14ac:dyDescent="0.25">
      <c r="A15" s="80"/>
      <c r="B15" s="41"/>
      <c r="C15" s="41"/>
      <c r="D15" s="41"/>
      <c r="E15" s="41"/>
    </row>
    <row r="16" spans="1:35" ht="12.75" customHeight="1" x14ac:dyDescent="0.25">
      <c r="A16" s="41"/>
      <c r="B16" s="41"/>
      <c r="C16" s="41"/>
      <c r="D16" s="41"/>
      <c r="E16" s="41"/>
    </row>
    <row r="17" spans="1:11" ht="12.75" customHeight="1" x14ac:dyDescent="0.25">
      <c r="A17" s="50" t="s">
        <v>28</v>
      </c>
      <c r="B17" s="70"/>
      <c r="C17" s="70"/>
      <c r="D17" s="70"/>
      <c r="E17" s="70"/>
      <c r="F17" s="70"/>
      <c r="G17" s="70"/>
      <c r="H17" s="70"/>
      <c r="I17" s="70"/>
      <c r="J17" s="70"/>
      <c r="K17" s="70"/>
    </row>
    <row r="18" spans="1:11" ht="12.75" customHeight="1" x14ac:dyDescent="0.25">
      <c r="A18" s="41"/>
      <c r="B18" s="88"/>
    </row>
    <row r="19" spans="1:11" ht="12.75" customHeight="1" x14ac:dyDescent="0.25">
      <c r="A19" s="41"/>
      <c r="B19" s="88"/>
      <c r="D19" s="41"/>
      <c r="E19" s="41"/>
    </row>
    <row r="20" spans="1:11" ht="12.75" customHeight="1" x14ac:dyDescent="0.25">
      <c r="A20" s="41" t="s">
        <v>29</v>
      </c>
      <c r="B20" s="89">
        <v>1</v>
      </c>
      <c r="D20" s="41"/>
      <c r="E20" s="41"/>
    </row>
    <row r="21" spans="1:11" ht="12.75" customHeight="1" x14ac:dyDescent="0.25">
      <c r="A21" s="41"/>
      <c r="B21" s="90">
        <f>SUM(B18:B20)</f>
        <v>1</v>
      </c>
      <c r="D21" s="41"/>
      <c r="E21" s="41"/>
    </row>
    <row r="22" spans="1:11" ht="12.75" customHeight="1" x14ac:dyDescent="0.25">
      <c r="A22" s="41"/>
      <c r="B22" s="41"/>
      <c r="C22" s="41"/>
      <c r="D22" s="41"/>
      <c r="E22" s="41"/>
    </row>
    <row r="23" spans="1:11" ht="12.75" customHeight="1" x14ac:dyDescent="0.25">
      <c r="A23" s="50" t="s">
        <v>30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1" ht="12.75" customHeight="1" x14ac:dyDescent="0.25">
      <c r="A24" s="41" t="s">
        <v>3</v>
      </c>
      <c r="B24" s="81" t="s">
        <v>31</v>
      </c>
      <c r="C24" s="82"/>
      <c r="D24" s="82"/>
      <c r="E24" s="82"/>
      <c r="F24" s="82"/>
      <c r="G24" s="83"/>
    </row>
    <row r="25" spans="1:11" ht="12.75" customHeight="1" x14ac:dyDescent="0.25">
      <c r="A25" s="41" t="s">
        <v>2</v>
      </c>
      <c r="B25" s="84" t="s">
        <v>32</v>
      </c>
      <c r="C25" s="85"/>
      <c r="D25" s="85"/>
      <c r="E25" s="85"/>
      <c r="F25" s="85"/>
      <c r="G25" s="86"/>
    </row>
    <row r="26" spans="1:11" ht="12.75" customHeight="1" x14ac:dyDescent="0.25">
      <c r="A26" s="41" t="s">
        <v>16</v>
      </c>
      <c r="B26" s="84" t="s">
        <v>33</v>
      </c>
      <c r="C26" s="85"/>
      <c r="D26" s="85"/>
      <c r="E26" s="85"/>
      <c r="F26" s="85"/>
      <c r="G26" s="86"/>
    </row>
    <row r="27" spans="1:11" ht="12.75" customHeight="1" x14ac:dyDescent="0.25">
      <c r="A27" s="41"/>
      <c r="B27" s="87"/>
      <c r="C27" s="87"/>
      <c r="D27" s="87"/>
      <c r="E27" s="87"/>
      <c r="F27" s="87"/>
      <c r="G27" s="87"/>
    </row>
    <row r="28" spans="1:11" ht="12.75" customHeight="1" x14ac:dyDescent="0.25">
      <c r="A28" s="41"/>
      <c r="B28" s="87"/>
      <c r="C28" s="87"/>
      <c r="D28" s="87"/>
      <c r="E28" s="87"/>
      <c r="F28" s="87"/>
      <c r="G28" s="87"/>
    </row>
    <row r="29" spans="1:11" x14ac:dyDescent="0.25">
      <c r="A29" s="36" t="s">
        <v>136</v>
      </c>
      <c r="B29" s="36"/>
      <c r="C29" s="36"/>
      <c r="D29" s="37"/>
      <c r="E29" s="133" t="s">
        <v>137</v>
      </c>
      <c r="F29" s="133" t="s">
        <v>138</v>
      </c>
      <c r="G29" s="133" t="s">
        <v>139</v>
      </c>
      <c r="H29" s="133" t="s">
        <v>140</v>
      </c>
      <c r="I29" s="98"/>
      <c r="J29" s="37"/>
      <c r="K29" s="37"/>
    </row>
    <row r="30" spans="1:11" x14ac:dyDescent="0.25">
      <c r="A30" s="113" t="s">
        <v>133</v>
      </c>
      <c r="B30" s="114"/>
      <c r="C30" s="115"/>
      <c r="D30" s="116"/>
      <c r="E30" s="117">
        <v>1.1757125218136175</v>
      </c>
      <c r="F30" s="117">
        <v>1.1129126464165966</v>
      </c>
      <c r="G30" s="117">
        <v>1.050660524730181</v>
      </c>
      <c r="H30" s="117">
        <v>1.014889156509222</v>
      </c>
      <c r="I30" s="118"/>
      <c r="J30" s="116"/>
      <c r="K30" s="116"/>
    </row>
    <row r="31" spans="1:11" x14ac:dyDescent="0.25">
      <c r="B31" s="1"/>
      <c r="D31" s="53"/>
      <c r="I31" s="65"/>
      <c r="J31" s="54"/>
      <c r="K31" s="54"/>
    </row>
    <row r="32" spans="1:11" x14ac:dyDescent="0.25">
      <c r="A32" s="1"/>
      <c r="B32" s="1"/>
      <c r="D32" s="38"/>
      <c r="I32" s="65"/>
      <c r="J32" s="65"/>
      <c r="K32" s="65"/>
    </row>
    <row r="33" spans="1:11" ht="12.75" customHeight="1" x14ac:dyDescent="0.25">
      <c r="A33" s="70"/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5"/>
    <row r="35" spans="1:11" ht="12.75" customHeight="1" x14ac:dyDescent="0.25">
      <c r="A35" s="41" t="s">
        <v>34</v>
      </c>
      <c r="C35" s="92" t="s">
        <v>140</v>
      </c>
      <c r="D35" t="s">
        <v>26</v>
      </c>
    </row>
    <row r="36" spans="1:11" ht="12.75" customHeight="1" x14ac:dyDescent="0.25">
      <c r="A36" s="41" t="s">
        <v>35</v>
      </c>
      <c r="C36" s="40" t="str">
        <f>$B$12</f>
        <v>June 2024</v>
      </c>
    </row>
    <row r="37" spans="1:11" ht="12.75" customHeight="1" x14ac:dyDescent="0.25">
      <c r="A37" s="41" t="s">
        <v>36</v>
      </c>
      <c r="C37" s="91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0"/>
      <c r="B39" s="70"/>
      <c r="C39" s="70"/>
      <c r="D39" s="70"/>
      <c r="E39" s="70"/>
      <c r="F39" s="70"/>
      <c r="G39" s="70"/>
      <c r="H39" s="70"/>
      <c r="I39" s="70"/>
      <c r="J39" s="70"/>
      <c r="K39" s="70"/>
    </row>
    <row r="40" spans="1:11" ht="12.75" customHeight="1" x14ac:dyDescent="0.25"/>
    <row r="41" spans="1:11" ht="12.75" customHeight="1" x14ac:dyDescent="0.25">
      <c r="A41" s="41" t="s">
        <v>37</v>
      </c>
      <c r="C41" s="93" t="s">
        <v>38</v>
      </c>
      <c r="D41" t="s">
        <v>141</v>
      </c>
    </row>
    <row r="42" spans="1:11" ht="12.75" customHeight="1" x14ac:dyDescent="0.25">
      <c r="A42" s="41" t="s">
        <v>35</v>
      </c>
      <c r="C42" s="94">
        <v>135.18960020374115</v>
      </c>
      <c r="D42" t="s">
        <v>142</v>
      </c>
    </row>
    <row r="43" spans="1:11" ht="12.75" customHeight="1" x14ac:dyDescent="0.25">
      <c r="A43" s="41" t="s">
        <v>36</v>
      </c>
      <c r="C43" s="95">
        <v>145.77740895836223</v>
      </c>
      <c r="D43" t="s">
        <v>143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Z157"/>
  <sheetViews>
    <sheetView showGridLines="0" zoomScale="80" zoomScaleNormal="80" workbookViewId="0">
      <pane ySplit="9" topLeftCell="A126" activePane="bottomLeft" state="frozen"/>
      <selection activeCell="T118" sqref="T118"/>
      <selection pane="bottomLeft" activeCell="A10" sqref="A10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58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5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3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5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7" t="s">
        <v>39</v>
      </c>
      <c r="D7" s="60" t="s">
        <v>40</v>
      </c>
      <c r="E7" s="60" t="s">
        <v>41</v>
      </c>
      <c r="F7" s="107" t="s">
        <v>42</v>
      </c>
      <c r="G7" s="16"/>
      <c r="H7" s="19" t="s">
        <v>10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7"/>
      <c r="D8" s="97" t="s">
        <v>46</v>
      </c>
      <c r="E8" s="97"/>
      <c r="F8" s="97" t="s">
        <v>47</v>
      </c>
      <c r="G8" s="16"/>
      <c r="H8" s="106" t="s">
        <v>48</v>
      </c>
      <c r="I8" s="97"/>
      <c r="K8" s="48" t="s">
        <v>5</v>
      </c>
      <c r="L8" s="48" t="s">
        <v>6</v>
      </c>
      <c r="M8" s="48" t="s">
        <v>7</v>
      </c>
      <c r="N8" s="48" t="s">
        <v>8</v>
      </c>
      <c r="O8" s="48" t="s">
        <v>9</v>
      </c>
      <c r="Q8" s="48" t="s">
        <v>5</v>
      </c>
      <c r="R8" s="48" t="s">
        <v>6</v>
      </c>
      <c r="S8" s="48" t="s">
        <v>7</v>
      </c>
      <c r="T8" s="48" t="s">
        <v>8</v>
      </c>
      <c r="U8" s="48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6" t="s">
        <v>49</v>
      </c>
      <c r="D10" s="77" t="s">
        <v>50</v>
      </c>
      <c r="E10" s="77" t="s">
        <v>10</v>
      </c>
      <c r="F10" s="75" t="s">
        <v>51</v>
      </c>
      <c r="G10" s="2"/>
      <c r="H10" s="59">
        <f>IF($E10="Labour",Assumptions!$B$14,)</f>
        <v>145.77740895836223</v>
      </c>
      <c r="I10" s="9" t="str">
        <f>IF($E10="Labour","Hours","$")</f>
        <v>Hours</v>
      </c>
      <c r="J10" s="2"/>
      <c r="K10" s="78">
        <f>50*36.8/100</f>
        <v>18.399999999999999</v>
      </c>
      <c r="L10" s="78">
        <f>50*36.8/100</f>
        <v>18.399999999999999</v>
      </c>
      <c r="M10" s="78">
        <f>50*36.8/100</f>
        <v>18.399999999999999</v>
      </c>
      <c r="N10" s="78">
        <f>50*36.8/100</f>
        <v>18.399999999999999</v>
      </c>
      <c r="O10" s="78">
        <f>50*36.8/100</f>
        <v>18.399999999999999</v>
      </c>
      <c r="P10" s="2"/>
      <c r="Q10" s="5">
        <f>IF($E10="Labour",$H10*K10,K10)</f>
        <v>2682.3043248338649</v>
      </c>
      <c r="R10" s="5">
        <f>IF($E10="Labour",$H10*L10,L10)</f>
        <v>2682.3043248338649</v>
      </c>
      <c r="S10" s="5">
        <f>IF($E10="Labour",$H10*M10,M10)</f>
        <v>2682.3043248338649</v>
      </c>
      <c r="T10" s="5">
        <f>IF($E10="Labour",$H10*N10,N10)</f>
        <v>2682.3043248338649</v>
      </c>
      <c r="U10" s="5">
        <f>IF($E10="Labour",$H10*O10,O10)</f>
        <v>2682.3043248338649</v>
      </c>
    </row>
    <row r="11" spans="1:26" ht="12.75" customHeight="1" x14ac:dyDescent="0.2">
      <c r="A11" s="4"/>
      <c r="C11" s="76" t="s">
        <v>49</v>
      </c>
      <c r="D11" s="77" t="s">
        <v>50</v>
      </c>
      <c r="E11" s="77" t="s">
        <v>11</v>
      </c>
      <c r="F11" s="75" t="s">
        <v>51</v>
      </c>
      <c r="G11" s="2"/>
      <c r="H11" s="59">
        <f>IF($E11="Labour",Assumptions!$B$14,)</f>
        <v>0</v>
      </c>
      <c r="I11" s="9" t="str">
        <f t="shared" ref="I11:I89" si="0">IF($E11="Labour","Hours","$")</f>
        <v>$</v>
      </c>
      <c r="J11" s="2"/>
      <c r="K11" s="78"/>
      <c r="L11" s="78"/>
      <c r="M11" s="78"/>
      <c r="N11" s="78"/>
      <c r="O11" s="78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6" t="s">
        <v>49</v>
      </c>
      <c r="D12" s="77" t="s">
        <v>50</v>
      </c>
      <c r="E12" s="77" t="s">
        <v>12</v>
      </c>
      <c r="F12" s="75" t="s">
        <v>51</v>
      </c>
      <c r="G12" s="2"/>
      <c r="H12" s="59">
        <f>IF($E12="Labour",Assumptions!$B$14,)</f>
        <v>0</v>
      </c>
      <c r="I12" s="9" t="str">
        <f t="shared" si="0"/>
        <v>$</v>
      </c>
      <c r="J12" s="2"/>
      <c r="K12" s="78">
        <f>5000*36.8/100</f>
        <v>1840</v>
      </c>
      <c r="L12" s="78">
        <f>5000*36.8/100</f>
        <v>1840</v>
      </c>
      <c r="M12" s="78">
        <f>5000*36.8/100</f>
        <v>1840</v>
      </c>
      <c r="N12" s="78">
        <f>5000*36.8/100</f>
        <v>1840</v>
      </c>
      <c r="O12" s="78">
        <f>5000*36.8/100</f>
        <v>1840</v>
      </c>
      <c r="P12" s="2"/>
      <c r="Q12" s="5">
        <f>IF($E12="Labour",$H12*K12,K12)</f>
        <v>1840</v>
      </c>
      <c r="R12" s="5">
        <f>IF($E12="Labour",$H12*L12,L12)</f>
        <v>1840</v>
      </c>
      <c r="S12" s="5">
        <f>IF($E12="Labour",$H12*M12,M12)</f>
        <v>1840</v>
      </c>
      <c r="T12" s="5">
        <f>IF($E12="Labour",$H12*N12,N12)</f>
        <v>1840</v>
      </c>
      <c r="U12" s="5">
        <f>IF($E12="Labour",$H12*O12,O12)</f>
        <v>1840</v>
      </c>
    </row>
    <row r="13" spans="1:26" ht="12.75" customHeight="1" x14ac:dyDescent="0.25">
      <c r="A13" s="4"/>
      <c r="C13" s="76" t="s">
        <v>52</v>
      </c>
      <c r="D13" s="77" t="s">
        <v>50</v>
      </c>
      <c r="E13" s="77" t="s">
        <v>10</v>
      </c>
      <c r="F13" s="75" t="s">
        <v>51</v>
      </c>
      <c r="G13" s="2"/>
      <c r="H13" s="59">
        <f>IF($E13="Labour",Assumptions!$B$14,)</f>
        <v>145.77740895836223</v>
      </c>
      <c r="I13" s="9" t="str">
        <f t="shared" si="0"/>
        <v>Hours</v>
      </c>
      <c r="J13" s="2"/>
      <c r="K13" s="78"/>
      <c r="L13" s="78"/>
      <c r="M13" s="78"/>
      <c r="N13" s="78"/>
      <c r="O13" s="78"/>
      <c r="P13" s="2"/>
      <c r="Q13" s="5">
        <f>IF($E13="Labour",$H13*K13,K13)</f>
        <v>0</v>
      </c>
      <c r="R13" s="5">
        <f>IF($E13="Labour",$H13*L13,L13)</f>
        <v>0</v>
      </c>
      <c r="S13" s="5">
        <f>IF($E13="Labour",$H13*M13,M13)</f>
        <v>0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6" t="s">
        <v>52</v>
      </c>
      <c r="D14" s="77" t="s">
        <v>50</v>
      </c>
      <c r="E14" s="77" t="s">
        <v>11</v>
      </c>
      <c r="F14" s="75" t="s">
        <v>51</v>
      </c>
      <c r="G14" s="2"/>
      <c r="H14" s="59">
        <f>IF($E14="Labour",Assumptions!$B$14,)</f>
        <v>0</v>
      </c>
      <c r="I14" s="9" t="str">
        <f t="shared" si="0"/>
        <v>$</v>
      </c>
      <c r="J14" s="2"/>
      <c r="K14" s="78"/>
      <c r="L14" s="78"/>
      <c r="M14" s="78"/>
      <c r="N14" s="78"/>
      <c r="O14" s="78"/>
      <c r="P14" s="2"/>
      <c r="Q14" s="5">
        <f>IF($E14="Labour",$H14*K14,K14)</f>
        <v>0</v>
      </c>
      <c r="R14" s="5">
        <f>IF($E14="Labour",$H14*L14,L14)</f>
        <v>0</v>
      </c>
      <c r="S14" s="5">
        <f>IF($E14="Labour",$H14*M14,M14)</f>
        <v>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76" t="s">
        <v>52</v>
      </c>
      <c r="D15" s="77" t="s">
        <v>50</v>
      </c>
      <c r="E15" s="77" t="s">
        <v>12</v>
      </c>
      <c r="F15" s="75" t="s">
        <v>51</v>
      </c>
      <c r="G15" s="2"/>
      <c r="H15" s="59">
        <f>IF($E15="Labour",Assumptions!$B$14,)</f>
        <v>0</v>
      </c>
      <c r="I15" s="9" t="str">
        <f t="shared" si="0"/>
        <v>$</v>
      </c>
      <c r="J15" s="2"/>
      <c r="K15" s="78"/>
      <c r="L15" s="78"/>
      <c r="M15" s="78"/>
      <c r="N15" s="78"/>
      <c r="O15" s="78"/>
      <c r="P15" s="2"/>
      <c r="Q15" s="5">
        <f>IF($E15="Labour",$H15*K15,K15)</f>
        <v>0</v>
      </c>
      <c r="R15" s="5">
        <f>IF($E15="Labour",$H15*L15,L15)</f>
        <v>0</v>
      </c>
      <c r="S15" s="5">
        <f>IF($E15="Labour",$H15*M15,M15)</f>
        <v>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6" t="s">
        <v>53</v>
      </c>
      <c r="D16" s="77" t="s">
        <v>50</v>
      </c>
      <c r="E16" s="77" t="s">
        <v>10</v>
      </c>
      <c r="F16" s="75" t="s">
        <v>51</v>
      </c>
      <c r="G16" s="2"/>
      <c r="H16" s="59">
        <f>IF($E16="Labour",Assumptions!$B$14,)</f>
        <v>145.77740895836223</v>
      </c>
      <c r="I16" s="9" t="str">
        <f t="shared" si="0"/>
        <v>Hours</v>
      </c>
      <c r="J16" s="2"/>
      <c r="K16" s="78"/>
      <c r="L16" s="78"/>
      <c r="M16" s="78"/>
      <c r="N16" s="78"/>
      <c r="O16" s="78"/>
      <c r="P16" s="2"/>
      <c r="Q16" s="5">
        <f>IF($E16="Labour",$H16*K16,K16)</f>
        <v>0</v>
      </c>
      <c r="R16" s="5">
        <f>IF($E16="Labour",$H16*L16,L16)</f>
        <v>0</v>
      </c>
      <c r="S16" s="5">
        <f>IF($E16="Labour",$H16*M16,M16)</f>
        <v>0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76" t="s">
        <v>54</v>
      </c>
      <c r="D17" s="77" t="s">
        <v>50</v>
      </c>
      <c r="E17" s="77" t="s">
        <v>11</v>
      </c>
      <c r="F17" s="75" t="s">
        <v>51</v>
      </c>
      <c r="G17" s="2"/>
      <c r="H17" s="59">
        <f>IF($E17="Labour",Assumptions!$B$14,)</f>
        <v>0</v>
      </c>
      <c r="I17" s="9" t="str">
        <f t="shared" si="0"/>
        <v>$</v>
      </c>
      <c r="J17" s="2"/>
      <c r="K17" s="78"/>
      <c r="L17" s="78"/>
      <c r="M17" s="78"/>
      <c r="N17" s="78"/>
      <c r="O17" s="78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76" t="s">
        <v>54</v>
      </c>
      <c r="D18" s="77" t="s">
        <v>50</v>
      </c>
      <c r="E18" s="77" t="s">
        <v>12</v>
      </c>
      <c r="F18" s="75" t="s">
        <v>51</v>
      </c>
      <c r="G18" s="2"/>
      <c r="H18" s="59">
        <f>IF($E18="Labour",Assumptions!$B$14,)</f>
        <v>0</v>
      </c>
      <c r="I18" s="9" t="str">
        <f t="shared" si="0"/>
        <v>$</v>
      </c>
      <c r="J18" s="2"/>
      <c r="K18" s="78"/>
      <c r="L18" s="78"/>
      <c r="M18" s="78"/>
      <c r="N18" s="78"/>
      <c r="O18" s="78"/>
      <c r="P18" s="2"/>
      <c r="Q18" s="5">
        <f>IF($E18="Labour",$H18*K18,K18)</f>
        <v>0</v>
      </c>
      <c r="R18" s="5">
        <f>IF($E18="Labour",$H18*L18,L18)</f>
        <v>0</v>
      </c>
      <c r="S18" s="5">
        <f>IF($E18="Labour",$H18*M18,M18)</f>
        <v>0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76" t="s">
        <v>55</v>
      </c>
      <c r="D19" s="77" t="s">
        <v>50</v>
      </c>
      <c r="E19" s="77" t="s">
        <v>10</v>
      </c>
      <c r="F19" s="75" t="s">
        <v>51</v>
      </c>
      <c r="G19" s="2"/>
      <c r="H19" s="59">
        <f>IF($E19="Labour",Assumptions!$B$14,)</f>
        <v>145.77740895836223</v>
      </c>
      <c r="I19" s="9" t="str">
        <f t="shared" si="0"/>
        <v>Hours</v>
      </c>
      <c r="J19" s="2"/>
      <c r="K19" s="78">
        <f>2146*36.8/100</f>
        <v>789.72799999999984</v>
      </c>
      <c r="L19" s="78"/>
      <c r="M19" s="78"/>
      <c r="N19" s="78"/>
      <c r="O19" s="78"/>
      <c r="P19" s="2"/>
      <c r="Q19" s="5">
        <f>IF($E19="Labour",$H19*K19,K19)</f>
        <v>115124.50162186947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76" t="s">
        <v>55</v>
      </c>
      <c r="D20" s="77" t="s">
        <v>50</v>
      </c>
      <c r="E20" s="77" t="s">
        <v>11</v>
      </c>
      <c r="F20" s="75" t="s">
        <v>51</v>
      </c>
      <c r="G20" s="2"/>
      <c r="H20" s="59">
        <f>IF($E20="Labour",Assumptions!$B$14,)</f>
        <v>0</v>
      </c>
      <c r="I20" s="9" t="str">
        <f t="shared" si="0"/>
        <v>$</v>
      </c>
      <c r="J20" s="2"/>
      <c r="K20" s="78">
        <f>330000*36.8/100</f>
        <v>121439.99999999999</v>
      </c>
      <c r="L20" s="78"/>
      <c r="M20" s="78"/>
      <c r="N20" s="78"/>
      <c r="O20" s="78"/>
      <c r="P20" s="2"/>
      <c r="Q20" s="5">
        <f>IF($E20="Labour",$H20*K20,K20)</f>
        <v>121439.99999999999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76" t="s">
        <v>55</v>
      </c>
      <c r="D21" s="77" t="s">
        <v>50</v>
      </c>
      <c r="E21" s="77" t="s">
        <v>12</v>
      </c>
      <c r="F21" s="75" t="s">
        <v>51</v>
      </c>
      <c r="G21" s="2"/>
      <c r="H21" s="59">
        <f>IF($E21="Labour",Assumptions!$B$14,)</f>
        <v>0</v>
      </c>
      <c r="I21" s="9" t="str">
        <f t="shared" si="0"/>
        <v>$</v>
      </c>
      <c r="J21" s="2"/>
      <c r="K21" s="78">
        <f>430000*36.8/100</f>
        <v>158239.99999999997</v>
      </c>
      <c r="L21" s="78">
        <f>70000*36.8/100</f>
        <v>25760</v>
      </c>
      <c r="M21" s="78"/>
      <c r="N21" s="78"/>
      <c r="O21" s="78"/>
      <c r="P21" s="2"/>
      <c r="Q21" s="5">
        <f>IF($E21="Labour",$H21*K21,K21)</f>
        <v>158239.99999999997</v>
      </c>
      <c r="R21" s="5">
        <f>IF($E21="Labour",$H21*L21,L21)</f>
        <v>25760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76" t="s">
        <v>56</v>
      </c>
      <c r="D22" s="77" t="s">
        <v>50</v>
      </c>
      <c r="E22" s="77" t="s">
        <v>10</v>
      </c>
      <c r="F22" s="75" t="s">
        <v>51</v>
      </c>
      <c r="G22" s="2"/>
      <c r="H22" s="59">
        <f>IF($E22="Labour",Assumptions!$B$14,)</f>
        <v>145.77740895836223</v>
      </c>
      <c r="I22" s="9" t="str">
        <f t="shared" si="0"/>
        <v>Hours</v>
      </c>
      <c r="J22" s="2"/>
      <c r="K22" s="78">
        <f>500*36.8/100</f>
        <v>184</v>
      </c>
      <c r="L22" s="78">
        <f>500*36.8/100</f>
        <v>184</v>
      </c>
      <c r="M22" s="78">
        <f>500*36.8/100</f>
        <v>184</v>
      </c>
      <c r="N22" s="78">
        <f>500*36.8/100</f>
        <v>184</v>
      </c>
      <c r="O22" s="78">
        <f>500*36.8/100</f>
        <v>184</v>
      </c>
      <c r="P22" s="2"/>
      <c r="Q22" s="5">
        <f>IF($E22="Labour",$H22*K22,K22)</f>
        <v>26823.04324833865</v>
      </c>
      <c r="R22" s="5">
        <f>IF($E22="Labour",$H22*L22,L22)</f>
        <v>26823.04324833865</v>
      </c>
      <c r="S22" s="5">
        <f>IF($E22="Labour",$H22*M22,M22)</f>
        <v>26823.04324833865</v>
      </c>
      <c r="T22" s="5">
        <f>IF($E22="Labour",$H22*N22,N22)</f>
        <v>26823.04324833865</v>
      </c>
      <c r="U22" s="5">
        <f>IF($E22="Labour",$H22*O22,O22)</f>
        <v>26823.04324833865</v>
      </c>
      <c r="Z22"/>
    </row>
    <row r="23" spans="1:26" ht="12.75" customHeight="1" x14ac:dyDescent="0.25">
      <c r="A23" s="4"/>
      <c r="C23" s="76" t="s">
        <v>56</v>
      </c>
      <c r="D23" s="77" t="s">
        <v>50</v>
      </c>
      <c r="E23" s="77" t="s">
        <v>11</v>
      </c>
      <c r="F23" s="75" t="s">
        <v>51</v>
      </c>
      <c r="G23" s="2"/>
      <c r="H23" s="59">
        <f>IF($E23="Labour",Assumptions!$B$14,)</f>
        <v>0</v>
      </c>
      <c r="I23" s="9" t="str">
        <f t="shared" si="0"/>
        <v>$</v>
      </c>
      <c r="J23" s="2"/>
      <c r="K23" s="78"/>
      <c r="L23" s="78"/>
      <c r="M23" s="78"/>
      <c r="N23" s="78"/>
      <c r="O23" s="78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6" t="s">
        <v>56</v>
      </c>
      <c r="D24" s="77" t="s">
        <v>50</v>
      </c>
      <c r="E24" s="77" t="s">
        <v>12</v>
      </c>
      <c r="F24" s="75" t="s">
        <v>51</v>
      </c>
      <c r="G24" s="2"/>
      <c r="H24" s="59">
        <f>IF($E24="Labour",Assumptions!$B$14,)</f>
        <v>0</v>
      </c>
      <c r="I24" s="9" t="str">
        <f t="shared" si="0"/>
        <v>$</v>
      </c>
      <c r="J24" s="2"/>
      <c r="K24" s="78">
        <f>125000*36.8/100</f>
        <v>46000</v>
      </c>
      <c r="L24" s="78">
        <f>125000*36.8/100</f>
        <v>46000</v>
      </c>
      <c r="M24" s="78">
        <f>125000*36.8/100</f>
        <v>46000</v>
      </c>
      <c r="N24" s="78">
        <f>125000*36.8/100</f>
        <v>46000</v>
      </c>
      <c r="O24" s="78">
        <f>125000*36.8/100</f>
        <v>46000</v>
      </c>
      <c r="P24" s="2"/>
      <c r="Q24" s="5">
        <f>IF($E24="Labour",$H24*K24,K24)</f>
        <v>46000</v>
      </c>
      <c r="R24" s="5">
        <f>IF($E24="Labour",$H24*L24,L24)</f>
        <v>46000</v>
      </c>
      <c r="S24" s="5">
        <f>IF($E24="Labour",$H24*M24,M24)</f>
        <v>46000</v>
      </c>
      <c r="T24" s="5">
        <f>IF($E24="Labour",$H24*N24,N24)</f>
        <v>46000</v>
      </c>
      <c r="U24" s="5">
        <f>IF($E24="Labour",$H24*O24,O24)</f>
        <v>46000</v>
      </c>
      <c r="Z24"/>
    </row>
    <row r="25" spans="1:26" ht="12.75" customHeight="1" x14ac:dyDescent="0.25">
      <c r="A25" s="4"/>
      <c r="C25" s="76" t="s">
        <v>57</v>
      </c>
      <c r="D25" s="77" t="s">
        <v>50</v>
      </c>
      <c r="E25" s="77" t="s">
        <v>10</v>
      </c>
      <c r="F25" s="75" t="s">
        <v>51</v>
      </c>
      <c r="G25" s="2"/>
      <c r="H25" s="59">
        <f>IF($E25="Labour",Assumptions!$B$14,)</f>
        <v>145.77740895836223</v>
      </c>
      <c r="I25" s="9" t="str">
        <f t="shared" si="0"/>
        <v>Hours</v>
      </c>
      <c r="J25" s="2"/>
      <c r="K25" s="78"/>
      <c r="L25" s="78"/>
      <c r="M25" s="78"/>
      <c r="N25" s="78"/>
      <c r="O25" s="78"/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0</v>
      </c>
      <c r="T25" s="5">
        <f>IF($E25="Labour",$H25*N25,N25)</f>
        <v>0</v>
      </c>
      <c r="U25" s="5">
        <f>IF($E25="Labour",$H25*O25,O25)</f>
        <v>0</v>
      </c>
      <c r="Z25"/>
    </row>
    <row r="26" spans="1:26" ht="12.75" customHeight="1" x14ac:dyDescent="0.25">
      <c r="A26" s="4"/>
      <c r="C26" s="76" t="s">
        <v>57</v>
      </c>
      <c r="D26" s="77" t="s">
        <v>50</v>
      </c>
      <c r="E26" s="77" t="s">
        <v>11</v>
      </c>
      <c r="F26" s="75" t="s">
        <v>51</v>
      </c>
      <c r="G26" s="2"/>
      <c r="H26" s="59">
        <f>IF($E26="Labour",Assumptions!$B$14,)</f>
        <v>0</v>
      </c>
      <c r="I26" s="9" t="str">
        <f t="shared" si="0"/>
        <v>$</v>
      </c>
      <c r="J26" s="2"/>
      <c r="K26" s="78"/>
      <c r="L26" s="78"/>
      <c r="M26" s="78"/>
      <c r="N26" s="78"/>
      <c r="O26" s="78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6" t="s">
        <v>57</v>
      </c>
      <c r="D27" s="77" t="s">
        <v>50</v>
      </c>
      <c r="E27" s="77" t="s">
        <v>12</v>
      </c>
      <c r="F27" s="75" t="s">
        <v>51</v>
      </c>
      <c r="G27" s="2"/>
      <c r="H27" s="59">
        <f>IF($E27="Labour",Assumptions!$B$14,)</f>
        <v>0</v>
      </c>
      <c r="I27" s="9" t="str">
        <f t="shared" si="0"/>
        <v>$</v>
      </c>
      <c r="J27" s="2"/>
      <c r="K27" s="78"/>
      <c r="L27" s="78"/>
      <c r="M27" s="78"/>
      <c r="N27" s="78"/>
      <c r="O27" s="78"/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0</v>
      </c>
      <c r="T27" s="5">
        <f>IF($E27="Labour",$H27*N27,N27)</f>
        <v>0</v>
      </c>
      <c r="U27" s="5">
        <f>IF($E27="Labour",$H27*O27,O27)</f>
        <v>0</v>
      </c>
      <c r="Z27"/>
    </row>
    <row r="28" spans="1:26" ht="12.75" customHeight="1" x14ac:dyDescent="0.25">
      <c r="A28" s="4"/>
      <c r="C28" s="76" t="s">
        <v>58</v>
      </c>
      <c r="D28" s="77" t="s">
        <v>50</v>
      </c>
      <c r="E28" s="77" t="s">
        <v>10</v>
      </c>
      <c r="F28" s="75" t="s">
        <v>51</v>
      </c>
      <c r="G28" s="2"/>
      <c r="H28" s="59">
        <f>IF($E28="Labour",Assumptions!$B$14,)</f>
        <v>145.77740895836223</v>
      </c>
      <c r="I28" s="9" t="str">
        <f t="shared" si="0"/>
        <v>Hours</v>
      </c>
      <c r="J28" s="2"/>
      <c r="K28" s="78"/>
      <c r="L28" s="78"/>
      <c r="M28" s="78"/>
      <c r="N28" s="78"/>
      <c r="O28" s="78"/>
      <c r="P28" s="2"/>
      <c r="Q28" s="5">
        <f>IF($E28="Labour",$H28*K28,K28)</f>
        <v>0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0</v>
      </c>
      <c r="U28" s="5">
        <f>IF($E28="Labour",$H28*O28,O28)</f>
        <v>0</v>
      </c>
      <c r="Z28"/>
    </row>
    <row r="29" spans="1:26" ht="12.75" customHeight="1" x14ac:dyDescent="0.25">
      <c r="A29" s="4"/>
      <c r="C29" s="76" t="s">
        <v>58</v>
      </c>
      <c r="D29" s="77" t="s">
        <v>50</v>
      </c>
      <c r="E29" s="77" t="s">
        <v>11</v>
      </c>
      <c r="F29" s="75" t="s">
        <v>51</v>
      </c>
      <c r="G29" s="2"/>
      <c r="H29" s="59">
        <f>IF($E29="Labour",Assumptions!$B$14,)</f>
        <v>0</v>
      </c>
      <c r="I29" s="9" t="str">
        <f t="shared" si="0"/>
        <v>$</v>
      </c>
      <c r="J29" s="2"/>
      <c r="K29" s="78"/>
      <c r="L29" s="78"/>
      <c r="M29" s="78"/>
      <c r="N29" s="78"/>
      <c r="O29" s="78"/>
      <c r="P29" s="2"/>
      <c r="Q29" s="5">
        <f>IF($E29="Labour",$H29*K29,K29)</f>
        <v>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0</v>
      </c>
      <c r="U29" s="5">
        <f>IF($E29="Labour",$H29*O29,O29)</f>
        <v>0</v>
      </c>
      <c r="Z29"/>
    </row>
    <row r="30" spans="1:26" ht="12.75" customHeight="1" x14ac:dyDescent="0.25">
      <c r="A30" s="4"/>
      <c r="C30" s="76" t="s">
        <v>58</v>
      </c>
      <c r="D30" s="77" t="s">
        <v>50</v>
      </c>
      <c r="E30" s="77" t="s">
        <v>12</v>
      </c>
      <c r="F30" s="75" t="s">
        <v>51</v>
      </c>
      <c r="G30" s="2"/>
      <c r="H30" s="59">
        <f>IF($E30="Labour",Assumptions!$B$14,)</f>
        <v>0</v>
      </c>
      <c r="I30" s="9" t="str">
        <f t="shared" si="0"/>
        <v>$</v>
      </c>
      <c r="J30" s="2"/>
      <c r="K30" s="78"/>
      <c r="L30" s="78"/>
      <c r="M30" s="78"/>
      <c r="N30" s="78"/>
      <c r="O30" s="78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6" t="s">
        <v>59</v>
      </c>
      <c r="D31" s="77" t="s">
        <v>50</v>
      </c>
      <c r="E31" s="77" t="s">
        <v>10</v>
      </c>
      <c r="F31" s="75" t="s">
        <v>51</v>
      </c>
      <c r="G31" s="2"/>
      <c r="H31" s="59">
        <f>IF($E31="Labour",Assumptions!$B$14,)</f>
        <v>145.77740895836223</v>
      </c>
      <c r="I31" s="9" t="str">
        <f t="shared" si="0"/>
        <v>Hours</v>
      </c>
      <c r="J31" s="2"/>
      <c r="K31" s="78"/>
      <c r="L31" s="78"/>
      <c r="M31" s="78"/>
      <c r="N31" s="78"/>
      <c r="O31" s="78"/>
      <c r="P31" s="2"/>
      <c r="Q31" s="5">
        <f>IF($E31="Labour",$H31*K31,K31)</f>
        <v>0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0</v>
      </c>
      <c r="U31" s="5">
        <f>IF($E31="Labour",$H31*O31,O31)</f>
        <v>0</v>
      </c>
      <c r="Z31"/>
    </row>
    <row r="32" spans="1:26" ht="12.75" customHeight="1" x14ac:dyDescent="0.25">
      <c r="A32" s="4"/>
      <c r="C32" s="76" t="s">
        <v>59</v>
      </c>
      <c r="D32" s="77" t="s">
        <v>50</v>
      </c>
      <c r="E32" s="77" t="s">
        <v>11</v>
      </c>
      <c r="F32" s="75" t="s">
        <v>51</v>
      </c>
      <c r="G32" s="2"/>
      <c r="H32" s="59">
        <f>IF($E32="Labour",Assumptions!$B$14,)</f>
        <v>0</v>
      </c>
      <c r="I32" s="9" t="str">
        <f t="shared" si="0"/>
        <v>$</v>
      </c>
      <c r="J32" s="2"/>
      <c r="K32" s="78"/>
      <c r="L32" s="78"/>
      <c r="M32" s="78"/>
      <c r="N32" s="78"/>
      <c r="O32" s="78"/>
      <c r="P32" s="2"/>
      <c r="Q32" s="5">
        <f>IF($E32="Labour",$H32*K32,K32)</f>
        <v>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0</v>
      </c>
      <c r="U32" s="5">
        <f>IF($E32="Labour",$H32*O32,O32)</f>
        <v>0</v>
      </c>
      <c r="Z32"/>
    </row>
    <row r="33" spans="1:26" ht="12.75" customHeight="1" x14ac:dyDescent="0.25">
      <c r="A33" s="4"/>
      <c r="C33" s="76" t="s">
        <v>59</v>
      </c>
      <c r="D33" s="77" t="s">
        <v>50</v>
      </c>
      <c r="E33" s="77" t="s">
        <v>12</v>
      </c>
      <c r="F33" s="75" t="s">
        <v>51</v>
      </c>
      <c r="G33" s="2"/>
      <c r="H33" s="59">
        <f>IF($E33="Labour",Assumptions!$B$14,)</f>
        <v>0</v>
      </c>
      <c r="I33" s="9" t="str">
        <f t="shared" si="0"/>
        <v>$</v>
      </c>
      <c r="J33" s="2"/>
      <c r="K33" s="78"/>
      <c r="L33" s="78"/>
      <c r="M33" s="78"/>
      <c r="N33" s="78"/>
      <c r="O33" s="78"/>
      <c r="P33" s="2"/>
      <c r="Q33" s="5">
        <f>IF($E33="Labour",$H33*K33,K33)</f>
        <v>0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0</v>
      </c>
      <c r="U33" s="5">
        <f>IF($E33="Labour",$H33*O33,O33)</f>
        <v>0</v>
      </c>
      <c r="Z33"/>
    </row>
    <row r="34" spans="1:26" ht="12.75" customHeight="1" x14ac:dyDescent="0.25">
      <c r="A34" s="4"/>
      <c r="C34" s="76" t="s">
        <v>60</v>
      </c>
      <c r="D34" s="77" t="s">
        <v>50</v>
      </c>
      <c r="E34" s="77" t="s">
        <v>10</v>
      </c>
      <c r="F34" s="75" t="s">
        <v>51</v>
      </c>
      <c r="G34" s="2"/>
      <c r="H34" s="59">
        <f>IF($E34="Labour",Assumptions!$B$14,)</f>
        <v>145.77740895836223</v>
      </c>
      <c r="I34" s="9" t="str">
        <f t="shared" si="0"/>
        <v>Hours</v>
      </c>
      <c r="J34" s="2"/>
      <c r="K34" s="78"/>
      <c r="L34" s="78"/>
      <c r="M34" s="78"/>
      <c r="N34" s="78"/>
      <c r="O34" s="78"/>
      <c r="P34" s="2"/>
      <c r="Q34" s="5">
        <f>IF($E34="Labour",$H34*K34,K34)</f>
        <v>0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0</v>
      </c>
      <c r="Z34"/>
    </row>
    <row r="35" spans="1:26" ht="12.75" customHeight="1" x14ac:dyDescent="0.25">
      <c r="A35" s="4"/>
      <c r="C35" s="76" t="s">
        <v>60</v>
      </c>
      <c r="D35" s="77" t="s">
        <v>50</v>
      </c>
      <c r="E35" s="77" t="s">
        <v>11</v>
      </c>
      <c r="F35" s="75" t="s">
        <v>51</v>
      </c>
      <c r="G35" s="2"/>
      <c r="H35" s="59">
        <f>IF($E35="Labour",Assumptions!$B$14,)</f>
        <v>0</v>
      </c>
      <c r="I35" s="9" t="str">
        <f t="shared" si="0"/>
        <v>$</v>
      </c>
      <c r="J35" s="2"/>
      <c r="K35" s="78"/>
      <c r="L35" s="78"/>
      <c r="M35" s="78"/>
      <c r="N35" s="78"/>
      <c r="O35" s="78"/>
      <c r="P35" s="2"/>
      <c r="Q35" s="5">
        <f>IF($E35="Labour",$H35*K35,K35)</f>
        <v>0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>
        <f>IF($E35="Labour",$H35*O35,O35)</f>
        <v>0</v>
      </c>
      <c r="Z35"/>
    </row>
    <row r="36" spans="1:26" ht="12.75" customHeight="1" x14ac:dyDescent="0.25">
      <c r="A36" s="4"/>
      <c r="C36" s="76" t="s">
        <v>60</v>
      </c>
      <c r="D36" s="77" t="s">
        <v>50</v>
      </c>
      <c r="E36" s="77" t="s">
        <v>12</v>
      </c>
      <c r="F36" s="75" t="s">
        <v>51</v>
      </c>
      <c r="G36" s="2"/>
      <c r="H36" s="59">
        <f>IF($E36="Labour",Assumptions!$B$14,)</f>
        <v>0</v>
      </c>
      <c r="I36" s="9" t="str">
        <f t="shared" si="0"/>
        <v>$</v>
      </c>
      <c r="J36" s="2"/>
      <c r="K36" s="78"/>
      <c r="L36" s="78"/>
      <c r="M36" s="78"/>
      <c r="N36" s="78"/>
      <c r="O36" s="78"/>
      <c r="P36" s="2"/>
      <c r="Q36" s="5">
        <f>IF($E36="Labour",$H36*K36,K36)</f>
        <v>0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0</v>
      </c>
      <c r="Z36"/>
    </row>
    <row r="37" spans="1:26" ht="12.75" customHeight="1" x14ac:dyDescent="0.25">
      <c r="A37" s="4"/>
      <c r="C37" s="76" t="s">
        <v>61</v>
      </c>
      <c r="D37" s="77" t="s">
        <v>50</v>
      </c>
      <c r="E37" s="77" t="s">
        <v>10</v>
      </c>
      <c r="F37" s="75" t="s">
        <v>51</v>
      </c>
      <c r="G37" s="2"/>
      <c r="H37" s="59">
        <f>IF($E37="Labour",Assumptions!$B$14,)</f>
        <v>145.77740895836223</v>
      </c>
      <c r="I37" s="9" t="str">
        <f t="shared" si="0"/>
        <v>Hours</v>
      </c>
      <c r="J37" s="2"/>
      <c r="K37" s="78">
        <f>2500*0/100</f>
        <v>0</v>
      </c>
      <c r="L37" s="78">
        <f>2500*0/100</f>
        <v>0</v>
      </c>
      <c r="M37" s="78">
        <f>2500*0/100</f>
        <v>0</v>
      </c>
      <c r="N37" s="78">
        <f>2500*0/100</f>
        <v>0</v>
      </c>
      <c r="O37" s="78">
        <f>2500*0/100</f>
        <v>0</v>
      </c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6" t="s">
        <v>61</v>
      </c>
      <c r="D38" s="77" t="s">
        <v>50</v>
      </c>
      <c r="E38" s="77" t="s">
        <v>11</v>
      </c>
      <c r="F38" s="75" t="s">
        <v>51</v>
      </c>
      <c r="G38" s="2"/>
      <c r="H38" s="59">
        <f>IF($E38="Labour",Assumptions!$B$14,)</f>
        <v>0</v>
      </c>
      <c r="I38" s="9" t="str">
        <f t="shared" si="0"/>
        <v>$</v>
      </c>
      <c r="J38" s="2"/>
      <c r="K38" s="78"/>
      <c r="L38" s="78"/>
      <c r="M38" s="78"/>
      <c r="N38" s="78"/>
      <c r="O38" s="78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6" t="s">
        <v>61</v>
      </c>
      <c r="D39" s="77" t="s">
        <v>50</v>
      </c>
      <c r="E39" s="77" t="s">
        <v>12</v>
      </c>
      <c r="F39" s="75" t="s">
        <v>51</v>
      </c>
      <c r="G39" s="2"/>
      <c r="H39" s="59">
        <f>IF($E39="Labour",Assumptions!$B$14,)</f>
        <v>0</v>
      </c>
      <c r="I39" s="9" t="str">
        <f t="shared" si="0"/>
        <v>$</v>
      </c>
      <c r="J39" s="2"/>
      <c r="K39" s="78">
        <f>630000*0/100</f>
        <v>0</v>
      </c>
      <c r="L39" s="78">
        <f>630000*0/100</f>
        <v>0</v>
      </c>
      <c r="M39" s="78">
        <f>630000*0/100</f>
        <v>0</v>
      </c>
      <c r="N39" s="78">
        <f>630000*0/100</f>
        <v>0</v>
      </c>
      <c r="O39" s="78">
        <f>630000*0/100</f>
        <v>0</v>
      </c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5">
      <c r="A40" s="4"/>
      <c r="C40" s="76" t="s">
        <v>62</v>
      </c>
      <c r="D40" s="77" t="s">
        <v>50</v>
      </c>
      <c r="E40" s="77" t="s">
        <v>10</v>
      </c>
      <c r="F40" s="75" t="s">
        <v>51</v>
      </c>
      <c r="G40" s="2"/>
      <c r="H40" s="59">
        <f>IF($E40="Labour",Assumptions!$B$14,)</f>
        <v>145.77740895836223</v>
      </c>
      <c r="I40" s="9" t="str">
        <f t="shared" si="0"/>
        <v>Hours</v>
      </c>
      <c r="J40" s="2"/>
      <c r="K40" s="78">
        <f>550*36.8/100</f>
        <v>202.4</v>
      </c>
      <c r="L40" s="78">
        <f>550*36.8/100</f>
        <v>202.4</v>
      </c>
      <c r="M40" s="78">
        <f>550*36.8/100</f>
        <v>202.4</v>
      </c>
      <c r="N40" s="78">
        <f>550*36.8/100</f>
        <v>202.4</v>
      </c>
      <c r="O40" s="78">
        <f>550*36.8/100</f>
        <v>202.4</v>
      </c>
      <c r="P40" s="2"/>
      <c r="Q40" s="5">
        <f>IF($E40="Labour",$H40*K40,K40)</f>
        <v>29505.347573172516</v>
      </c>
      <c r="R40" s="5">
        <f>IF($E40="Labour",$H40*L40,L40)</f>
        <v>29505.347573172516</v>
      </c>
      <c r="S40" s="5">
        <f>IF($E40="Labour",$H40*M40,M40)</f>
        <v>29505.347573172516</v>
      </c>
      <c r="T40" s="5">
        <f>IF($E40="Labour",$H40*N40,N40)</f>
        <v>29505.347573172516</v>
      </c>
      <c r="U40" s="5">
        <f>IF($E40="Labour",$H40*O40,O40)</f>
        <v>29505.347573172516</v>
      </c>
      <c r="Z40"/>
    </row>
    <row r="41" spans="1:26" ht="12.75" customHeight="1" x14ac:dyDescent="0.25">
      <c r="A41" s="4"/>
      <c r="C41" s="76" t="s">
        <v>62</v>
      </c>
      <c r="D41" s="77" t="s">
        <v>50</v>
      </c>
      <c r="E41" s="77" t="s">
        <v>11</v>
      </c>
      <c r="F41" s="75" t="s">
        <v>51</v>
      </c>
      <c r="G41" s="2"/>
      <c r="H41" s="59">
        <f>IF($E41="Labour",Assumptions!$B$14,)</f>
        <v>0</v>
      </c>
      <c r="I41" s="9" t="str">
        <f t="shared" si="0"/>
        <v>$</v>
      </c>
      <c r="J41" s="2"/>
      <c r="K41" s="78"/>
      <c r="L41" s="78"/>
      <c r="M41" s="78"/>
      <c r="N41" s="78"/>
      <c r="O41" s="78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76" t="s">
        <v>62</v>
      </c>
      <c r="D42" s="77" t="s">
        <v>50</v>
      </c>
      <c r="E42" s="77" t="s">
        <v>12</v>
      </c>
      <c r="F42" s="75" t="s">
        <v>51</v>
      </c>
      <c r="G42" s="2"/>
      <c r="H42" s="59">
        <f>IF($E42="Labour",Assumptions!$B$14,)</f>
        <v>0</v>
      </c>
      <c r="I42" s="9" t="str">
        <f t="shared" si="0"/>
        <v>$</v>
      </c>
      <c r="J42" s="2"/>
      <c r="K42" s="78">
        <f>20000*36.8/100</f>
        <v>7360</v>
      </c>
      <c r="L42" s="78">
        <f>20000*36.8/100</f>
        <v>7360</v>
      </c>
      <c r="M42" s="78">
        <f>20000*36.8/100</f>
        <v>7360</v>
      </c>
      <c r="N42" s="78">
        <f>20000*36.8/100</f>
        <v>7360</v>
      </c>
      <c r="O42" s="78">
        <f>20000*36.8/100</f>
        <v>7360</v>
      </c>
      <c r="P42" s="2"/>
      <c r="Q42" s="5">
        <f>IF($E42="Labour",$H42*K42,K42)</f>
        <v>7360</v>
      </c>
      <c r="R42" s="5">
        <f>IF($E42="Labour",$H42*L42,L42)</f>
        <v>7360</v>
      </c>
      <c r="S42" s="5">
        <f>IF($E42="Labour",$H42*M42,M42)</f>
        <v>7360</v>
      </c>
      <c r="T42" s="5">
        <f>IF($E42="Labour",$H42*N42,N42)</f>
        <v>7360</v>
      </c>
      <c r="U42" s="5">
        <f>IF($E42="Labour",$H42*O42,O42)</f>
        <v>7360</v>
      </c>
      <c r="Z42"/>
    </row>
    <row r="43" spans="1:26" ht="12.75" customHeight="1" x14ac:dyDescent="0.25">
      <c r="A43" s="4"/>
      <c r="C43" s="76" t="s">
        <v>63</v>
      </c>
      <c r="D43" s="77" t="s">
        <v>46</v>
      </c>
      <c r="E43" s="77" t="s">
        <v>10</v>
      </c>
      <c r="F43" s="75" t="s">
        <v>51</v>
      </c>
      <c r="G43" s="2"/>
      <c r="H43" s="59">
        <f>IF($E43="Labour",Assumptions!$B$14,)</f>
        <v>145.77740895836223</v>
      </c>
      <c r="I43" s="9" t="str">
        <f t="shared" si="0"/>
        <v>Hours</v>
      </c>
      <c r="J43" s="2"/>
      <c r="K43" s="78"/>
      <c r="L43" s="78"/>
      <c r="M43" s="78"/>
      <c r="N43" s="78"/>
      <c r="O43" s="78"/>
      <c r="P43" s="2"/>
      <c r="Q43" s="5">
        <f>IF($E43="Labour",$H43*K43,K43)</f>
        <v>0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  <c r="Z43"/>
    </row>
    <row r="44" spans="1:26" ht="12.75" customHeight="1" x14ac:dyDescent="0.25">
      <c r="A44" s="4"/>
      <c r="C44" s="76" t="s">
        <v>64</v>
      </c>
      <c r="D44" s="77" t="s">
        <v>50</v>
      </c>
      <c r="E44" s="77" t="s">
        <v>10</v>
      </c>
      <c r="F44" s="75" t="s">
        <v>51</v>
      </c>
      <c r="G44" s="2"/>
      <c r="H44" s="59">
        <f>IF($E44="Labour",Assumptions!$B$14,)</f>
        <v>145.77740895836223</v>
      </c>
      <c r="I44" s="9" t="str">
        <f t="shared" si="0"/>
        <v>Hours</v>
      </c>
      <c r="J44" s="2"/>
      <c r="K44" s="78"/>
      <c r="L44" s="78"/>
      <c r="M44" s="78">
        <v>736</v>
      </c>
      <c r="N44" s="78"/>
      <c r="O44" s="78"/>
      <c r="P44" s="2"/>
      <c r="Q44" s="5">
        <f>IF($E44="Labour",$H44*K44,K44)</f>
        <v>0</v>
      </c>
      <c r="R44" s="5">
        <f>IF($E44="Labour",$H44*L44,L44)</f>
        <v>0</v>
      </c>
      <c r="S44" s="5">
        <f>IF($E44="Labour",$H44*M44,M44)</f>
        <v>107292.1729933546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76" t="s">
        <v>65</v>
      </c>
      <c r="D45" s="77" t="s">
        <v>50</v>
      </c>
      <c r="E45" s="77" t="s">
        <v>11</v>
      </c>
      <c r="F45" s="75" t="s">
        <v>51</v>
      </c>
      <c r="G45" s="2"/>
      <c r="H45" s="59">
        <f>IF($E45="Labour",Assumptions!$B$14,)</f>
        <v>0</v>
      </c>
      <c r="I45" s="9" t="str">
        <f t="shared" si="0"/>
        <v>$</v>
      </c>
      <c r="J45" s="2"/>
      <c r="K45" s="78"/>
      <c r="L45" s="78"/>
      <c r="M45" s="78"/>
      <c r="N45" s="78"/>
      <c r="O45" s="78"/>
      <c r="P45" s="2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76" t="s">
        <v>66</v>
      </c>
      <c r="D46" s="77" t="s">
        <v>50</v>
      </c>
      <c r="E46" s="77" t="s">
        <v>11</v>
      </c>
      <c r="F46" s="75" t="s">
        <v>51</v>
      </c>
      <c r="G46" s="2"/>
      <c r="H46" s="59">
        <f>IF($E46="Labour",Assumptions!$B$14,)</f>
        <v>0</v>
      </c>
      <c r="I46" s="9" t="str">
        <f t="shared" si="0"/>
        <v>$</v>
      </c>
      <c r="J46" s="2"/>
      <c r="K46" s="78">
        <f>3600*50*36.8%</f>
        <v>66240</v>
      </c>
      <c r="L46" s="78">
        <f>3900*50*36.8%</f>
        <v>71760</v>
      </c>
      <c r="M46" s="78">
        <f>4200*50*36.8%</f>
        <v>77280</v>
      </c>
      <c r="N46" s="78">
        <f>4500*50*36.8%</f>
        <v>82800</v>
      </c>
      <c r="O46" s="78">
        <f>4800*50*36.8%</f>
        <v>88320</v>
      </c>
      <c r="P46" s="2"/>
      <c r="Q46" s="5">
        <f>IF($E46="Labour",$H46*K46,K46)</f>
        <v>66240</v>
      </c>
      <c r="R46" s="5">
        <f>IF($E46="Labour",$H46*L46,L46)</f>
        <v>71760</v>
      </c>
      <c r="S46" s="5">
        <f>IF($E46="Labour",$H46*M46,M46)</f>
        <v>77280</v>
      </c>
      <c r="T46" s="5">
        <f>IF($E46="Labour",$H46*N46,N46)</f>
        <v>82800</v>
      </c>
      <c r="U46" s="5">
        <f>IF($E46="Labour",$H46*O46,O46)</f>
        <v>88320</v>
      </c>
      <c r="Z46"/>
    </row>
    <row r="47" spans="1:26" ht="12.75" customHeight="1" x14ac:dyDescent="0.25">
      <c r="A47" s="4"/>
      <c r="C47" s="76" t="s">
        <v>67</v>
      </c>
      <c r="D47" s="77" t="s">
        <v>50</v>
      </c>
      <c r="E47" s="77" t="s">
        <v>10</v>
      </c>
      <c r="F47" s="75" t="s">
        <v>51</v>
      </c>
      <c r="G47" s="2"/>
      <c r="H47" s="59">
        <f>IF($E47="Labour",Assumptions!$B$14,)</f>
        <v>145.77740895836223</v>
      </c>
      <c r="I47" s="9" t="str">
        <f t="shared" si="0"/>
        <v>Hours</v>
      </c>
      <c r="J47" s="2"/>
      <c r="K47" s="78">
        <f>28.8*8*36.8%</f>
        <v>84.787199999999999</v>
      </c>
      <c r="L47" s="78">
        <f>28.8*8*36.8%</f>
        <v>84.787199999999999</v>
      </c>
      <c r="M47" s="78">
        <f>28.8*8*36.8%</f>
        <v>84.787199999999999</v>
      </c>
      <c r="N47" s="78">
        <f>28.8*8*36.8%</f>
        <v>84.787199999999999</v>
      </c>
      <c r="O47" s="78">
        <f>28.8*8*36.8%</f>
        <v>84.787199999999999</v>
      </c>
      <c r="P47" s="2"/>
      <c r="Q47" s="5">
        <f>IF($E47="Labour",$H47*K47,K47)</f>
        <v>12360.05832883445</v>
      </c>
      <c r="R47" s="5">
        <f>IF($E47="Labour",$H47*L47,L47)</f>
        <v>12360.05832883445</v>
      </c>
      <c r="S47" s="5">
        <f>IF($E47="Labour",$H47*M47,M47)</f>
        <v>12360.05832883445</v>
      </c>
      <c r="T47" s="5">
        <f>IF($E47="Labour",$H47*N47,N47)</f>
        <v>12360.05832883445</v>
      </c>
      <c r="U47" s="5">
        <f>IF($E47="Labour",$H47*O47,O47)</f>
        <v>12360.05832883445</v>
      </c>
      <c r="Z47"/>
    </row>
    <row r="48" spans="1:26" ht="12.75" customHeight="1" x14ac:dyDescent="0.25">
      <c r="A48" s="4"/>
      <c r="C48" s="76" t="s">
        <v>68</v>
      </c>
      <c r="D48" s="77" t="s">
        <v>46</v>
      </c>
      <c r="E48" s="77" t="s">
        <v>12</v>
      </c>
      <c r="F48" s="75" t="s">
        <v>51</v>
      </c>
      <c r="G48" s="2"/>
      <c r="H48" s="59">
        <f>IF($E48="Labour",Assumptions!$B$14,)</f>
        <v>0</v>
      </c>
      <c r="I48" s="9" t="str">
        <f t="shared" si="0"/>
        <v>$</v>
      </c>
      <c r="J48" s="2"/>
      <c r="K48" s="78">
        <v>0</v>
      </c>
      <c r="L48" s="78">
        <v>0</v>
      </c>
      <c r="M48" s="78">
        <v>0</v>
      </c>
      <c r="N48" s="78">
        <v>0</v>
      </c>
      <c r="O48" s="78">
        <v>0</v>
      </c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0</v>
      </c>
      <c r="U48" s="5">
        <f>IF($E48="Labour",$H48*O48,O48)</f>
        <v>0</v>
      </c>
      <c r="Z48"/>
    </row>
    <row r="49" spans="1:26" ht="12.75" customHeight="1" x14ac:dyDescent="0.25">
      <c r="A49" s="4"/>
      <c r="C49" s="76" t="s">
        <v>69</v>
      </c>
      <c r="D49" s="77" t="s">
        <v>46</v>
      </c>
      <c r="E49" s="77" t="s">
        <v>12</v>
      </c>
      <c r="F49" s="75" t="s">
        <v>51</v>
      </c>
      <c r="G49" s="2"/>
      <c r="H49" s="59">
        <f>IF($E49="Labour",Assumptions!$B$14,)</f>
        <v>0</v>
      </c>
      <c r="I49" s="9" t="str">
        <f t="shared" si="0"/>
        <v>$</v>
      </c>
      <c r="J49" s="2"/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0</v>
      </c>
      <c r="U49" s="5">
        <f>IF($E49="Labour",$H49*O49,O49)</f>
        <v>0</v>
      </c>
      <c r="Z49"/>
    </row>
    <row r="50" spans="1:26" ht="12.75" customHeight="1" x14ac:dyDescent="0.25">
      <c r="A50" s="4"/>
      <c r="C50" s="76" t="s">
        <v>70</v>
      </c>
      <c r="D50" s="77" t="s">
        <v>46</v>
      </c>
      <c r="E50" s="77" t="s">
        <v>12</v>
      </c>
      <c r="F50" s="75" t="s">
        <v>51</v>
      </c>
      <c r="G50" s="2"/>
      <c r="H50" s="59">
        <f>IF($E50="Labour",Assumptions!$B$14,)</f>
        <v>0</v>
      </c>
      <c r="I50" s="9" t="str">
        <f t="shared" si="0"/>
        <v>$</v>
      </c>
      <c r="J50" s="2"/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2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0</v>
      </c>
      <c r="U50" s="5">
        <f>IF($E50="Labour",$H50*O50,O50)</f>
        <v>0</v>
      </c>
      <c r="Z50"/>
    </row>
    <row r="51" spans="1:26" ht="12.75" customHeight="1" x14ac:dyDescent="0.25">
      <c r="A51" s="4"/>
      <c r="C51" s="76" t="s">
        <v>71</v>
      </c>
      <c r="D51" s="77" t="s">
        <v>50</v>
      </c>
      <c r="E51" s="77" t="s">
        <v>12</v>
      </c>
      <c r="F51" s="75" t="s">
        <v>51</v>
      </c>
      <c r="G51" s="2"/>
      <c r="H51" s="59">
        <f>IF($E51="Labour",Assumptions!$B$14,)</f>
        <v>0</v>
      </c>
      <c r="I51" s="9" t="str">
        <f t="shared" si="0"/>
        <v>$</v>
      </c>
      <c r="J51" s="2"/>
      <c r="K51" s="78">
        <f>150530/2</f>
        <v>75265</v>
      </c>
      <c r="L51" s="78">
        <f t="shared" ref="L51:O51" si="1">150530/2</f>
        <v>75265</v>
      </c>
      <c r="M51" s="78">
        <f t="shared" si="1"/>
        <v>75265</v>
      </c>
      <c r="N51" s="78">
        <f t="shared" si="1"/>
        <v>75265</v>
      </c>
      <c r="O51" s="78">
        <f t="shared" si="1"/>
        <v>75265</v>
      </c>
      <c r="P51" s="2"/>
      <c r="Q51" s="5">
        <f>IF($E51="Labour",$H51*K51,K51)</f>
        <v>75265</v>
      </c>
      <c r="R51" s="5">
        <f>IF($E51="Labour",$H51*L51,L51)</f>
        <v>75265</v>
      </c>
      <c r="S51" s="5">
        <f>IF($E51="Labour",$H51*M51,M51)</f>
        <v>75265</v>
      </c>
      <c r="T51" s="5">
        <f>IF($E51="Labour",$H51*N51,N51)</f>
        <v>75265</v>
      </c>
      <c r="U51" s="5">
        <f>IF($E51="Labour",$H51*O51,O51)</f>
        <v>75265</v>
      </c>
      <c r="Z51"/>
    </row>
    <row r="52" spans="1:26" ht="12.75" customHeight="1" x14ac:dyDescent="0.25">
      <c r="A52" s="4"/>
      <c r="C52" s="76" t="s">
        <v>72</v>
      </c>
      <c r="D52" s="77" t="s">
        <v>46</v>
      </c>
      <c r="E52" s="77" t="s">
        <v>12</v>
      </c>
      <c r="F52" s="75" t="s">
        <v>51</v>
      </c>
      <c r="G52" s="2"/>
      <c r="H52" s="59">
        <f>IF($E52="Labour",Assumptions!$B$14,)</f>
        <v>0</v>
      </c>
      <c r="I52" s="9" t="str">
        <f t="shared" si="0"/>
        <v>$</v>
      </c>
      <c r="J52" s="2"/>
      <c r="K52" s="78">
        <v>0</v>
      </c>
      <c r="L52" s="78">
        <v>75000</v>
      </c>
      <c r="M52" s="78">
        <v>75000</v>
      </c>
      <c r="N52" s="78">
        <v>75000</v>
      </c>
      <c r="O52" s="78">
        <v>75000</v>
      </c>
      <c r="P52" s="2"/>
      <c r="Q52" s="5">
        <f>IF($E52="Labour",$H52*K52,K52)</f>
        <v>0</v>
      </c>
      <c r="R52" s="5">
        <f>IF($E52="Labour",$H52*L52,L52)</f>
        <v>75000</v>
      </c>
      <c r="S52" s="5">
        <f>IF($E52="Labour",$H52*M52,M52)</f>
        <v>75000</v>
      </c>
      <c r="T52" s="5">
        <f>IF($E52="Labour",$H52*N52,N52)</f>
        <v>75000</v>
      </c>
      <c r="U52" s="5">
        <f>IF($E52="Labour",$H52*O52,O52)</f>
        <v>75000</v>
      </c>
      <c r="Z52"/>
    </row>
    <row r="53" spans="1:26" ht="12.75" customHeight="1" x14ac:dyDescent="0.25">
      <c r="A53" s="4"/>
      <c r="C53" s="76" t="s">
        <v>73</v>
      </c>
      <c r="D53" s="77" t="s">
        <v>46</v>
      </c>
      <c r="E53" s="77" t="s">
        <v>12</v>
      </c>
      <c r="F53" s="75" t="s">
        <v>51</v>
      </c>
      <c r="G53" s="2"/>
      <c r="H53" s="59">
        <f>IF($E53="Labour",Assumptions!$B$14,)</f>
        <v>0</v>
      </c>
      <c r="I53" s="9" t="str">
        <f t="shared" si="0"/>
        <v>$</v>
      </c>
      <c r="J53" s="2"/>
      <c r="K53" s="78"/>
      <c r="L53" s="78">
        <v>15000</v>
      </c>
      <c r="M53" s="78">
        <v>15000</v>
      </c>
      <c r="N53" s="78">
        <v>15000</v>
      </c>
      <c r="O53" s="78">
        <v>15000</v>
      </c>
      <c r="P53" s="2"/>
      <c r="Q53" s="5">
        <f>IF($E53="Labour",$H53*K53,K53)</f>
        <v>0</v>
      </c>
      <c r="R53" s="5">
        <f>IF($E53="Labour",$H53*L53,L53)</f>
        <v>15000</v>
      </c>
      <c r="S53" s="5">
        <f>IF($E53="Labour",$H53*M53,M53)</f>
        <v>15000</v>
      </c>
      <c r="T53" s="5">
        <f>IF($E53="Labour",$H53*N53,N53)</f>
        <v>15000</v>
      </c>
      <c r="U53" s="5">
        <f>IF($E53="Labour",$H53*O53,O53)</f>
        <v>15000</v>
      </c>
      <c r="Z53"/>
    </row>
    <row r="54" spans="1:26" ht="12.75" customHeight="1" x14ac:dyDescent="0.25">
      <c r="A54" s="4"/>
      <c r="C54" s="76" t="s">
        <v>74</v>
      </c>
      <c r="D54" s="77" t="s">
        <v>50</v>
      </c>
      <c r="E54" s="77" t="s">
        <v>10</v>
      </c>
      <c r="F54" s="75" t="s">
        <v>51</v>
      </c>
      <c r="G54" s="2"/>
      <c r="H54" s="59">
        <f>IF($E54="Labour",Assumptions!$B$14,)</f>
        <v>145.77740895836223</v>
      </c>
      <c r="I54" s="9" t="str">
        <f t="shared" si="0"/>
        <v>Hours</v>
      </c>
      <c r="J54" s="2"/>
      <c r="K54" s="78">
        <v>480</v>
      </c>
      <c r="L54" s="78">
        <v>480</v>
      </c>
      <c r="M54" s="78">
        <v>480</v>
      </c>
      <c r="N54" s="78">
        <v>480</v>
      </c>
      <c r="O54" s="78">
        <v>480</v>
      </c>
      <c r="P54" s="2"/>
      <c r="Q54" s="5">
        <f>IF($E54="Labour",$H54*K54,K54)</f>
        <v>69973.15630001387</v>
      </c>
      <c r="R54" s="5">
        <f>IF($E54="Labour",$H54*L54,L54)</f>
        <v>69973.15630001387</v>
      </c>
      <c r="S54" s="5">
        <f>IF($E54="Labour",$H54*M54,M54)</f>
        <v>69973.15630001387</v>
      </c>
      <c r="T54" s="5">
        <f>IF($E54="Labour",$H54*N54,N54)</f>
        <v>69973.15630001387</v>
      </c>
      <c r="U54" s="5">
        <f>IF($E54="Labour",$H54*O54,O54)</f>
        <v>69973.15630001387</v>
      </c>
      <c r="Z54"/>
    </row>
    <row r="55" spans="1:26" ht="12.75" customHeight="1" x14ac:dyDescent="0.25">
      <c r="A55" s="4"/>
      <c r="C55" s="76"/>
      <c r="D55" s="77"/>
      <c r="E55" s="77"/>
      <c r="F55" s="75"/>
      <c r="G55" s="2"/>
      <c r="H55" s="59">
        <f>IF($E55="Labour",Assumptions!$B$14,)</f>
        <v>0</v>
      </c>
      <c r="I55" s="9" t="str">
        <f t="shared" si="0"/>
        <v>$</v>
      </c>
      <c r="J55" s="2"/>
      <c r="K55" s="78"/>
      <c r="L55" s="78"/>
      <c r="M55" s="78"/>
      <c r="N55" s="78"/>
      <c r="O55" s="78"/>
      <c r="P55" s="2"/>
      <c r="Q55" s="5">
        <f>IF($E55="Labour",$H55*K55,K55)</f>
        <v>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  <c r="Z55"/>
    </row>
    <row r="56" spans="1:26" ht="12.75" customHeight="1" x14ac:dyDescent="0.25">
      <c r="A56" s="4"/>
      <c r="C56" s="76"/>
      <c r="D56" s="77"/>
      <c r="E56" s="77"/>
      <c r="F56" s="75"/>
      <c r="G56" s="2"/>
      <c r="H56" s="59">
        <f>IF($E56="Labour",Assumptions!$B$14,)</f>
        <v>0</v>
      </c>
      <c r="I56" s="9" t="str">
        <f t="shared" si="0"/>
        <v>$</v>
      </c>
      <c r="J56" s="2"/>
      <c r="K56" s="78"/>
      <c r="L56" s="78"/>
      <c r="M56" s="78"/>
      <c r="N56" s="78"/>
      <c r="O56" s="78"/>
      <c r="P56" s="2"/>
      <c r="Q56" s="5">
        <f>IF($E56="Labour",$H56*K56,K56)</f>
        <v>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  <c r="Z56"/>
    </row>
    <row r="57" spans="1:26" ht="12.75" customHeight="1" x14ac:dyDescent="0.25">
      <c r="A57" s="4"/>
      <c r="C57" s="76"/>
      <c r="D57" s="77"/>
      <c r="E57" s="77"/>
      <c r="F57" s="75"/>
      <c r="G57" s="2"/>
      <c r="H57" s="59">
        <f>IF($E57="Labour",Assumptions!$B$14,)</f>
        <v>0</v>
      </c>
      <c r="I57" s="9" t="str">
        <f t="shared" si="0"/>
        <v>$</v>
      </c>
      <c r="J57" s="2"/>
      <c r="K57" s="78"/>
      <c r="L57" s="78"/>
      <c r="M57" s="78"/>
      <c r="N57" s="78"/>
      <c r="O57" s="78"/>
      <c r="P57" s="2"/>
      <c r="Q57" s="5">
        <f>IF($E57="Labour",$H57*K57,K57)</f>
        <v>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  <c r="Z57"/>
    </row>
    <row r="58" spans="1:26" ht="12.75" customHeight="1" x14ac:dyDescent="0.25">
      <c r="A58" s="4"/>
      <c r="C58" s="76"/>
      <c r="D58" s="77"/>
      <c r="E58" s="77"/>
      <c r="F58" s="75"/>
      <c r="G58" s="2"/>
      <c r="H58" s="59">
        <f>IF($E58="Labour",Assumptions!$B$14,)</f>
        <v>0</v>
      </c>
      <c r="I58" s="9" t="str">
        <f t="shared" si="0"/>
        <v>$</v>
      </c>
      <c r="J58" s="2"/>
      <c r="K58" s="78"/>
      <c r="L58" s="78"/>
      <c r="M58" s="78"/>
      <c r="N58" s="78"/>
      <c r="O58" s="78"/>
      <c r="P58" s="2"/>
      <c r="Q58" s="5">
        <f>IF($E58="Labour",$H58*K58,K58)</f>
        <v>0</v>
      </c>
      <c r="R58" s="5">
        <f>IF($E58="Labour",$H58*L58,L58)</f>
        <v>0</v>
      </c>
      <c r="S58" s="5">
        <f>IF($E58="Labour",$H58*M58,M58)</f>
        <v>0</v>
      </c>
      <c r="T58" s="5">
        <f>IF($E58="Labour",$H58*N58,N58)</f>
        <v>0</v>
      </c>
      <c r="U58" s="5">
        <f>IF($E58="Labour",$H58*O58,O58)</f>
        <v>0</v>
      </c>
      <c r="Z58"/>
    </row>
    <row r="59" spans="1:26" ht="12.75" customHeight="1" x14ac:dyDescent="0.25">
      <c r="A59" s="4"/>
      <c r="C59" s="76"/>
      <c r="D59" s="77"/>
      <c r="E59" s="77"/>
      <c r="F59" s="75"/>
      <c r="G59" s="2"/>
      <c r="H59" s="59">
        <f>IF($E59="Labour",Assumptions!$B$14,)</f>
        <v>0</v>
      </c>
      <c r="I59" s="9" t="str">
        <f t="shared" si="0"/>
        <v>$</v>
      </c>
      <c r="J59" s="2"/>
      <c r="K59" s="78"/>
      <c r="L59" s="78"/>
      <c r="M59" s="78"/>
      <c r="N59" s="78"/>
      <c r="O59" s="78"/>
      <c r="P59" s="2"/>
      <c r="Q59" s="5">
        <f>IF($E59="Labour",$H59*K59,K59)</f>
        <v>0</v>
      </c>
      <c r="R59" s="5">
        <f>IF($E59="Labour",$H59*L59,L59)</f>
        <v>0</v>
      </c>
      <c r="S59" s="5">
        <f>IF($E59="Labour",$H59*M59,M59)</f>
        <v>0</v>
      </c>
      <c r="T59" s="5">
        <f>IF($E59="Labour",$H59*N59,N59)</f>
        <v>0</v>
      </c>
      <c r="U59" s="5">
        <f>IF($E59="Labour",$H59*O59,O59)</f>
        <v>0</v>
      </c>
      <c r="Z59"/>
    </row>
    <row r="60" spans="1:26" ht="12.75" customHeight="1" x14ac:dyDescent="0.25">
      <c r="A60" s="4"/>
      <c r="C60" s="76"/>
      <c r="D60" s="77"/>
      <c r="E60" s="77"/>
      <c r="F60" s="75"/>
      <c r="G60" s="2"/>
      <c r="H60" s="59">
        <f>IF($E60="Labour",Assumptions!$B$14,)</f>
        <v>0</v>
      </c>
      <c r="I60" s="9" t="str">
        <f t="shared" si="0"/>
        <v>$</v>
      </c>
      <c r="J60" s="2"/>
      <c r="K60" s="78"/>
      <c r="L60" s="78"/>
      <c r="M60" s="78"/>
      <c r="N60" s="78"/>
      <c r="O60" s="78"/>
      <c r="P60" s="2"/>
      <c r="Q60" s="5">
        <f>IF($E60="Labour",$H60*K60,K60)</f>
        <v>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  <c r="Z60"/>
    </row>
    <row r="61" spans="1:26" ht="12.75" customHeight="1" x14ac:dyDescent="0.25">
      <c r="A61" s="4"/>
      <c r="C61" s="76"/>
      <c r="D61" s="77"/>
      <c r="E61" s="77"/>
      <c r="F61" s="75"/>
      <c r="G61" s="2"/>
      <c r="H61" s="59">
        <f>IF($E61="Labour",Assumptions!$B$14,)</f>
        <v>0</v>
      </c>
      <c r="I61" s="9" t="str">
        <f t="shared" si="0"/>
        <v>$</v>
      </c>
      <c r="J61" s="2"/>
      <c r="K61" s="78"/>
      <c r="L61" s="78"/>
      <c r="M61" s="78"/>
      <c r="N61" s="78"/>
      <c r="O61" s="78"/>
      <c r="P61" s="2"/>
      <c r="Q61" s="5">
        <f>IF($E61="Labour",$H61*K61,K61)</f>
        <v>0</v>
      </c>
      <c r="R61" s="5">
        <f>IF($E61="Labour",$H61*L61,L61)</f>
        <v>0</v>
      </c>
      <c r="S61" s="5">
        <f>IF($E61="Labour",$H61*M61,M61)</f>
        <v>0</v>
      </c>
      <c r="T61" s="5">
        <f>IF($E61="Labour",$H61*N61,N61)</f>
        <v>0</v>
      </c>
      <c r="U61" s="5">
        <f>IF($E61="Labour",$H61*O61,O61)</f>
        <v>0</v>
      </c>
      <c r="Z61"/>
    </row>
    <row r="62" spans="1:26" ht="12.75" customHeight="1" x14ac:dyDescent="0.25">
      <c r="A62" s="4"/>
      <c r="C62" s="76"/>
      <c r="D62" s="77"/>
      <c r="E62" s="77"/>
      <c r="F62" s="75"/>
      <c r="G62" s="2"/>
      <c r="H62" s="59">
        <f>IF($E62="Labour",Assumptions!$B$14,)</f>
        <v>0</v>
      </c>
      <c r="I62" s="9" t="str">
        <f t="shared" si="0"/>
        <v>$</v>
      </c>
      <c r="J62" s="2"/>
      <c r="K62" s="78"/>
      <c r="L62" s="78"/>
      <c r="M62" s="78"/>
      <c r="N62" s="78"/>
      <c r="O62" s="78"/>
      <c r="P62" s="2"/>
      <c r="Q62" s="5">
        <f>IF($E62="Labour",$H62*K62,K62)</f>
        <v>0</v>
      </c>
      <c r="R62" s="5">
        <f>IF($E62="Labour",$H62*L62,L62)</f>
        <v>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  <c r="Z62"/>
    </row>
    <row r="63" spans="1:26" ht="12.75" customHeight="1" x14ac:dyDescent="0.25">
      <c r="A63" s="4"/>
      <c r="C63" s="76"/>
      <c r="D63" s="77"/>
      <c r="E63" s="77"/>
      <c r="F63" s="75"/>
      <c r="G63" s="2"/>
      <c r="H63" s="59">
        <f>IF($E63="Labour",Assumptions!$B$14,)</f>
        <v>0</v>
      </c>
      <c r="I63" s="9" t="str">
        <f t="shared" si="0"/>
        <v>$</v>
      </c>
      <c r="J63" s="2"/>
      <c r="K63" s="78"/>
      <c r="L63" s="78"/>
      <c r="M63" s="78"/>
      <c r="N63" s="78"/>
      <c r="O63" s="78"/>
      <c r="P63" s="2"/>
      <c r="Q63" s="5">
        <f>IF($E63="Labour",$H63*K63,K63)</f>
        <v>0</v>
      </c>
      <c r="R63" s="5">
        <f>IF($E63="Labour",$H63*L63,L63)</f>
        <v>0</v>
      </c>
      <c r="S63" s="5">
        <f>IF($E63="Labour",$H63*M63,M63)</f>
        <v>0</v>
      </c>
      <c r="T63" s="5">
        <f>IF($E63="Labour",$H63*N63,N63)</f>
        <v>0</v>
      </c>
      <c r="U63" s="5">
        <f>IF($E63="Labour",$H63*O63,O63)</f>
        <v>0</v>
      </c>
      <c r="Z63"/>
    </row>
    <row r="64" spans="1:26" ht="12.75" customHeight="1" x14ac:dyDescent="0.2">
      <c r="A64" s="4"/>
      <c r="C64" s="76"/>
      <c r="D64" s="77"/>
      <c r="E64" s="77"/>
      <c r="F64" s="75"/>
      <c r="H64" s="59">
        <f>IF($E64="Labour",Assumptions!$B$14,)</f>
        <v>0</v>
      </c>
      <c r="I64" s="9" t="str">
        <f t="shared" si="0"/>
        <v>$</v>
      </c>
      <c r="K64" s="78"/>
      <c r="L64" s="78"/>
      <c r="M64" s="78"/>
      <c r="N64" s="78"/>
      <c r="O64" s="78"/>
      <c r="Q64" s="5">
        <f>IF($E64="Labour",$H64*K64,K64)</f>
        <v>0</v>
      </c>
      <c r="R64" s="5">
        <f>IF($E64="Labour",$H64*L64,L64)</f>
        <v>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</row>
    <row r="65" spans="1:21" ht="12.75" customHeight="1" x14ac:dyDescent="0.2">
      <c r="A65" s="4"/>
      <c r="C65" s="76"/>
      <c r="D65" s="77"/>
      <c r="E65" s="77"/>
      <c r="F65" s="75"/>
      <c r="H65" s="59">
        <f>IF($E65="Labour",Assumptions!$B$14,)</f>
        <v>0</v>
      </c>
      <c r="I65" s="9" t="str">
        <f t="shared" si="0"/>
        <v>$</v>
      </c>
      <c r="K65" s="78"/>
      <c r="L65" s="78"/>
      <c r="M65" s="78"/>
      <c r="N65" s="78"/>
      <c r="O65" s="78"/>
      <c r="Q65" s="5">
        <f>IF($E65="Labour",$H65*K65,K65)</f>
        <v>0</v>
      </c>
      <c r="R65" s="5">
        <f>IF($E65="Labour",$H65*L65,L65)</f>
        <v>0</v>
      </c>
      <c r="S65" s="5">
        <f>IF($E65="Labour",$H65*M65,M65)</f>
        <v>0</v>
      </c>
      <c r="T65" s="5">
        <f>IF($E65="Labour",$H65*N65,N65)</f>
        <v>0</v>
      </c>
      <c r="U65" s="5">
        <f>IF($E65="Labour",$H65*O65,O65)</f>
        <v>0</v>
      </c>
    </row>
    <row r="66" spans="1:21" ht="12.75" customHeight="1" x14ac:dyDescent="0.2">
      <c r="A66" s="4"/>
      <c r="C66" s="76"/>
      <c r="D66" s="77"/>
      <c r="E66" s="77"/>
      <c r="F66" s="75"/>
      <c r="H66" s="59">
        <f>IF($E66="Labour",Assumptions!$B$14,)</f>
        <v>0</v>
      </c>
      <c r="I66" s="9" t="str">
        <f t="shared" si="0"/>
        <v>$</v>
      </c>
      <c r="K66" s="78"/>
      <c r="L66" s="78"/>
      <c r="M66" s="78"/>
      <c r="N66" s="78"/>
      <c r="O66" s="78"/>
      <c r="Q66" s="5">
        <f>IF($E66="Labour",$H66*K66,K66)</f>
        <v>0</v>
      </c>
      <c r="R66" s="5">
        <f>IF($E66="Labour",$H66*L66,L66)</f>
        <v>0</v>
      </c>
      <c r="S66" s="5">
        <f>IF($E66="Labour",$H66*M66,M66)</f>
        <v>0</v>
      </c>
      <c r="T66" s="5">
        <f>IF($E66="Labour",$H66*N66,N66)</f>
        <v>0</v>
      </c>
      <c r="U66" s="5">
        <f>IF($E66="Labour",$H66*O66,O66)</f>
        <v>0</v>
      </c>
    </row>
    <row r="67" spans="1:21" ht="12.75" customHeight="1" x14ac:dyDescent="0.2">
      <c r="A67" s="4"/>
      <c r="C67" s="76"/>
      <c r="D67" s="77"/>
      <c r="E67" s="77"/>
      <c r="F67" s="75"/>
      <c r="H67" s="59">
        <f>IF($E67="Labour",Assumptions!$B$14,)</f>
        <v>0</v>
      </c>
      <c r="I67" s="9" t="str">
        <f t="shared" si="0"/>
        <v>$</v>
      </c>
      <c r="K67" s="78"/>
      <c r="L67" s="78"/>
      <c r="M67" s="78"/>
      <c r="N67" s="78"/>
      <c r="O67" s="78"/>
      <c r="Q67" s="5">
        <f>IF($E67="Labour",$H67*K67,K67)</f>
        <v>0</v>
      </c>
      <c r="R67" s="5">
        <f>IF($E67="Labour",$H67*L67,L67)</f>
        <v>0</v>
      </c>
      <c r="S67" s="5">
        <f>IF($E67="Labour",$H67*M67,M67)</f>
        <v>0</v>
      </c>
      <c r="T67" s="5">
        <f>IF($E67="Labour",$H67*N67,N67)</f>
        <v>0</v>
      </c>
      <c r="U67" s="5">
        <f>IF($E67="Labour",$H67*O67,O67)</f>
        <v>0</v>
      </c>
    </row>
    <row r="68" spans="1:21" ht="12.75" customHeight="1" x14ac:dyDescent="0.2">
      <c r="A68" s="4"/>
      <c r="C68" s="76"/>
      <c r="D68" s="77"/>
      <c r="E68" s="77"/>
      <c r="F68" s="75"/>
      <c r="H68" s="59">
        <f>IF($E68="Labour",Assumptions!$B$14,)</f>
        <v>0</v>
      </c>
      <c r="I68" s="9" t="str">
        <f t="shared" si="0"/>
        <v>$</v>
      </c>
      <c r="K68" s="78"/>
      <c r="L68" s="78"/>
      <c r="M68" s="78"/>
      <c r="N68" s="78"/>
      <c r="O68" s="78"/>
      <c r="Q68" s="5">
        <f>IF($E68="Labour",$H68*K68,K68)</f>
        <v>0</v>
      </c>
      <c r="R68" s="5">
        <f>IF($E68="Labour",$H68*L68,L68)</f>
        <v>0</v>
      </c>
      <c r="S68" s="5">
        <f>IF($E68="Labour",$H68*M68,M68)</f>
        <v>0</v>
      </c>
      <c r="T68" s="5">
        <f>IF($E68="Labour",$H68*N68,N68)</f>
        <v>0</v>
      </c>
      <c r="U68" s="5">
        <f>IF($E68="Labour",$H68*O68,O68)</f>
        <v>0</v>
      </c>
    </row>
    <row r="69" spans="1:21" ht="12.75" customHeight="1" x14ac:dyDescent="0.2">
      <c r="A69" s="4"/>
      <c r="C69" s="76"/>
      <c r="D69" s="77"/>
      <c r="E69" s="77"/>
      <c r="F69" s="75"/>
      <c r="H69" s="59">
        <f>IF($E69="Labour",Assumptions!$B$14,)</f>
        <v>0</v>
      </c>
      <c r="I69" s="9" t="str">
        <f t="shared" si="0"/>
        <v>$</v>
      </c>
      <c r="K69" s="78"/>
      <c r="L69" s="78"/>
      <c r="M69" s="78"/>
      <c r="N69" s="78"/>
      <c r="O69" s="78"/>
      <c r="Q69" s="5">
        <f>IF($E69="Labour",$H69*K69,K69)</f>
        <v>0</v>
      </c>
      <c r="R69" s="5">
        <f>IF($E69="Labour",$H69*L69,L69)</f>
        <v>0</v>
      </c>
      <c r="S69" s="5">
        <f>IF($E69="Labour",$H69*M69,M69)</f>
        <v>0</v>
      </c>
      <c r="T69" s="5">
        <f>IF($E69="Labour",$H69*N69,N69)</f>
        <v>0</v>
      </c>
      <c r="U69" s="5">
        <f>IF($E69="Labour",$H69*O69,O69)</f>
        <v>0</v>
      </c>
    </row>
    <row r="70" spans="1:21" ht="12.75" customHeight="1" x14ac:dyDescent="0.2">
      <c r="A70" s="4"/>
      <c r="C70" s="76"/>
      <c r="D70" s="77"/>
      <c r="E70" s="77"/>
      <c r="F70" s="75"/>
      <c r="H70" s="59">
        <f>IF($E70="Labour",Assumptions!$B$14,)</f>
        <v>0</v>
      </c>
      <c r="I70" s="9" t="str">
        <f t="shared" si="0"/>
        <v>$</v>
      </c>
      <c r="K70" s="78"/>
      <c r="L70" s="78"/>
      <c r="M70" s="78"/>
      <c r="N70" s="78"/>
      <c r="O70" s="78"/>
      <c r="Q70" s="5">
        <f>IF($E70="Labour",$H70*K70,K70)</f>
        <v>0</v>
      </c>
      <c r="R70" s="5">
        <f>IF($E70="Labour",$H70*L70,L70)</f>
        <v>0</v>
      </c>
      <c r="S70" s="5">
        <f>IF($E70="Labour",$H70*M70,M70)</f>
        <v>0</v>
      </c>
      <c r="T70" s="5">
        <f>IF($E70="Labour",$H70*N70,N70)</f>
        <v>0</v>
      </c>
      <c r="U70" s="5">
        <f>IF($E70="Labour",$H70*O70,O70)</f>
        <v>0</v>
      </c>
    </row>
    <row r="71" spans="1:21" ht="12.75" customHeight="1" x14ac:dyDescent="0.2">
      <c r="A71" s="4"/>
      <c r="C71" s="76"/>
      <c r="D71" s="77"/>
      <c r="E71" s="77"/>
      <c r="F71" s="75"/>
      <c r="H71" s="59">
        <f>IF($E71="Labour",Assumptions!$B$14,)</f>
        <v>0</v>
      </c>
      <c r="I71" s="9" t="str">
        <f t="shared" si="0"/>
        <v>$</v>
      </c>
      <c r="K71" s="78"/>
      <c r="L71" s="78"/>
      <c r="M71" s="78"/>
      <c r="N71" s="78"/>
      <c r="O71" s="78"/>
      <c r="Q71" s="5">
        <f>IF($E71="Labour",$H71*K71,K71)</f>
        <v>0</v>
      </c>
      <c r="R71" s="5">
        <f>IF($E71="Labour",$H71*L71,L71)</f>
        <v>0</v>
      </c>
      <c r="S71" s="5">
        <f>IF($E71="Labour",$H71*M71,M71)</f>
        <v>0</v>
      </c>
      <c r="T71" s="5">
        <f>IF($E71="Labour",$H71*N71,N71)</f>
        <v>0</v>
      </c>
      <c r="U71" s="5">
        <f>IF($E71="Labour",$H71*O71,O71)</f>
        <v>0</v>
      </c>
    </row>
    <row r="72" spans="1:21" ht="12.75" customHeight="1" x14ac:dyDescent="0.2">
      <c r="A72" s="4"/>
      <c r="C72" s="76"/>
      <c r="D72" s="77"/>
      <c r="E72" s="77"/>
      <c r="F72" s="75"/>
      <c r="H72" s="59">
        <f>IF($E72="Labour",Assumptions!$B$14,)</f>
        <v>0</v>
      </c>
      <c r="I72" s="9" t="str">
        <f t="shared" si="0"/>
        <v>$</v>
      </c>
      <c r="K72" s="78"/>
      <c r="L72" s="78"/>
      <c r="M72" s="78"/>
      <c r="N72" s="78"/>
      <c r="O72" s="78"/>
      <c r="Q72" s="5">
        <f>IF($E72="Labour",$H72*K72,K72)</f>
        <v>0</v>
      </c>
      <c r="R72" s="5">
        <f>IF($E72="Labour",$H72*L72,L72)</f>
        <v>0</v>
      </c>
      <c r="S72" s="5">
        <f>IF($E72="Labour",$H72*M72,M72)</f>
        <v>0</v>
      </c>
      <c r="T72" s="5">
        <f>IF($E72="Labour",$H72*N72,N72)</f>
        <v>0</v>
      </c>
      <c r="U72" s="5">
        <f>IF($E72="Labour",$H72*O72,O72)</f>
        <v>0</v>
      </c>
    </row>
    <row r="73" spans="1:21" ht="12.75" customHeight="1" x14ac:dyDescent="0.2">
      <c r="A73" s="4"/>
      <c r="C73" s="76"/>
      <c r="D73" s="77"/>
      <c r="E73" s="77"/>
      <c r="F73" s="75"/>
      <c r="H73" s="59">
        <f>IF($E73="Labour",Assumptions!$B$14,)</f>
        <v>0</v>
      </c>
      <c r="I73" s="9" t="str">
        <f t="shared" si="0"/>
        <v>$</v>
      </c>
      <c r="K73" s="78"/>
      <c r="L73" s="78"/>
      <c r="M73" s="78"/>
      <c r="N73" s="78"/>
      <c r="O73" s="78"/>
      <c r="Q73" s="5">
        <f>IF($E73="Labour",$H73*K73,K73)</f>
        <v>0</v>
      </c>
      <c r="R73" s="5">
        <f>IF($E73="Labour",$H73*L73,L73)</f>
        <v>0</v>
      </c>
      <c r="S73" s="5">
        <f>IF($E73="Labour",$H73*M73,M73)</f>
        <v>0</v>
      </c>
      <c r="T73" s="5">
        <f>IF($E73="Labour",$H73*N73,N73)</f>
        <v>0</v>
      </c>
      <c r="U73" s="5">
        <f>IF($E73="Labour",$H73*O73,O73)</f>
        <v>0</v>
      </c>
    </row>
    <row r="74" spans="1:21" ht="12.75" customHeight="1" x14ac:dyDescent="0.2">
      <c r="A74" s="4"/>
      <c r="C74" s="76"/>
      <c r="D74" s="77"/>
      <c r="E74" s="77"/>
      <c r="F74" s="75"/>
      <c r="H74" s="59">
        <f>IF($E74="Labour",Assumptions!$B$14,)</f>
        <v>0</v>
      </c>
      <c r="I74" s="9" t="str">
        <f t="shared" si="0"/>
        <v>$</v>
      </c>
      <c r="K74" s="78"/>
      <c r="L74" s="78"/>
      <c r="M74" s="78"/>
      <c r="N74" s="78"/>
      <c r="O74" s="78"/>
      <c r="Q74" s="5">
        <f>IF($E74="Labour",$H74*K74,K74)</f>
        <v>0</v>
      </c>
      <c r="R74" s="5">
        <f>IF($E74="Labour",$H74*L74,L74)</f>
        <v>0</v>
      </c>
      <c r="S74" s="5">
        <f>IF($E74="Labour",$H74*M74,M74)</f>
        <v>0</v>
      </c>
      <c r="T74" s="5">
        <f>IF($E74="Labour",$H74*N74,N74)</f>
        <v>0</v>
      </c>
      <c r="U74" s="5">
        <f>IF($E74="Labour",$H74*O74,O74)</f>
        <v>0</v>
      </c>
    </row>
    <row r="75" spans="1:21" ht="12.75" customHeight="1" x14ac:dyDescent="0.2">
      <c r="A75" s="4"/>
      <c r="C75" s="76"/>
      <c r="D75" s="77"/>
      <c r="E75" s="77"/>
      <c r="F75" s="75"/>
      <c r="H75" s="59">
        <f>IF($E75="Labour",Assumptions!$B$14,)</f>
        <v>0</v>
      </c>
      <c r="I75" s="9" t="str">
        <f t="shared" si="0"/>
        <v>$</v>
      </c>
      <c r="K75" s="78"/>
      <c r="L75" s="78"/>
      <c r="M75" s="78"/>
      <c r="N75" s="78"/>
      <c r="O75" s="78"/>
      <c r="Q75" s="5">
        <f>IF($E75="Labour",$H75*K75,K75)</f>
        <v>0</v>
      </c>
      <c r="R75" s="5">
        <f>IF($E75="Labour",$H75*L75,L75)</f>
        <v>0</v>
      </c>
      <c r="S75" s="5">
        <f>IF($E75="Labour",$H75*M75,M75)</f>
        <v>0</v>
      </c>
      <c r="T75" s="5">
        <f>IF($E75="Labour",$H75*N75,N75)</f>
        <v>0</v>
      </c>
      <c r="U75" s="5">
        <f>IF($E75="Labour",$H75*O75,O75)</f>
        <v>0</v>
      </c>
    </row>
    <row r="76" spans="1:21" ht="12.75" customHeight="1" x14ac:dyDescent="0.2">
      <c r="A76" s="4"/>
      <c r="C76" s="76"/>
      <c r="D76" s="77"/>
      <c r="E76" s="77"/>
      <c r="F76" s="75"/>
      <c r="H76" s="59">
        <f>IF($E76="Labour",Assumptions!$B$14,)</f>
        <v>0</v>
      </c>
      <c r="I76" s="9" t="str">
        <f t="shared" si="0"/>
        <v>$</v>
      </c>
      <c r="K76" s="78"/>
      <c r="L76" s="78"/>
      <c r="M76" s="78"/>
      <c r="N76" s="78"/>
      <c r="O76" s="78"/>
      <c r="Q76" s="5">
        <f>IF($E76="Labour",$H76*K76,K76)</f>
        <v>0</v>
      </c>
      <c r="R76" s="5">
        <f>IF($E76="Labour",$H76*L76,L76)</f>
        <v>0</v>
      </c>
      <c r="S76" s="5">
        <f>IF($E76="Labour",$H76*M76,M76)</f>
        <v>0</v>
      </c>
      <c r="T76" s="5">
        <f>IF($E76="Labour",$H76*N76,N76)</f>
        <v>0</v>
      </c>
      <c r="U76" s="5">
        <f>IF($E76="Labour",$H76*O76,O76)</f>
        <v>0</v>
      </c>
    </row>
    <row r="77" spans="1:21" ht="12.75" customHeight="1" x14ac:dyDescent="0.2">
      <c r="A77" s="4"/>
      <c r="C77" s="76"/>
      <c r="D77" s="77"/>
      <c r="E77" s="77"/>
      <c r="F77" s="75"/>
      <c r="H77" s="59">
        <f>IF($E77="Labour",Assumptions!$B$14,)</f>
        <v>0</v>
      </c>
      <c r="I77" s="9" t="str">
        <f t="shared" si="0"/>
        <v>$</v>
      </c>
      <c r="K77" s="78"/>
      <c r="L77" s="78"/>
      <c r="M77" s="78"/>
      <c r="N77" s="78"/>
      <c r="O77" s="78"/>
      <c r="Q77" s="5">
        <f>IF($E77="Labour",$H77*K77,K77)</f>
        <v>0</v>
      </c>
      <c r="R77" s="5">
        <f>IF($E77="Labour",$H77*L77,L77)</f>
        <v>0</v>
      </c>
      <c r="S77" s="5">
        <f>IF($E77="Labour",$H77*M77,M77)</f>
        <v>0</v>
      </c>
      <c r="T77" s="5">
        <f>IF($E77="Labour",$H77*N77,N77)</f>
        <v>0</v>
      </c>
      <c r="U77" s="5">
        <f>IF($E77="Labour",$H77*O77,O77)</f>
        <v>0</v>
      </c>
    </row>
    <row r="78" spans="1:21" ht="12.75" customHeight="1" x14ac:dyDescent="0.2">
      <c r="A78" s="4"/>
      <c r="C78" s="76"/>
      <c r="D78" s="77"/>
      <c r="E78" s="77"/>
      <c r="F78" s="75"/>
      <c r="H78" s="59">
        <f>IF($E78="Labour",Assumptions!$B$14,)</f>
        <v>0</v>
      </c>
      <c r="I78" s="9" t="str">
        <f t="shared" si="0"/>
        <v>$</v>
      </c>
      <c r="K78" s="78"/>
      <c r="L78" s="78"/>
      <c r="M78" s="78"/>
      <c r="N78" s="78"/>
      <c r="O78" s="78"/>
      <c r="Q78" s="5">
        <f>IF($E78="Labour",$H78*K78,K78)</f>
        <v>0</v>
      </c>
      <c r="R78" s="5">
        <f>IF($E78="Labour",$H78*L78,L78)</f>
        <v>0</v>
      </c>
      <c r="S78" s="5">
        <f>IF($E78="Labour",$H78*M78,M78)</f>
        <v>0</v>
      </c>
      <c r="T78" s="5">
        <f>IF($E78="Labour",$H78*N78,N78)</f>
        <v>0</v>
      </c>
      <c r="U78" s="5">
        <f>IF($E78="Labour",$H78*O78,O78)</f>
        <v>0</v>
      </c>
    </row>
    <row r="79" spans="1:21" ht="12.75" customHeight="1" x14ac:dyDescent="0.2">
      <c r="A79" s="4"/>
      <c r="C79" s="76"/>
      <c r="D79" s="77"/>
      <c r="E79" s="77"/>
      <c r="F79" s="75"/>
      <c r="H79" s="59">
        <f>IF($E79="Labour",Assumptions!$B$14,)</f>
        <v>0</v>
      </c>
      <c r="I79" s="9" t="str">
        <f t="shared" si="0"/>
        <v>$</v>
      </c>
      <c r="K79" s="78"/>
      <c r="L79" s="78"/>
      <c r="M79" s="78"/>
      <c r="N79" s="78"/>
      <c r="O79" s="78"/>
      <c r="Q79" s="5">
        <f>IF($E79="Labour",$H79*K79,K79)</f>
        <v>0</v>
      </c>
      <c r="R79" s="5">
        <f>IF($E79="Labour",$H79*L79,L79)</f>
        <v>0</v>
      </c>
      <c r="S79" s="5">
        <f>IF($E79="Labour",$H79*M79,M79)</f>
        <v>0</v>
      </c>
      <c r="T79" s="5">
        <f>IF($E79="Labour",$H79*N79,N79)</f>
        <v>0</v>
      </c>
      <c r="U79" s="5">
        <f>IF($E79="Labour",$H79*O79,O79)</f>
        <v>0</v>
      </c>
    </row>
    <row r="80" spans="1:21" ht="12.75" customHeight="1" x14ac:dyDescent="0.2">
      <c r="A80" s="4"/>
      <c r="C80" s="76"/>
      <c r="D80" s="77"/>
      <c r="E80" s="77"/>
      <c r="F80" s="75"/>
      <c r="H80" s="59">
        <f>IF($E80="Labour",Assumptions!$B$14,)</f>
        <v>0</v>
      </c>
      <c r="I80" s="9" t="str">
        <f t="shared" si="0"/>
        <v>$</v>
      </c>
      <c r="K80" s="78"/>
      <c r="L80" s="78"/>
      <c r="M80" s="78"/>
      <c r="N80" s="78"/>
      <c r="O80" s="78"/>
      <c r="Q80" s="5">
        <f>IF($E80="Labour",$H80*K80,K80)</f>
        <v>0</v>
      </c>
      <c r="R80" s="5">
        <f>IF($E80="Labour",$H80*L80,L80)</f>
        <v>0</v>
      </c>
      <c r="S80" s="5">
        <f>IF($E80="Labour",$H80*M80,M80)</f>
        <v>0</v>
      </c>
      <c r="T80" s="5">
        <f>IF($E80="Labour",$H80*N80,N80)</f>
        <v>0</v>
      </c>
      <c r="U80" s="5">
        <f>IF($E80="Labour",$H80*O80,O80)</f>
        <v>0</v>
      </c>
    </row>
    <row r="81" spans="1:26" ht="12.75" customHeight="1" x14ac:dyDescent="0.2">
      <c r="A81" s="4"/>
      <c r="C81" s="76"/>
      <c r="D81" s="77"/>
      <c r="E81" s="77"/>
      <c r="F81" s="75"/>
      <c r="H81" s="59">
        <f>IF($E81="Labour",Assumptions!$B$14,)</f>
        <v>0</v>
      </c>
      <c r="I81" s="9" t="str">
        <f t="shared" si="0"/>
        <v>$</v>
      </c>
      <c r="K81" s="78"/>
      <c r="L81" s="78"/>
      <c r="M81" s="78"/>
      <c r="N81" s="78"/>
      <c r="O81" s="78"/>
      <c r="Q81" s="5">
        <f>IF($E81="Labour",$H81*K81,K81)</f>
        <v>0</v>
      </c>
      <c r="R81" s="5">
        <f>IF($E81="Labour",$H81*L81,L81)</f>
        <v>0</v>
      </c>
      <c r="S81" s="5">
        <f>IF($E81="Labour",$H81*M81,M81)</f>
        <v>0</v>
      </c>
      <c r="T81" s="5">
        <f>IF($E81="Labour",$H81*N81,N81)</f>
        <v>0</v>
      </c>
      <c r="U81" s="5">
        <f>IF($E81="Labour",$H81*O81,O81)</f>
        <v>0</v>
      </c>
    </row>
    <row r="82" spans="1:26" ht="12.75" customHeight="1" x14ac:dyDescent="0.2">
      <c r="A82" s="4"/>
      <c r="C82" s="76"/>
      <c r="D82" s="77"/>
      <c r="E82" s="77"/>
      <c r="F82" s="75"/>
      <c r="H82" s="59">
        <f>IF($E82="Labour",Assumptions!$B$14,)</f>
        <v>0</v>
      </c>
      <c r="I82" s="9" t="str">
        <f t="shared" si="0"/>
        <v>$</v>
      </c>
      <c r="K82" s="78"/>
      <c r="L82" s="78"/>
      <c r="M82" s="78"/>
      <c r="N82" s="78"/>
      <c r="O82" s="78"/>
      <c r="Q82" s="5">
        <f>IF($E82="Labour",$H82*K82,K82)</f>
        <v>0</v>
      </c>
      <c r="R82" s="5">
        <f>IF($E82="Labour",$H82*L82,L82)</f>
        <v>0</v>
      </c>
      <c r="S82" s="5">
        <f>IF($E82="Labour",$H82*M82,M82)</f>
        <v>0</v>
      </c>
      <c r="T82" s="5">
        <f>IF($E82="Labour",$H82*N82,N82)</f>
        <v>0</v>
      </c>
      <c r="U82" s="5">
        <f>IF($E82="Labour",$H82*O82,O82)</f>
        <v>0</v>
      </c>
    </row>
    <row r="83" spans="1:26" ht="12.75" customHeight="1" x14ac:dyDescent="0.2">
      <c r="A83" s="4"/>
      <c r="C83" s="76"/>
      <c r="D83" s="77"/>
      <c r="E83" s="77"/>
      <c r="F83" s="75"/>
      <c r="H83" s="59">
        <f>IF($E83="Labour",Assumptions!$B$14,)</f>
        <v>0</v>
      </c>
      <c r="I83" s="9" t="str">
        <f t="shared" si="0"/>
        <v>$</v>
      </c>
      <c r="K83" s="78"/>
      <c r="L83" s="78"/>
      <c r="M83" s="78"/>
      <c r="N83" s="78"/>
      <c r="O83" s="78"/>
      <c r="Q83" s="5">
        <f>IF($E83="Labour",$H83*K83,K83)</f>
        <v>0</v>
      </c>
      <c r="R83" s="5">
        <f>IF($E83="Labour",$H83*L83,L83)</f>
        <v>0</v>
      </c>
      <c r="S83" s="5">
        <f>IF($E83="Labour",$H83*M83,M83)</f>
        <v>0</v>
      </c>
      <c r="T83" s="5">
        <f>IF($E83="Labour",$H83*N83,N83)</f>
        <v>0</v>
      </c>
      <c r="U83" s="5">
        <f>IF($E83="Labour",$H83*O83,O83)</f>
        <v>0</v>
      </c>
    </row>
    <row r="84" spans="1:26" ht="12.75" customHeight="1" x14ac:dyDescent="0.2">
      <c r="A84" s="4"/>
      <c r="C84" s="76"/>
      <c r="D84" s="77"/>
      <c r="E84" s="77"/>
      <c r="F84" s="75"/>
      <c r="H84" s="59">
        <f>IF($E84="Labour",Assumptions!$B$14,)</f>
        <v>0</v>
      </c>
      <c r="I84" s="9" t="str">
        <f t="shared" si="0"/>
        <v>$</v>
      </c>
      <c r="K84" s="78"/>
      <c r="L84" s="78"/>
      <c r="M84" s="78"/>
      <c r="N84" s="78"/>
      <c r="O84" s="78"/>
      <c r="Q84" s="5">
        <f>IF($E84="Labour",$H84*K84,K84)</f>
        <v>0</v>
      </c>
      <c r="R84" s="5">
        <f>IF($E84="Labour",$H84*L84,L84)</f>
        <v>0</v>
      </c>
      <c r="S84" s="5">
        <f>IF($E84="Labour",$H84*M84,M84)</f>
        <v>0</v>
      </c>
      <c r="T84" s="5">
        <f>IF($E84="Labour",$H84*N84,N84)</f>
        <v>0</v>
      </c>
      <c r="U84" s="5">
        <f>IF($E84="Labour",$H84*O84,O84)</f>
        <v>0</v>
      </c>
    </row>
    <row r="85" spans="1:26" ht="12.75" customHeight="1" x14ac:dyDescent="0.2">
      <c r="A85" s="4"/>
      <c r="C85" s="76"/>
      <c r="D85" s="77"/>
      <c r="E85" s="77"/>
      <c r="F85" s="75"/>
      <c r="H85" s="59">
        <f>IF($E85="Labour",Assumptions!$B$14,)</f>
        <v>0</v>
      </c>
      <c r="I85" s="9" t="str">
        <f t="shared" si="0"/>
        <v>$</v>
      </c>
      <c r="K85" s="78"/>
      <c r="L85" s="78"/>
      <c r="M85" s="78"/>
      <c r="N85" s="78"/>
      <c r="O85" s="78"/>
      <c r="Q85" s="5">
        <f>IF($E85="Labour",$H85*K85,K85)</f>
        <v>0</v>
      </c>
      <c r="R85" s="5">
        <f>IF($E85="Labour",$H85*L85,L85)</f>
        <v>0</v>
      </c>
      <c r="S85" s="5">
        <f>IF($E85="Labour",$H85*M85,M85)</f>
        <v>0</v>
      </c>
      <c r="T85" s="5">
        <f>IF($E85="Labour",$H85*N85,N85)</f>
        <v>0</v>
      </c>
      <c r="U85" s="5">
        <f>IF($E85="Labour",$H85*O85,O85)</f>
        <v>0</v>
      </c>
    </row>
    <row r="86" spans="1:26" ht="12.75" customHeight="1" x14ac:dyDescent="0.2">
      <c r="A86" s="4"/>
      <c r="C86" s="76"/>
      <c r="D86" s="77"/>
      <c r="E86" s="77"/>
      <c r="F86" s="75"/>
      <c r="H86" s="59">
        <f>IF($E86="Labour",Assumptions!$B$14,)</f>
        <v>0</v>
      </c>
      <c r="I86" s="9" t="str">
        <f t="shared" si="0"/>
        <v>$</v>
      </c>
      <c r="K86" s="78"/>
      <c r="L86" s="78"/>
      <c r="M86" s="78"/>
      <c r="N86" s="78"/>
      <c r="O86" s="78"/>
      <c r="Q86" s="5">
        <f>IF($E86="Labour",$H86*K86,K86)</f>
        <v>0</v>
      </c>
      <c r="R86" s="5">
        <f>IF($E86="Labour",$H86*L86,L86)</f>
        <v>0</v>
      </c>
      <c r="S86" s="5">
        <f>IF($E86="Labour",$H86*M86,M86)</f>
        <v>0</v>
      </c>
      <c r="T86" s="5">
        <f>IF($E86="Labour",$H86*N86,N86)</f>
        <v>0</v>
      </c>
      <c r="U86" s="5">
        <f>IF($E86="Labour",$H86*O86,O86)</f>
        <v>0</v>
      </c>
    </row>
    <row r="87" spans="1:26" ht="12.75" customHeight="1" x14ac:dyDescent="0.2">
      <c r="A87" s="4"/>
      <c r="C87" s="76"/>
      <c r="D87" s="77"/>
      <c r="E87" s="77"/>
      <c r="F87" s="75"/>
      <c r="H87" s="59">
        <f>IF($E87="Labour",Assumptions!$B$14,)</f>
        <v>0</v>
      </c>
      <c r="I87" s="9" t="str">
        <f t="shared" si="0"/>
        <v>$</v>
      </c>
      <c r="K87" s="78"/>
      <c r="L87" s="78"/>
      <c r="M87" s="78"/>
      <c r="N87" s="78"/>
      <c r="O87" s="78"/>
      <c r="Q87" s="5">
        <f>IF($E87="Labour",$H87*K87,K87)</f>
        <v>0</v>
      </c>
      <c r="R87" s="5">
        <f>IF($E87="Labour",$H87*L87,L87)</f>
        <v>0</v>
      </c>
      <c r="S87" s="5">
        <f>IF($E87="Labour",$H87*M87,M87)</f>
        <v>0</v>
      </c>
      <c r="T87" s="5">
        <f>IF($E87="Labour",$H87*N87,N87)</f>
        <v>0</v>
      </c>
      <c r="U87" s="5">
        <f>IF($E87="Labour",$H87*O87,O87)</f>
        <v>0</v>
      </c>
    </row>
    <row r="88" spans="1:26" ht="12.75" customHeight="1" x14ac:dyDescent="0.2">
      <c r="A88" s="4"/>
      <c r="C88" s="76"/>
      <c r="D88" s="77"/>
      <c r="E88" s="77"/>
      <c r="F88" s="75"/>
      <c r="H88" s="59">
        <f>IF($E88="Labour",Assumptions!$B$14,)</f>
        <v>0</v>
      </c>
      <c r="I88" s="9" t="str">
        <f t="shared" si="0"/>
        <v>$</v>
      </c>
      <c r="K88" s="78"/>
      <c r="L88" s="78"/>
      <c r="M88" s="78"/>
      <c r="N88" s="78"/>
      <c r="O88" s="78"/>
      <c r="Q88" s="5">
        <f>IF($E88="Labour",$H88*K88,K88)</f>
        <v>0</v>
      </c>
      <c r="R88" s="5">
        <f>IF($E88="Labour",$H88*L88,L88)</f>
        <v>0</v>
      </c>
      <c r="S88" s="5">
        <f>IF($E88="Labour",$H88*M88,M88)</f>
        <v>0</v>
      </c>
      <c r="T88" s="5">
        <f>IF($E88="Labour",$H88*N88,N88)</f>
        <v>0</v>
      </c>
      <c r="U88" s="5">
        <f>IF($E88="Labour",$H88*O88,O88)</f>
        <v>0</v>
      </c>
    </row>
    <row r="89" spans="1:26" ht="12.75" customHeight="1" x14ac:dyDescent="0.2">
      <c r="A89" s="4"/>
      <c r="C89" s="76"/>
      <c r="D89" s="77"/>
      <c r="E89" s="77"/>
      <c r="F89" s="75"/>
      <c r="H89" s="59">
        <f>IF($E89="Labour",Assumptions!$B$14,)</f>
        <v>0</v>
      </c>
      <c r="I89" s="9" t="str">
        <f t="shared" si="0"/>
        <v>$</v>
      </c>
      <c r="K89" s="78"/>
      <c r="L89" s="78"/>
      <c r="M89" s="78"/>
      <c r="N89" s="78"/>
      <c r="O89" s="78"/>
      <c r="Q89" s="5">
        <f>IF($E89="Labour",$H89*K89,K89)</f>
        <v>0</v>
      </c>
      <c r="R89" s="5">
        <f>IF($E89="Labour",$H89*L89,L89)</f>
        <v>0</v>
      </c>
      <c r="S89" s="5">
        <f>IF($E89="Labour",$H89*M89,M89)</f>
        <v>0</v>
      </c>
      <c r="T89" s="5">
        <f>IF($E89="Labour",$H89*N89,N89)</f>
        <v>0</v>
      </c>
      <c r="U89" s="5">
        <f>IF($E89="Labour",$H89*O89,O89)</f>
        <v>0</v>
      </c>
      <c r="V89" s="104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75</v>
      </c>
      <c r="G92" s="2"/>
      <c r="J92" s="2"/>
      <c r="P92" s="2"/>
      <c r="Q92" s="64" t="s">
        <v>5</v>
      </c>
      <c r="R92" s="64" t="s">
        <v>6</v>
      </c>
      <c r="S92" s="64" t="s">
        <v>7</v>
      </c>
      <c r="T92" s="64" t="s">
        <v>8</v>
      </c>
      <c r="U92" s="64" t="s">
        <v>9</v>
      </c>
      <c r="V92" s="64" t="s">
        <v>0</v>
      </c>
      <c r="Z92"/>
    </row>
    <row r="93" spans="1:26" ht="12.75" customHeight="1" x14ac:dyDescent="0.2">
      <c r="C93" s="24" t="s">
        <v>10</v>
      </c>
      <c r="D93" s="24" t="s">
        <v>50</v>
      </c>
      <c r="E93" s="24"/>
      <c r="F93" s="24" t="s">
        <v>51</v>
      </c>
      <c r="G93" s="2"/>
      <c r="H93" s="61"/>
      <c r="I93" s="62"/>
      <c r="J93" s="2"/>
      <c r="K93" s="24"/>
      <c r="L93" s="24"/>
      <c r="M93" s="24"/>
      <c r="N93" s="24"/>
      <c r="O93" s="24"/>
      <c r="P93" s="2"/>
      <c r="Q93" s="25">
        <f>SUMIFS(Q$10:Q$89,$E$10:$E$89,$C93,$D$10:$D$89,$D93,$F$10:$F$89,$F93)</f>
        <v>256468.41139706282</v>
      </c>
      <c r="R93" s="25">
        <f>SUMIFS(R$10:R$89,$E$10:$E$89,$C93,$D$10:$D$89,$D93,$F$10:$F$89,$F93)</f>
        <v>141343.90977519337</v>
      </c>
      <c r="S93" s="25">
        <f>SUMIFS(S$10:S$89,$E$10:$E$89,$C93,$D$10:$D$89,$D93,$F$10:$F$89,$F93)</f>
        <v>248636.08276854793</v>
      </c>
      <c r="T93" s="25">
        <f>SUMIFS(T$10:T$89,$E$10:$E$89,$C93,$D$10:$D$89,$D93,$F$10:$F$89,$F93)</f>
        <v>141343.90977519337</v>
      </c>
      <c r="U93" s="25">
        <f>SUMIFS(U$10:U$89,$E$10:$E$89,$C93,$D$10:$D$89,$D93,$F$10:$F$89,$F93)</f>
        <v>141343.90977519337</v>
      </c>
      <c r="V93" s="66">
        <f>SUM(Q93:U93)</f>
        <v>929136.2234911907</v>
      </c>
    </row>
    <row r="94" spans="1:26" ht="12.75" customHeight="1" x14ac:dyDescent="0.2">
      <c r="C94" s="1" t="s">
        <v>11</v>
      </c>
      <c r="D94" s="1" t="s">
        <v>50</v>
      </c>
      <c r="F94" s="1" t="s">
        <v>51</v>
      </c>
      <c r="G94" s="2"/>
      <c r="H94" s="63"/>
      <c r="J94" s="2"/>
      <c r="P94" s="2"/>
      <c r="Q94" s="6">
        <f>SUMIFS(Q$10:Q$89,$E$10:$E$89,$C94,$D$10:$D$89,$D94,$F$10:$F$89,$F94)</f>
        <v>187680</v>
      </c>
      <c r="R94" s="6">
        <f>SUMIFS(R$10:R$89,$E$10:$E$89,$C94,$D$10:$D$89,$D94,$F$10:$F$89,$F94)</f>
        <v>71760</v>
      </c>
      <c r="S94" s="6">
        <f>SUMIFS(S$10:S$89,$E$10:$E$89,$C94,$D$10:$D$89,$D94,$F$10:$F$89,$F94)</f>
        <v>77280</v>
      </c>
      <c r="T94" s="6">
        <f>SUMIFS(T$10:T$89,$E$10:$E$89,$C94,$D$10:$D$89,$D94,$F$10:$F$89,$F94)</f>
        <v>82800</v>
      </c>
      <c r="U94" s="6">
        <f>SUMIFS(U$10:U$89,$E$10:$E$89,$C94,$D$10:$D$89,$D94,$F$10:$F$89,$F94)</f>
        <v>88320</v>
      </c>
      <c r="V94" s="67">
        <f t="shared" ref="V94:V108" si="2">SUM(Q94:U94)</f>
        <v>507840</v>
      </c>
    </row>
    <row r="95" spans="1:26" ht="12.75" customHeight="1" x14ac:dyDescent="0.2">
      <c r="C95" s="1" t="s">
        <v>12</v>
      </c>
      <c r="D95" s="1" t="s">
        <v>50</v>
      </c>
      <c r="F95" s="1" t="s">
        <v>51</v>
      </c>
      <c r="G95" s="2"/>
      <c r="H95" s="63"/>
      <c r="J95" s="2"/>
      <c r="P95" s="2"/>
      <c r="Q95" s="6">
        <f>SUMIFS(Q$10:Q$89,$E$10:$E$89,$C95,$D$10:$D$89,$D95,$F$10:$F$89,$F95)</f>
        <v>288705</v>
      </c>
      <c r="R95" s="6">
        <f>SUMIFS(R$10:R$89,$E$10:$E$89,$C95,$D$10:$D$89,$D95,$F$10:$F$89,$F95)</f>
        <v>156225</v>
      </c>
      <c r="S95" s="6">
        <f>SUMIFS(S$10:S$89,$E$10:$E$89,$C95,$D$10:$D$89,$D95,$F$10:$F$89,$F95)</f>
        <v>130465</v>
      </c>
      <c r="T95" s="6">
        <f>SUMIFS(T$10:T$89,$E$10:$E$89,$C95,$D$10:$D$89,$D95,$F$10:$F$89,$F95)</f>
        <v>130465</v>
      </c>
      <c r="U95" s="6">
        <f>SUMIFS(U$10:U$89,$E$10:$E$89,$C95,$D$10:$D$89,$D95,$F$10:$F$89,$F95)</f>
        <v>130465</v>
      </c>
      <c r="V95" s="67">
        <f t="shared" si="2"/>
        <v>836325</v>
      </c>
    </row>
    <row r="96" spans="1:26" ht="12.75" customHeight="1" x14ac:dyDescent="0.2">
      <c r="C96" s="1" t="s">
        <v>10</v>
      </c>
      <c r="D96" s="1" t="s">
        <v>50</v>
      </c>
      <c r="F96" s="1" t="s">
        <v>47</v>
      </c>
      <c r="G96" s="2"/>
      <c r="H96" s="63"/>
      <c r="J96" s="2"/>
      <c r="P96" s="2"/>
      <c r="Q96" s="6">
        <f>SUMIFS(Q$10:Q$89,$E$10:$E$89,$C96,$D$10:$D$89,$D96,$F$10:$F$89,$F96)</f>
        <v>0</v>
      </c>
      <c r="R96" s="6">
        <f>SUMIFS(R$10:R$89,$E$10:$E$89,$C96,$D$10:$D$89,$D96,$F$10:$F$89,$F96)</f>
        <v>0</v>
      </c>
      <c r="S96" s="6">
        <f>SUMIFS(S$10:S$89,$E$10:$E$89,$C96,$D$10:$D$89,$D96,$F$10:$F$89,$F96)</f>
        <v>0</v>
      </c>
      <c r="T96" s="6">
        <f>SUMIFS(T$10:T$89,$E$10:$E$89,$C96,$D$10:$D$89,$D96,$F$10:$F$89,$F96)</f>
        <v>0</v>
      </c>
      <c r="U96" s="6">
        <f>SUMIFS(U$10:U$89,$E$10:$E$89,$C96,$D$10:$D$89,$D96,$F$10:$F$89,$F96)</f>
        <v>0</v>
      </c>
      <c r="V96" s="67">
        <f t="shared" ref="V96:V98" si="3">SUM(Q96:U96)</f>
        <v>0</v>
      </c>
    </row>
    <row r="97" spans="3:23" ht="12.75" customHeight="1" x14ac:dyDescent="0.2">
      <c r="C97" s="1" t="s">
        <v>11</v>
      </c>
      <c r="D97" s="1" t="s">
        <v>50</v>
      </c>
      <c r="F97" s="1" t="s">
        <v>47</v>
      </c>
      <c r="G97" s="2"/>
      <c r="H97" s="63"/>
      <c r="J97" s="2"/>
      <c r="P97" s="2"/>
      <c r="Q97" s="6">
        <f>SUMIFS(Q$10:Q$89,$E$10:$E$89,$C97,$D$10:$D$89,$D97,$F$10:$F$89,$F97)</f>
        <v>0</v>
      </c>
      <c r="R97" s="6">
        <f>SUMIFS(R$10:R$89,$E$10:$E$89,$C97,$D$10:$D$89,$D97,$F$10:$F$89,$F97)</f>
        <v>0</v>
      </c>
      <c r="S97" s="6">
        <f>SUMIFS(S$10:S$89,$E$10:$E$89,$C97,$D$10:$D$89,$D97,$F$10:$F$89,$F97)</f>
        <v>0</v>
      </c>
      <c r="T97" s="6">
        <f>SUMIFS(T$10:T$89,$E$10:$E$89,$C97,$D$10:$D$89,$D97,$F$10:$F$89,$F97)</f>
        <v>0</v>
      </c>
      <c r="U97" s="6">
        <f>SUMIFS(U$10:U$89,$E$10:$E$89,$C97,$D$10:$D$89,$D97,$F$10:$F$89,$F97)</f>
        <v>0</v>
      </c>
      <c r="V97" s="67">
        <f t="shared" si="3"/>
        <v>0</v>
      </c>
    </row>
    <row r="98" spans="3:23" ht="12.75" customHeight="1" x14ac:dyDescent="0.2">
      <c r="C98" s="1" t="s">
        <v>12</v>
      </c>
      <c r="D98" s="1" t="s">
        <v>50</v>
      </c>
      <c r="F98" s="1" t="s">
        <v>47</v>
      </c>
      <c r="G98" s="2"/>
      <c r="H98" s="63"/>
      <c r="J98" s="2"/>
      <c r="P98" s="2"/>
      <c r="Q98" s="6">
        <f>SUMIFS(Q$10:Q$89,$E$10:$E$89,$C98,$D$10:$D$89,$D98,$F$10:$F$89,$F98)</f>
        <v>0</v>
      </c>
      <c r="R98" s="6">
        <f>SUMIFS(R$10:R$89,$E$10:$E$89,$C98,$D$10:$D$89,$D98,$F$10:$F$89,$F98)</f>
        <v>0</v>
      </c>
      <c r="S98" s="6">
        <f>SUMIFS(S$10:S$89,$E$10:$E$89,$C98,$D$10:$D$89,$D98,$F$10:$F$89,$F98)</f>
        <v>0</v>
      </c>
      <c r="T98" s="6">
        <f>SUMIFS(T$10:T$89,$E$10:$E$89,$C98,$D$10:$D$89,$D98,$F$10:$F$89,$F98)</f>
        <v>0</v>
      </c>
      <c r="U98" s="6">
        <f>SUMIFS(U$10:U$89,$E$10:$E$89,$C98,$D$10:$D$89,$D98,$F$10:$F$89,$F98)</f>
        <v>0</v>
      </c>
      <c r="V98" s="67">
        <f t="shared" si="3"/>
        <v>0</v>
      </c>
    </row>
    <row r="99" spans="3:23" ht="12.75" customHeight="1" x14ac:dyDescent="0.2">
      <c r="C99" s="21" t="s">
        <v>13</v>
      </c>
      <c r="D99" s="21" t="s">
        <v>50</v>
      </c>
      <c r="E99" s="99"/>
      <c r="F99" s="100"/>
      <c r="G99" s="2"/>
      <c r="H99" s="100"/>
      <c r="I99" s="102"/>
      <c r="J99" s="101"/>
      <c r="K99" s="99"/>
      <c r="L99" s="99"/>
      <c r="M99" s="99"/>
      <c r="N99" s="99"/>
      <c r="O99" s="99"/>
      <c r="P99" s="2"/>
      <c r="Q99" s="22">
        <f>SUM(Q93:Q98)</f>
        <v>732853.41139706282</v>
      </c>
      <c r="R99" s="22">
        <f t="shared" ref="R99:U99" si="4">SUM(R93:R98)</f>
        <v>369328.90977519337</v>
      </c>
      <c r="S99" s="22">
        <f t="shared" si="4"/>
        <v>456381.08276854793</v>
      </c>
      <c r="T99" s="22">
        <f t="shared" si="4"/>
        <v>354608.90977519337</v>
      </c>
      <c r="U99" s="22">
        <f t="shared" si="4"/>
        <v>360128.90977519337</v>
      </c>
      <c r="V99" s="22">
        <f>SUM(V93:V98)</f>
        <v>2273301.2234911909</v>
      </c>
    </row>
    <row r="100" spans="3:23" ht="12.75" customHeight="1" x14ac:dyDescent="0.2">
      <c r="C100" s="1" t="s">
        <v>10</v>
      </c>
      <c r="D100" s="1" t="s">
        <v>46</v>
      </c>
      <c r="F100" s="1" t="s">
        <v>51</v>
      </c>
      <c r="G100" s="2"/>
      <c r="H100" s="63"/>
      <c r="J100" s="2"/>
      <c r="P100" s="2"/>
      <c r="Q100" s="6">
        <f>SUMIFS(Q$10:Q$89,$E$10:$E$89,$C100,$D$10:$D$89,$D100,$F$10:$F$89,$F100)</f>
        <v>0</v>
      </c>
      <c r="R100" s="6">
        <f>SUMIFS(R$10:R$89,$E$10:$E$89,$C100,$D$10:$D$89,$D100,$F$10:$F$89,$F100)</f>
        <v>0</v>
      </c>
      <c r="S100" s="6">
        <f>SUMIFS(S$10:S$89,$E$10:$E$89,$C100,$D$10:$D$89,$D100,$F$10:$F$89,$F100)</f>
        <v>0</v>
      </c>
      <c r="T100" s="6">
        <f>SUMIFS(T$10:T$89,$E$10:$E$89,$C100,$D$10:$D$89,$D100,$F$10:$F$89,$F100)</f>
        <v>0</v>
      </c>
      <c r="U100" s="6">
        <f>SUMIFS(U$10:U$89,$E$10:$E$89,$C100,$D$10:$D$89,$D100,$F$10:$F$89,$F100)</f>
        <v>0</v>
      </c>
      <c r="V100" s="67">
        <f t="shared" si="2"/>
        <v>0</v>
      </c>
    </row>
    <row r="101" spans="3:23" ht="12.75" customHeight="1" x14ac:dyDescent="0.2">
      <c r="C101" s="1" t="s">
        <v>11</v>
      </c>
      <c r="D101" s="1" t="s">
        <v>46</v>
      </c>
      <c r="F101" s="1" t="s">
        <v>51</v>
      </c>
      <c r="G101" s="2"/>
      <c r="H101" s="63"/>
      <c r="J101" s="2"/>
      <c r="P101" s="2"/>
      <c r="Q101" s="6">
        <f>SUMIFS(Q$10:Q$89,$E$10:$E$89,$C101,$D$10:$D$89,$D101,$F$10:$F$89,$F101)</f>
        <v>0</v>
      </c>
      <c r="R101" s="6">
        <f>SUMIFS(R$10:R$89,$E$10:$E$89,$C101,$D$10:$D$89,$D101,$F$10:$F$89,$F101)</f>
        <v>0</v>
      </c>
      <c r="S101" s="6">
        <f>SUMIFS(S$10:S$89,$E$10:$E$89,$C101,$D$10:$D$89,$D101,$F$10:$F$89,$F101)</f>
        <v>0</v>
      </c>
      <c r="T101" s="6">
        <f>SUMIFS(T$10:T$89,$E$10:$E$89,$C101,$D$10:$D$89,$D101,$F$10:$F$89,$F101)</f>
        <v>0</v>
      </c>
      <c r="U101" s="6">
        <f>SUMIFS(U$10:U$89,$E$10:$E$89,$C101,$D$10:$D$89,$D101,$F$10:$F$89,$F101)</f>
        <v>0</v>
      </c>
      <c r="V101" s="67">
        <f t="shared" si="2"/>
        <v>0</v>
      </c>
    </row>
    <row r="102" spans="3:23" ht="12.75" customHeight="1" x14ac:dyDescent="0.2">
      <c r="C102" s="1" t="s">
        <v>12</v>
      </c>
      <c r="D102" s="1" t="s">
        <v>46</v>
      </c>
      <c r="F102" s="1" t="s">
        <v>51</v>
      </c>
      <c r="G102" s="2"/>
      <c r="H102" s="63"/>
      <c r="J102" s="2"/>
      <c r="P102" s="2"/>
      <c r="Q102" s="6">
        <f>SUMIFS(Q$10:Q$89,$E$10:$E$89,$C102,$D$10:$D$89,$D102,$F$10:$F$89,$F102)</f>
        <v>0</v>
      </c>
      <c r="R102" s="6">
        <f>SUMIFS(R$10:R$89,$E$10:$E$89,$C102,$D$10:$D$89,$D102,$F$10:$F$89,$F102)</f>
        <v>90000</v>
      </c>
      <c r="S102" s="6">
        <f>SUMIFS(S$10:S$89,$E$10:$E$89,$C102,$D$10:$D$89,$D102,$F$10:$F$89,$F102)</f>
        <v>90000</v>
      </c>
      <c r="T102" s="6">
        <f>SUMIFS(T$10:T$89,$E$10:$E$89,$C102,$D$10:$D$89,$D102,$F$10:$F$89,$F102)</f>
        <v>90000</v>
      </c>
      <c r="U102" s="6">
        <f>SUMIFS(U$10:U$89,$E$10:$E$89,$C102,$D$10:$D$89,$D102,$F$10:$F$89,$F102)</f>
        <v>90000</v>
      </c>
      <c r="V102" s="67">
        <f t="shared" si="2"/>
        <v>360000</v>
      </c>
    </row>
    <row r="103" spans="3:23" ht="12.75" customHeight="1" x14ac:dyDescent="0.2">
      <c r="C103" s="1" t="s">
        <v>10</v>
      </c>
      <c r="D103" s="1" t="s">
        <v>46</v>
      </c>
      <c r="F103" s="1" t="s">
        <v>47</v>
      </c>
      <c r="G103" s="2"/>
      <c r="H103" s="63"/>
      <c r="J103" s="2"/>
      <c r="P103" s="2"/>
      <c r="Q103" s="6">
        <f>SUMIFS(Q$10:Q$89,$E$10:$E$89,$C103,$D$10:$D$89,$D103,$F$10:$F$89,$F103)</f>
        <v>0</v>
      </c>
      <c r="R103" s="6">
        <f>SUMIFS(R$10:R$89,$E$10:$E$89,$C103,$D$10:$D$89,$D103,$F$10:$F$89,$F103)</f>
        <v>0</v>
      </c>
      <c r="S103" s="6">
        <f>SUMIFS(S$10:S$89,$E$10:$E$89,$C103,$D$10:$D$89,$D103,$F$10:$F$89,$F103)</f>
        <v>0</v>
      </c>
      <c r="T103" s="6">
        <f>SUMIFS(T$10:T$89,$E$10:$E$89,$C103,$D$10:$D$89,$D103,$F$10:$F$89,$F103)</f>
        <v>0</v>
      </c>
      <c r="U103" s="6">
        <f>SUMIFS(U$10:U$89,$E$10:$E$89,$C103,$D$10:$D$89,$D103,$F$10:$F$89,$F103)</f>
        <v>0</v>
      </c>
      <c r="V103" s="67">
        <f t="shared" ref="V103:V104" si="5">SUM(Q103:U103)</f>
        <v>0</v>
      </c>
    </row>
    <row r="104" spans="3:23" ht="12.75" customHeight="1" x14ac:dyDescent="0.2">
      <c r="C104" s="1" t="s">
        <v>11</v>
      </c>
      <c r="D104" s="1" t="s">
        <v>46</v>
      </c>
      <c r="F104" s="1" t="s">
        <v>47</v>
      </c>
      <c r="G104" s="2"/>
      <c r="H104" s="63"/>
      <c r="J104" s="2"/>
      <c r="P104" s="2"/>
      <c r="Q104" s="6">
        <f>SUMIFS(Q$10:Q$89,$E$10:$E$89,$C104,$D$10:$D$89,$D104,$F$10:$F$89,$F104)</f>
        <v>0</v>
      </c>
      <c r="R104" s="6">
        <f>SUMIFS(R$10:R$89,$E$10:$E$89,$C104,$D$10:$D$89,$D104,$F$10:$F$89,$F104)</f>
        <v>0</v>
      </c>
      <c r="S104" s="6">
        <f>SUMIFS(S$10:S$89,$E$10:$E$89,$C104,$D$10:$D$89,$D104,$F$10:$F$89,$F104)</f>
        <v>0</v>
      </c>
      <c r="T104" s="6">
        <f>SUMIFS(T$10:T$89,$E$10:$E$89,$C104,$D$10:$D$89,$D104,$F$10:$F$89,$F104)</f>
        <v>0</v>
      </c>
      <c r="U104" s="6">
        <f>SUMIFS(U$10:U$89,$E$10:$E$89,$C104,$D$10:$D$89,$D104,$F$10:$F$89,$F104)</f>
        <v>0</v>
      </c>
      <c r="V104" s="67">
        <f t="shared" si="5"/>
        <v>0</v>
      </c>
    </row>
    <row r="105" spans="3:23" ht="12.75" customHeight="1" x14ac:dyDescent="0.2">
      <c r="C105" s="1" t="s">
        <v>12</v>
      </c>
      <c r="D105" s="1" t="s">
        <v>46</v>
      </c>
      <c r="F105" s="1" t="s">
        <v>47</v>
      </c>
      <c r="G105" s="2"/>
      <c r="H105" s="63"/>
      <c r="J105" s="2"/>
      <c r="P105" s="2"/>
      <c r="Q105" s="6">
        <f>SUMIFS(Q$10:Q$89,$E$10:$E$89,$C105,$D$10:$D$89,$D105,$F$10:$F$89,$F105)</f>
        <v>0</v>
      </c>
      <c r="R105" s="6">
        <f>SUMIFS(R$10:R$89,$E$10:$E$89,$C105,$D$10:$D$89,$D105,$F$10:$F$89,$F105)</f>
        <v>0</v>
      </c>
      <c r="S105" s="6">
        <f>SUMIFS(S$10:S$89,$E$10:$E$89,$C105,$D$10:$D$89,$D105,$F$10:$F$89,$F105)</f>
        <v>0</v>
      </c>
      <c r="T105" s="6">
        <f>SUMIFS(T$10:T$89,$E$10:$E$89,$C105,$D$10:$D$89,$D105,$F$10:$F$89,$F105)</f>
        <v>0</v>
      </c>
      <c r="U105" s="6">
        <f>SUMIFS(U$10:U$89,$E$10:$E$89,$C105,$D$10:$D$89,$D105,$F$10:$F$89,$F105)</f>
        <v>0</v>
      </c>
      <c r="V105" s="67">
        <f t="shared" ref="V105" si="6">SUM(Q105:U105)</f>
        <v>0</v>
      </c>
    </row>
    <row r="106" spans="3:23" ht="12.75" customHeight="1" x14ac:dyDescent="0.2">
      <c r="C106" s="21" t="s">
        <v>14</v>
      </c>
      <c r="D106" s="21" t="s">
        <v>46</v>
      </c>
      <c r="E106" s="99"/>
      <c r="F106" s="100"/>
      <c r="G106" s="2"/>
      <c r="H106" s="100"/>
      <c r="I106" s="102"/>
      <c r="J106" s="101"/>
      <c r="K106" s="99"/>
      <c r="L106" s="99"/>
      <c r="M106" s="99"/>
      <c r="N106" s="99"/>
      <c r="O106" s="99"/>
      <c r="P106" s="2"/>
      <c r="Q106" s="22">
        <f>SUM(Q100:Q105)</f>
        <v>0</v>
      </c>
      <c r="R106" s="22">
        <f t="shared" ref="R106:U106" si="7">SUM(R100:R105)</f>
        <v>90000</v>
      </c>
      <c r="S106" s="22">
        <f t="shared" si="7"/>
        <v>90000</v>
      </c>
      <c r="T106" s="22">
        <f t="shared" si="7"/>
        <v>90000</v>
      </c>
      <c r="U106" s="22">
        <f t="shared" si="7"/>
        <v>90000</v>
      </c>
      <c r="V106" s="22">
        <f>SUM(V100:V105)</f>
        <v>360000</v>
      </c>
    </row>
    <row r="107" spans="3:23" ht="12.75" customHeight="1" x14ac:dyDescent="0.2">
      <c r="F107" s="63"/>
      <c r="G107" s="2"/>
      <c r="H107" s="63"/>
      <c r="J107" s="2"/>
      <c r="P107" s="2"/>
      <c r="Q107" s="6"/>
      <c r="R107" s="6"/>
      <c r="S107" s="6"/>
      <c r="T107" s="6"/>
      <c r="U107" s="6"/>
      <c r="V107" s="67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732853.41139706282</v>
      </c>
      <c r="R108" s="8">
        <f t="shared" ref="R108:U108" si="8">R99+R106</f>
        <v>459328.90977519337</v>
      </c>
      <c r="S108" s="8">
        <f t="shared" si="8"/>
        <v>546381.08276854793</v>
      </c>
      <c r="T108" s="8">
        <f t="shared" si="8"/>
        <v>444608.90977519337</v>
      </c>
      <c r="U108" s="8">
        <f t="shared" si="8"/>
        <v>450128.90977519337</v>
      </c>
      <c r="V108" s="68">
        <f t="shared" si="2"/>
        <v>2633301.2234911909</v>
      </c>
    </row>
    <row r="109" spans="3:23" ht="12.75" customHeight="1" x14ac:dyDescent="0.2">
      <c r="C109" s="42" t="s">
        <v>76</v>
      </c>
      <c r="D109" s="42"/>
      <c r="E109" s="42"/>
      <c r="F109" s="42"/>
      <c r="G109" s="2"/>
      <c r="H109" s="42"/>
      <c r="I109" s="42"/>
      <c r="J109" s="2"/>
      <c r="K109" s="42"/>
      <c r="L109" s="42"/>
      <c r="M109" s="42"/>
      <c r="N109" s="42"/>
      <c r="O109" s="42"/>
      <c r="P109" s="2"/>
      <c r="Q109" s="43">
        <f>Q108-SUM(Q$10:Q$89)</f>
        <v>0</v>
      </c>
      <c r="R109" s="43">
        <f t="shared" ref="R109:U109" si="9">R108-SUM(R$10:R$89)</f>
        <v>0</v>
      </c>
      <c r="S109" s="43">
        <f t="shared" si="9"/>
        <v>0</v>
      </c>
      <c r="T109" s="43">
        <f t="shared" si="9"/>
        <v>0</v>
      </c>
      <c r="U109" s="43">
        <f t="shared" si="9"/>
        <v>0</v>
      </c>
      <c r="V109" s="43">
        <f>V108-SUM(Q$10:U$89)</f>
        <v>0</v>
      </c>
      <c r="W109" s="43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1" t="str">
        <f>"NPV ($ "&amp;Assumptions!$B$12&amp;")"</f>
        <v>NPV ($ June 2024)</v>
      </c>
      <c r="D111" s="52">
        <f>NPV(Real_Discount_rate,Q108:U108)</f>
        <v>2396111.2557140384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75</v>
      </c>
      <c r="F114" s="3"/>
      <c r="G114" s="2"/>
      <c r="J114" s="2"/>
      <c r="P114" s="2"/>
      <c r="Q114" s="64" t="s">
        <v>5</v>
      </c>
      <c r="R114" s="64" t="s">
        <v>6</v>
      </c>
      <c r="S114" s="64" t="s">
        <v>7</v>
      </c>
      <c r="T114" s="64" t="s">
        <v>8</v>
      </c>
      <c r="U114" s="64" t="s">
        <v>9</v>
      </c>
      <c r="V114" s="109" t="s">
        <v>0</v>
      </c>
    </row>
    <row r="115" spans="3:23" ht="12.75" customHeight="1" x14ac:dyDescent="0.2">
      <c r="C115" s="24"/>
      <c r="D115" s="24" t="s">
        <v>50</v>
      </c>
      <c r="E115" s="24"/>
      <c r="F115" s="24" t="s">
        <v>51</v>
      </c>
      <c r="G115" s="2"/>
      <c r="H115" s="61"/>
      <c r="I115" s="62"/>
      <c r="J115" s="2"/>
      <c r="K115" s="24"/>
      <c r="L115" s="24"/>
      <c r="M115" s="24"/>
      <c r="N115" s="24"/>
      <c r="O115" s="24"/>
      <c r="P115" s="2"/>
      <c r="Q115" s="25">
        <f>SUMIFS(Q$10:Q$89,$D$10:$D$89,$D115,$F$10:$F$89,$F115)</f>
        <v>732853.41139706282</v>
      </c>
      <c r="R115" s="25">
        <f>SUMIFS(R$10:R$89,$D$10:$D$89,$D115,$F$10:$F$89,$F115)</f>
        <v>369328.90977519337</v>
      </c>
      <c r="S115" s="25">
        <f>SUMIFS(S$10:S$89,$D$10:$D$89,$D115,$F$10:$F$89,$F115)</f>
        <v>456381.08276854793</v>
      </c>
      <c r="T115" s="25">
        <f>SUMIFS(T$10:T$89,$D$10:$D$89,$D115,$F$10:$F$89,$F115)</f>
        <v>354608.90977519337</v>
      </c>
      <c r="U115" s="25">
        <f>SUMIFS(U$10:U$89,$D$10:$D$89,$D115,$F$10:$F$89,$F115)</f>
        <v>360128.90977519337</v>
      </c>
      <c r="V115" s="67">
        <f t="shared" ref="V115:V116" si="10">SUM(Q115:U115)</f>
        <v>2273301.2234911909</v>
      </c>
    </row>
    <row r="116" spans="3:23" ht="12.75" customHeight="1" x14ac:dyDescent="0.2">
      <c r="D116" s="1" t="s">
        <v>46</v>
      </c>
      <c r="F116" s="1" t="s">
        <v>51</v>
      </c>
      <c r="G116" s="2"/>
      <c r="J116" s="2"/>
      <c r="P116" s="2"/>
      <c r="Q116" s="108">
        <f>SUMIFS(Q$10:Q$89,$D$10:$D$89,$D116,$F$10:$F$89,$F116)</f>
        <v>0</v>
      </c>
      <c r="R116" s="108">
        <f>SUMIFS(R$10:R$89,$D$10:$D$89,$D116,$F$10:$F$89,$F116)</f>
        <v>90000</v>
      </c>
      <c r="S116" s="108">
        <f>SUMIFS(S$10:S$89,$D$10:$D$89,$D116,$F$10:$F$89,$F116)</f>
        <v>90000</v>
      </c>
      <c r="T116" s="108">
        <f>SUMIFS(T$10:T$89,$D$10:$D$89,$D116,$F$10:$F$89,$F116)</f>
        <v>90000</v>
      </c>
      <c r="U116" s="108">
        <f>SUMIFS(U$10:U$89,$D$10:$D$89,$D116,$F$10:$F$89,$F116)</f>
        <v>90000</v>
      </c>
      <c r="V116" s="67">
        <f t="shared" si="10"/>
        <v>360000</v>
      </c>
    </row>
    <row r="117" spans="3:23" ht="12.75" customHeight="1" x14ac:dyDescent="0.2">
      <c r="C117" s="21" t="s">
        <v>77</v>
      </c>
      <c r="D117" s="21"/>
      <c r="E117" s="99"/>
      <c r="F117" s="100"/>
      <c r="G117" s="2"/>
      <c r="H117" s="100"/>
      <c r="I117" s="102"/>
      <c r="J117" s="101"/>
      <c r="K117" s="99"/>
      <c r="L117" s="99"/>
      <c r="M117" s="99"/>
      <c r="N117" s="99"/>
      <c r="O117" s="99"/>
      <c r="P117" s="2"/>
      <c r="Q117" s="22">
        <f>SUM(Q115:Q116)</f>
        <v>732853.41139706282</v>
      </c>
      <c r="R117" s="22">
        <f t="shared" ref="R117:V117" si="11">SUM(R115:R116)</f>
        <v>459328.90977519337</v>
      </c>
      <c r="S117" s="22">
        <f t="shared" si="11"/>
        <v>546381.08276854793</v>
      </c>
      <c r="T117" s="22">
        <f t="shared" si="11"/>
        <v>444608.90977519337</v>
      </c>
      <c r="U117" s="22">
        <f t="shared" si="11"/>
        <v>450128.90977519337</v>
      </c>
      <c r="V117" s="22">
        <f t="shared" si="11"/>
        <v>2633301.2234911909</v>
      </c>
    </row>
    <row r="118" spans="3:23" ht="12.75" customHeight="1" x14ac:dyDescent="0.2">
      <c r="C118" s="4"/>
      <c r="D118" s="1" t="s">
        <v>50</v>
      </c>
      <c r="F118" s="1" t="s">
        <v>47</v>
      </c>
      <c r="G118" s="2"/>
      <c r="H118" s="63"/>
      <c r="J118" s="2"/>
      <c r="P118" s="2"/>
      <c r="Q118" s="6">
        <f>SUMIFS(Q$10:Q$89,$D$10:$D$89,$D118,$F$10:$F$89,$F118)</f>
        <v>0</v>
      </c>
      <c r="R118" s="6">
        <f>SUMIFS(R$10:R$89,$D$10:$D$89,$D118,$F$10:$F$89,$F118)</f>
        <v>0</v>
      </c>
      <c r="S118" s="6">
        <f>SUMIFS(S$10:S$89,$D$10:$D$89,$D118,$F$10:$F$89,$F118)</f>
        <v>0</v>
      </c>
      <c r="T118" s="6">
        <f>SUMIFS(T$10:T$89,$D$10:$D$89,$D118,$F$10:$F$89,$F118)</f>
        <v>0</v>
      </c>
      <c r="U118" s="6">
        <f>SUMIFS(U$10:U$89,$D$10:$D$89,$D118,$F$10:$F$89,$F118)</f>
        <v>0</v>
      </c>
      <c r="V118" s="67">
        <f t="shared" ref="V118:V119" si="12">SUM(Q118:U118)</f>
        <v>0</v>
      </c>
    </row>
    <row r="119" spans="3:23" ht="12.75" customHeight="1" x14ac:dyDescent="0.2">
      <c r="C119" s="4"/>
      <c r="D119" s="1" t="s">
        <v>46</v>
      </c>
      <c r="F119" s="1" t="s">
        <v>47</v>
      </c>
      <c r="G119" s="2"/>
      <c r="H119" s="63"/>
      <c r="J119" s="2"/>
      <c r="P119" s="2"/>
      <c r="Q119" s="6">
        <f>SUMIFS(Q$10:Q$89,$D$10:$D$89,$D119,$F$10:$F$89,$F119)</f>
        <v>0</v>
      </c>
      <c r="R119" s="6">
        <f>SUMIFS(R$10:R$89,$D$10:$D$89,$D119,$F$10:$F$89,$F119)</f>
        <v>0</v>
      </c>
      <c r="S119" s="6">
        <f>SUMIFS(S$10:S$89,$D$10:$D$89,$D119,$F$10:$F$89,$F119)</f>
        <v>0</v>
      </c>
      <c r="T119" s="6">
        <f>SUMIFS(T$10:T$89,$D$10:$D$89,$D119,$F$10:$F$89,$F119)</f>
        <v>0</v>
      </c>
      <c r="U119" s="6">
        <f>SUMIFS(U$10:U$89,$D$10:$D$89,$D119,$F$10:$F$89,$F119)</f>
        <v>0</v>
      </c>
      <c r="V119" s="67">
        <f t="shared" si="12"/>
        <v>0</v>
      </c>
    </row>
    <row r="120" spans="3:23" ht="12.75" customHeight="1" x14ac:dyDescent="0.2">
      <c r="C120" s="21" t="s">
        <v>78</v>
      </c>
      <c r="D120" s="21"/>
      <c r="E120" s="99"/>
      <c r="F120" s="100"/>
      <c r="G120" s="2"/>
      <c r="H120" s="100"/>
      <c r="I120" s="102"/>
      <c r="J120" s="101"/>
      <c r="K120" s="99"/>
      <c r="L120" s="99"/>
      <c r="M120" s="99"/>
      <c r="N120" s="99"/>
      <c r="O120" s="99"/>
      <c r="P120" s="2"/>
      <c r="Q120" s="22">
        <f>SUM(Q118:Q119)</f>
        <v>0</v>
      </c>
      <c r="R120" s="22">
        <f t="shared" ref="R120:U120" si="13">SUM(R118:R119)</f>
        <v>0</v>
      </c>
      <c r="S120" s="22">
        <f t="shared" si="13"/>
        <v>0</v>
      </c>
      <c r="T120" s="22">
        <f t="shared" si="13"/>
        <v>0</v>
      </c>
      <c r="U120" s="22">
        <f t="shared" si="13"/>
        <v>0</v>
      </c>
      <c r="V120" s="22">
        <f t="shared" ref="V120" si="14">SUM(V118:V119)</f>
        <v>0</v>
      </c>
    </row>
    <row r="121" spans="3:23" ht="12.75" customHeight="1" x14ac:dyDescent="0.2">
      <c r="C121" s="4"/>
      <c r="D121" s="4"/>
      <c r="F121" s="63"/>
      <c r="G121" s="2"/>
      <c r="H121" s="63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732853.41139706282</v>
      </c>
      <c r="R122" s="8">
        <f t="shared" ref="R122:U122" si="15">R117+R120</f>
        <v>459328.90977519337</v>
      </c>
      <c r="S122" s="8">
        <f t="shared" si="15"/>
        <v>546381.08276854793</v>
      </c>
      <c r="T122" s="8">
        <f t="shared" si="15"/>
        <v>444608.90977519337</v>
      </c>
      <c r="U122" s="8">
        <f t="shared" si="15"/>
        <v>450128.90977519337</v>
      </c>
      <c r="V122" s="68">
        <f t="shared" ref="V122" si="16">SUM(Q122:U122)</f>
        <v>2633301.2234911909</v>
      </c>
    </row>
    <row r="123" spans="3:23" ht="12.75" customHeight="1" x14ac:dyDescent="0.2">
      <c r="C123" s="42" t="s">
        <v>76</v>
      </c>
      <c r="D123" s="42"/>
      <c r="E123" s="42"/>
      <c r="F123" s="42"/>
      <c r="G123" s="2"/>
      <c r="H123" s="42"/>
      <c r="I123" s="42"/>
      <c r="J123" s="2"/>
      <c r="K123" s="42"/>
      <c r="L123" s="42"/>
      <c r="M123" s="42"/>
      <c r="N123" s="42"/>
      <c r="O123" s="42"/>
      <c r="P123" s="2"/>
      <c r="Q123" s="43">
        <f>Q122-SUM(Q$10:Q$89)</f>
        <v>0</v>
      </c>
      <c r="R123" s="43">
        <f t="shared" ref="R123:U123" si="17">R122-SUM(R$10:R$89)</f>
        <v>0</v>
      </c>
      <c r="S123" s="43">
        <f t="shared" si="17"/>
        <v>0</v>
      </c>
      <c r="T123" s="43">
        <f t="shared" si="17"/>
        <v>0</v>
      </c>
      <c r="U123" s="43">
        <f t="shared" si="17"/>
        <v>0</v>
      </c>
      <c r="V123" s="43">
        <f>V122-SUM(Q$10:U$89)</f>
        <v>0</v>
      </c>
      <c r="W123" s="43">
        <f>SUM(Q123:V123)</f>
        <v>0</v>
      </c>
    </row>
    <row r="124" spans="3:23" ht="12.75" customHeight="1" x14ac:dyDescent="0.2">
      <c r="C124" s="110"/>
      <c r="D124" s="110"/>
      <c r="E124" s="110"/>
      <c r="F124" s="110"/>
      <c r="G124" s="2"/>
      <c r="H124" s="110"/>
      <c r="I124" s="110"/>
      <c r="J124" s="2"/>
      <c r="K124" s="110"/>
      <c r="L124" s="110"/>
      <c r="M124" s="110"/>
      <c r="N124" s="110"/>
      <c r="O124" s="110"/>
      <c r="P124" s="2"/>
      <c r="Q124" s="111"/>
      <c r="R124" s="111"/>
      <c r="S124" s="111"/>
      <c r="T124" s="111"/>
      <c r="U124" s="111"/>
      <c r="V124" s="111"/>
      <c r="W124" s="111"/>
    </row>
    <row r="125" spans="3:23" ht="12.75" customHeight="1" x14ac:dyDescent="0.2">
      <c r="C125" s="110"/>
      <c r="D125" s="110"/>
      <c r="E125" s="110"/>
      <c r="F125" s="110"/>
      <c r="G125" s="2"/>
      <c r="H125" s="110"/>
      <c r="I125" s="110"/>
      <c r="J125" s="2"/>
      <c r="K125" s="110"/>
      <c r="L125" s="110"/>
      <c r="M125" s="110"/>
      <c r="N125" s="110"/>
      <c r="O125" s="110"/>
      <c r="P125" s="2"/>
      <c r="Q125" s="111"/>
      <c r="R125" s="111"/>
      <c r="S125" s="111"/>
      <c r="T125" s="111"/>
      <c r="U125" s="111"/>
      <c r="V125" s="111"/>
      <c r="W125" s="111"/>
    </row>
    <row r="126" spans="3:23" ht="12.75" customHeight="1" x14ac:dyDescent="0.2">
      <c r="C126" s="110"/>
      <c r="D126" s="110"/>
      <c r="E126" s="110"/>
      <c r="F126" s="110"/>
      <c r="G126" s="2"/>
      <c r="H126" s="110"/>
      <c r="I126" s="110"/>
      <c r="J126" s="2"/>
      <c r="K126" s="110"/>
      <c r="L126" s="110"/>
      <c r="M126" s="110"/>
      <c r="N126" s="110"/>
      <c r="O126" s="110"/>
      <c r="P126" s="2"/>
      <c r="Q126" s="111"/>
      <c r="R126" s="111"/>
      <c r="S126" s="111"/>
      <c r="T126" s="111"/>
      <c r="U126" s="111"/>
      <c r="V126" s="111"/>
      <c r="W126" s="111"/>
    </row>
    <row r="127" spans="3:23" ht="12.75" customHeight="1" x14ac:dyDescent="0.2">
      <c r="C127" s="71" t="s">
        <v>79</v>
      </c>
      <c r="G127" s="2"/>
      <c r="J127" s="2"/>
      <c r="P127" s="2"/>
      <c r="Q127" s="64" t="s">
        <v>5</v>
      </c>
      <c r="R127" s="64" t="s">
        <v>6</v>
      </c>
      <c r="S127" s="64" t="s">
        <v>7</v>
      </c>
      <c r="T127" s="64" t="s">
        <v>8</v>
      </c>
      <c r="U127" s="64" t="s">
        <v>9</v>
      </c>
      <c r="V127" s="64" t="s">
        <v>0</v>
      </c>
    </row>
    <row r="128" spans="3:23" ht="12.75" customHeight="1" x14ac:dyDescent="0.2">
      <c r="C128" s="24" t="s">
        <v>10</v>
      </c>
      <c r="D128" s="24" t="s">
        <v>50</v>
      </c>
      <c r="E128" s="24"/>
      <c r="F128" s="24" t="s">
        <v>51</v>
      </c>
      <c r="G128" s="2"/>
      <c r="H128" s="61"/>
      <c r="I128" s="62"/>
      <c r="J128" s="2"/>
      <c r="K128" s="24"/>
      <c r="L128" s="24"/>
      <c r="M128" s="24"/>
      <c r="N128" s="24"/>
      <c r="O128" s="24"/>
      <c r="P128" s="2"/>
      <c r="Q128" s="32">
        <f t="shared" ref="Q128:U133" si="18">Q93*business_case_dollars</f>
        <v>285426.93845016562</v>
      </c>
      <c r="R128" s="32">
        <f t="shared" si="18"/>
        <v>157303.42468277912</v>
      </c>
      <c r="S128" s="32">
        <f t="shared" si="18"/>
        <v>276710.24086860061</v>
      </c>
      <c r="T128" s="32">
        <f t="shared" si="18"/>
        <v>157303.42468277912</v>
      </c>
      <c r="U128" s="32">
        <f t="shared" si="18"/>
        <v>157303.42468277912</v>
      </c>
      <c r="V128" s="66">
        <f>SUM(Q128:U128)</f>
        <v>1034047.4533671036</v>
      </c>
    </row>
    <row r="129" spans="3:23" ht="12.75" customHeight="1" x14ac:dyDescent="0.2">
      <c r="C129" s="1" t="s">
        <v>11</v>
      </c>
      <c r="D129" s="1" t="s">
        <v>50</v>
      </c>
      <c r="F129" s="1" t="s">
        <v>51</v>
      </c>
      <c r="G129" s="2"/>
      <c r="H129" s="63"/>
      <c r="J129" s="2"/>
      <c r="P129" s="2"/>
      <c r="Q129" s="6">
        <f t="shared" si="18"/>
        <v>208871.44547946684</v>
      </c>
      <c r="R129" s="6">
        <f t="shared" si="18"/>
        <v>79862.61150685497</v>
      </c>
      <c r="S129" s="6">
        <f t="shared" si="18"/>
        <v>86005.889315074586</v>
      </c>
      <c r="T129" s="6">
        <f t="shared" si="18"/>
        <v>92149.167123294203</v>
      </c>
      <c r="U129" s="6">
        <f t="shared" si="18"/>
        <v>98292.444931513804</v>
      </c>
      <c r="V129" s="67">
        <f t="shared" ref="V129:V143" si="19">SUM(Q129:U129)</f>
        <v>565181.55835620442</v>
      </c>
    </row>
    <row r="130" spans="3:23" ht="12.75" customHeight="1" x14ac:dyDescent="0.2">
      <c r="C130" s="1" t="s">
        <v>12</v>
      </c>
      <c r="D130" s="1" t="s">
        <v>50</v>
      </c>
      <c r="F130" s="1" t="s">
        <v>51</v>
      </c>
      <c r="G130" s="2"/>
      <c r="H130" s="63"/>
      <c r="J130" s="2"/>
      <c r="P130" s="2"/>
      <c r="Q130" s="6">
        <f t="shared" si="18"/>
        <v>321303.44558370352</v>
      </c>
      <c r="R130" s="6">
        <f t="shared" si="18"/>
        <v>173864.77818643281</v>
      </c>
      <c r="S130" s="6">
        <f t="shared" si="18"/>
        <v>145196.14841474127</v>
      </c>
      <c r="T130" s="6">
        <f t="shared" si="18"/>
        <v>145196.14841474127</v>
      </c>
      <c r="U130" s="6">
        <f t="shared" si="18"/>
        <v>145196.14841474127</v>
      </c>
      <c r="V130" s="67">
        <f t="shared" si="19"/>
        <v>930756.66901436017</v>
      </c>
    </row>
    <row r="131" spans="3:23" ht="12.75" customHeight="1" x14ac:dyDescent="0.2">
      <c r="C131" s="1" t="s">
        <v>10</v>
      </c>
      <c r="D131" s="1" t="s">
        <v>50</v>
      </c>
      <c r="F131" s="1" t="s">
        <v>47</v>
      </c>
      <c r="G131" s="2"/>
      <c r="H131" s="63"/>
      <c r="J131" s="2"/>
      <c r="P131" s="2"/>
      <c r="Q131" s="6">
        <f t="shared" si="18"/>
        <v>0</v>
      </c>
      <c r="R131" s="6">
        <f t="shared" si="18"/>
        <v>0</v>
      </c>
      <c r="S131" s="6">
        <f t="shared" si="18"/>
        <v>0</v>
      </c>
      <c r="T131" s="6">
        <f t="shared" si="18"/>
        <v>0</v>
      </c>
      <c r="U131" s="6">
        <f t="shared" si="18"/>
        <v>0</v>
      </c>
      <c r="V131" s="6">
        <f t="shared" si="19"/>
        <v>0</v>
      </c>
    </row>
    <row r="132" spans="3:23" ht="12.75" customHeight="1" x14ac:dyDescent="0.2">
      <c r="C132" s="1" t="s">
        <v>11</v>
      </c>
      <c r="D132" s="1" t="s">
        <v>50</v>
      </c>
      <c r="F132" s="1" t="s">
        <v>47</v>
      </c>
      <c r="G132" s="2"/>
      <c r="H132" s="63"/>
      <c r="J132" s="2"/>
      <c r="P132" s="2"/>
      <c r="Q132" s="6">
        <f t="shared" si="18"/>
        <v>0</v>
      </c>
      <c r="R132" s="6">
        <f t="shared" si="18"/>
        <v>0</v>
      </c>
      <c r="S132" s="6">
        <f t="shared" si="18"/>
        <v>0</v>
      </c>
      <c r="T132" s="6">
        <f t="shared" si="18"/>
        <v>0</v>
      </c>
      <c r="U132" s="6">
        <f t="shared" si="18"/>
        <v>0</v>
      </c>
      <c r="V132" s="6">
        <f t="shared" si="19"/>
        <v>0</v>
      </c>
    </row>
    <row r="133" spans="3:23" ht="12.75" customHeight="1" x14ac:dyDescent="0.2">
      <c r="C133" s="1" t="s">
        <v>12</v>
      </c>
      <c r="D133" s="1" t="s">
        <v>50</v>
      </c>
      <c r="F133" s="1" t="s">
        <v>47</v>
      </c>
      <c r="G133" s="2"/>
      <c r="H133" s="63"/>
      <c r="J133" s="2"/>
      <c r="P133" s="2"/>
      <c r="Q133" s="6">
        <f t="shared" si="18"/>
        <v>0</v>
      </c>
      <c r="R133" s="6">
        <f t="shared" si="18"/>
        <v>0</v>
      </c>
      <c r="S133" s="6">
        <f t="shared" si="18"/>
        <v>0</v>
      </c>
      <c r="T133" s="6">
        <f t="shared" si="18"/>
        <v>0</v>
      </c>
      <c r="U133" s="6">
        <f t="shared" si="18"/>
        <v>0</v>
      </c>
      <c r="V133" s="6">
        <f t="shared" si="19"/>
        <v>0</v>
      </c>
    </row>
    <row r="134" spans="3:23" ht="12.75" customHeight="1" x14ac:dyDescent="0.2">
      <c r="C134" s="21" t="s">
        <v>13</v>
      </c>
      <c r="D134" s="21" t="s">
        <v>50</v>
      </c>
      <c r="E134" s="99"/>
      <c r="F134" s="100"/>
      <c r="G134" s="101"/>
      <c r="H134" s="100"/>
      <c r="I134" s="102"/>
      <c r="J134" s="101"/>
      <c r="K134" s="99"/>
      <c r="L134" s="99"/>
      <c r="M134" s="99"/>
      <c r="N134" s="99"/>
      <c r="O134" s="99"/>
      <c r="P134" s="101"/>
      <c r="Q134" s="22">
        <f>SUM(Q128:Q133)</f>
        <v>815601.82951333607</v>
      </c>
      <c r="R134" s="22">
        <f t="shared" ref="R134:U134" si="20">SUM(R128:R133)</f>
        <v>411030.8143760669</v>
      </c>
      <c r="S134" s="22">
        <f t="shared" si="20"/>
        <v>507912.27859841648</v>
      </c>
      <c r="T134" s="22">
        <f t="shared" si="20"/>
        <v>394648.74022081459</v>
      </c>
      <c r="U134" s="22">
        <f t="shared" si="20"/>
        <v>400792.0180290342</v>
      </c>
      <c r="V134" s="22">
        <f>SUM(V128:V133)</f>
        <v>2529985.6807376682</v>
      </c>
    </row>
    <row r="135" spans="3:23" ht="12.75" customHeight="1" x14ac:dyDescent="0.2">
      <c r="C135" s="1" t="s">
        <v>10</v>
      </c>
      <c r="D135" s="1" t="s">
        <v>46</v>
      </c>
      <c r="F135" s="1" t="s">
        <v>51</v>
      </c>
      <c r="G135" s="2"/>
      <c r="H135" s="63"/>
      <c r="J135" s="2"/>
      <c r="P135" s="2"/>
      <c r="Q135" s="112">
        <f t="shared" ref="Q135:U140" si="21">Q100*business_case_dollars</f>
        <v>0</v>
      </c>
      <c r="R135" s="112">
        <f t="shared" si="21"/>
        <v>0</v>
      </c>
      <c r="S135" s="112">
        <f t="shared" si="21"/>
        <v>0</v>
      </c>
      <c r="T135" s="112">
        <f t="shared" si="21"/>
        <v>0</v>
      </c>
      <c r="U135" s="112">
        <f t="shared" si="21"/>
        <v>0</v>
      </c>
      <c r="V135" s="67">
        <f>SUM(Q135:U135)</f>
        <v>0</v>
      </c>
    </row>
    <row r="136" spans="3:23" ht="12.75" customHeight="1" x14ac:dyDescent="0.2">
      <c r="C136" s="1" t="s">
        <v>11</v>
      </c>
      <c r="D136" s="1" t="s">
        <v>46</v>
      </c>
      <c r="F136" s="1" t="s">
        <v>51</v>
      </c>
      <c r="G136" s="2"/>
      <c r="H136" s="63"/>
      <c r="J136" s="2"/>
      <c r="P136" s="2"/>
      <c r="Q136" s="6">
        <f t="shared" si="21"/>
        <v>0</v>
      </c>
      <c r="R136" s="6">
        <f t="shared" si="21"/>
        <v>0</v>
      </c>
      <c r="S136" s="6">
        <f t="shared" si="21"/>
        <v>0</v>
      </c>
      <c r="T136" s="6">
        <f t="shared" si="21"/>
        <v>0</v>
      </c>
      <c r="U136" s="6">
        <f t="shared" si="21"/>
        <v>0</v>
      </c>
      <c r="V136" s="67">
        <f t="shared" ref="V136:V140" si="22">SUM(Q136:U136)</f>
        <v>0</v>
      </c>
    </row>
    <row r="137" spans="3:23" ht="12.75" customHeight="1" x14ac:dyDescent="0.2">
      <c r="C137" s="1" t="s">
        <v>12</v>
      </c>
      <c r="D137" s="1" t="s">
        <v>46</v>
      </c>
      <c r="F137" s="1" t="s">
        <v>51</v>
      </c>
      <c r="G137" s="2"/>
      <c r="H137" s="63"/>
      <c r="J137" s="2"/>
      <c r="P137" s="2"/>
      <c r="Q137" s="6">
        <f t="shared" si="21"/>
        <v>0</v>
      </c>
      <c r="R137" s="6">
        <f t="shared" si="21"/>
        <v>100162.13817749369</v>
      </c>
      <c r="S137" s="6">
        <f t="shared" si="21"/>
        <v>100162.13817749369</v>
      </c>
      <c r="T137" s="6">
        <f t="shared" si="21"/>
        <v>100162.13817749369</v>
      </c>
      <c r="U137" s="6">
        <f t="shared" si="21"/>
        <v>100162.13817749369</v>
      </c>
      <c r="V137" s="67">
        <f t="shared" si="22"/>
        <v>400648.55270997476</v>
      </c>
    </row>
    <row r="138" spans="3:23" ht="12.75" customHeight="1" x14ac:dyDescent="0.2">
      <c r="C138" s="1" t="s">
        <v>10</v>
      </c>
      <c r="D138" s="1" t="s">
        <v>46</v>
      </c>
      <c r="F138" s="1" t="s">
        <v>47</v>
      </c>
      <c r="G138" s="2"/>
      <c r="H138" s="63"/>
      <c r="J138" s="2"/>
      <c r="P138" s="2"/>
      <c r="Q138" s="6">
        <f t="shared" si="21"/>
        <v>0</v>
      </c>
      <c r="R138" s="6">
        <f t="shared" si="21"/>
        <v>0</v>
      </c>
      <c r="S138" s="6">
        <f t="shared" si="21"/>
        <v>0</v>
      </c>
      <c r="T138" s="6">
        <f t="shared" si="21"/>
        <v>0</v>
      </c>
      <c r="U138" s="6">
        <f t="shared" si="21"/>
        <v>0</v>
      </c>
      <c r="V138" s="6">
        <f t="shared" si="22"/>
        <v>0</v>
      </c>
    </row>
    <row r="139" spans="3:23" ht="12.75" customHeight="1" x14ac:dyDescent="0.2">
      <c r="C139" s="1" t="s">
        <v>11</v>
      </c>
      <c r="D139" s="1" t="s">
        <v>46</v>
      </c>
      <c r="F139" s="1" t="s">
        <v>47</v>
      </c>
      <c r="G139" s="2"/>
      <c r="H139" s="63"/>
      <c r="J139" s="2"/>
      <c r="P139" s="2"/>
      <c r="Q139" s="6">
        <f t="shared" si="21"/>
        <v>0</v>
      </c>
      <c r="R139" s="6">
        <f t="shared" si="21"/>
        <v>0</v>
      </c>
      <c r="S139" s="6">
        <f t="shared" si="21"/>
        <v>0</v>
      </c>
      <c r="T139" s="6">
        <f t="shared" si="21"/>
        <v>0</v>
      </c>
      <c r="U139" s="6">
        <f t="shared" si="21"/>
        <v>0</v>
      </c>
      <c r="V139" s="6">
        <f t="shared" si="22"/>
        <v>0</v>
      </c>
    </row>
    <row r="140" spans="3:23" ht="12.75" customHeight="1" x14ac:dyDescent="0.2">
      <c r="C140" s="1" t="s">
        <v>12</v>
      </c>
      <c r="D140" s="1" t="s">
        <v>46</v>
      </c>
      <c r="F140" s="1" t="s">
        <v>47</v>
      </c>
      <c r="G140" s="2"/>
      <c r="H140" s="63"/>
      <c r="J140" s="2"/>
      <c r="P140" s="2"/>
      <c r="Q140" s="6">
        <f t="shared" si="21"/>
        <v>0</v>
      </c>
      <c r="R140" s="6">
        <f t="shared" si="21"/>
        <v>0</v>
      </c>
      <c r="S140" s="6">
        <f t="shared" si="21"/>
        <v>0</v>
      </c>
      <c r="T140" s="6">
        <f t="shared" si="21"/>
        <v>0</v>
      </c>
      <c r="U140" s="6">
        <f t="shared" si="21"/>
        <v>0</v>
      </c>
      <c r="V140" s="6">
        <f t="shared" si="22"/>
        <v>0</v>
      </c>
    </row>
    <row r="141" spans="3:23" ht="12.75" customHeight="1" x14ac:dyDescent="0.2">
      <c r="C141" s="21" t="s">
        <v>14</v>
      </c>
      <c r="D141" s="21" t="s">
        <v>46</v>
      </c>
      <c r="E141" s="99"/>
      <c r="F141" s="100"/>
      <c r="G141" s="101"/>
      <c r="H141" s="100"/>
      <c r="I141" s="102"/>
      <c r="J141" s="101"/>
      <c r="K141" s="99"/>
      <c r="L141" s="99"/>
      <c r="M141" s="99"/>
      <c r="N141" s="99"/>
      <c r="O141" s="99"/>
      <c r="P141" s="101"/>
      <c r="Q141" s="22">
        <f>SUM(Q135:Q140)</f>
        <v>0</v>
      </c>
      <c r="R141" s="22">
        <f t="shared" ref="R141:V141" si="23">SUM(R135:R140)</f>
        <v>100162.13817749369</v>
      </c>
      <c r="S141" s="22">
        <f t="shared" si="23"/>
        <v>100162.13817749369</v>
      </c>
      <c r="T141" s="22">
        <f t="shared" si="23"/>
        <v>100162.13817749369</v>
      </c>
      <c r="U141" s="22">
        <f t="shared" si="23"/>
        <v>100162.13817749369</v>
      </c>
      <c r="V141" s="22">
        <f t="shared" si="23"/>
        <v>400648.55270997476</v>
      </c>
    </row>
    <row r="142" spans="3:23" ht="12.75" customHeight="1" x14ac:dyDescent="0.2">
      <c r="G142" s="2"/>
      <c r="H142" s="63"/>
      <c r="J142" s="2"/>
      <c r="P142" s="2"/>
      <c r="Q142" s="6"/>
      <c r="R142" s="6"/>
      <c r="S142" s="6"/>
      <c r="T142" s="6"/>
      <c r="U142" s="6"/>
      <c r="V142" s="67"/>
    </row>
    <row r="143" spans="3:23" x14ac:dyDescent="0.2">
      <c r="C143" s="7" t="str">
        <f>"Total Expenditure ($ "&amp;Assumptions!$C$35&amp;")"</f>
        <v>Total Expenditure ($ June 2026)</v>
      </c>
      <c r="D143" s="7" t="s">
        <v>80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815601.82951333607</v>
      </c>
      <c r="R143" s="8">
        <f t="shared" ref="R143:U143" si="24">R134+R141</f>
        <v>511192.95255356061</v>
      </c>
      <c r="S143" s="8">
        <f t="shared" si="24"/>
        <v>608074.41677591018</v>
      </c>
      <c r="T143" s="8">
        <f t="shared" si="24"/>
        <v>494810.8783983083</v>
      </c>
      <c r="U143" s="8">
        <f t="shared" si="24"/>
        <v>500954.1562065279</v>
      </c>
      <c r="V143" s="68">
        <f t="shared" si="19"/>
        <v>2930634.233447643</v>
      </c>
    </row>
    <row r="144" spans="3:23" x14ac:dyDescent="0.2">
      <c r="G144" s="2"/>
      <c r="J144" s="2"/>
      <c r="P144" s="2"/>
      <c r="Q144" s="43">
        <f>SUM(Q10:Q89)*business_case_dollars-Q143</f>
        <v>0</v>
      </c>
      <c r="R144" s="43">
        <f>SUM(R10:R89)*business_case_dollars-R143</f>
        <v>0</v>
      </c>
      <c r="S144" s="43">
        <f>SUM(S10:S89)*business_case_dollars-S143</f>
        <v>0</v>
      </c>
      <c r="T144" s="43">
        <f>SUM(T10:T89)*business_case_dollars-T143</f>
        <v>0</v>
      </c>
      <c r="U144" s="43">
        <f>SUM(U10:U89)*business_case_dollars-U143</f>
        <v>0</v>
      </c>
      <c r="V144" s="43">
        <f>SUM(Q10:U89)*business_case_dollars-V143</f>
        <v>0</v>
      </c>
      <c r="W144" s="43">
        <f>SUM(Q144:V144)</f>
        <v>0</v>
      </c>
    </row>
    <row r="145" spans="3:23" x14ac:dyDescent="0.2">
      <c r="C145" s="51" t="str">
        <f>"NPV ($ "&amp;Assumptions!$C$35&amp;")"</f>
        <v>NPV ($ June 2026)</v>
      </c>
      <c r="D145" s="52">
        <f>NPV(Real_Discount_rate,Q143:U143)</f>
        <v>2666662.5187053056</v>
      </c>
      <c r="G145" s="2"/>
      <c r="J145" s="2"/>
      <c r="P145" s="2"/>
      <c r="Q145" s="49"/>
      <c r="R145" s="49"/>
      <c r="S145" s="49"/>
      <c r="T145" s="49"/>
      <c r="U145" s="49"/>
    </row>
    <row r="148" spans="3:23" x14ac:dyDescent="0.2">
      <c r="C148" s="4" t="s">
        <v>75</v>
      </c>
      <c r="F148" s="3"/>
      <c r="G148" s="2"/>
      <c r="J148" s="2"/>
      <c r="P148" s="2"/>
      <c r="Q148" s="64" t="s">
        <v>5</v>
      </c>
      <c r="R148" s="64" t="s">
        <v>6</v>
      </c>
      <c r="S148" s="64" t="s">
        <v>7</v>
      </c>
      <c r="T148" s="64" t="s">
        <v>8</v>
      </c>
      <c r="U148" s="64" t="s">
        <v>9</v>
      </c>
      <c r="V148" s="109" t="s">
        <v>0</v>
      </c>
    </row>
    <row r="149" spans="3:23" x14ac:dyDescent="0.2">
      <c r="C149" s="24"/>
      <c r="D149" s="24" t="s">
        <v>50</v>
      </c>
      <c r="E149" s="24"/>
      <c r="F149" s="24" t="s">
        <v>51</v>
      </c>
      <c r="G149" s="2"/>
      <c r="H149" s="61"/>
      <c r="I149" s="62"/>
      <c r="J149" s="2"/>
      <c r="K149" s="24"/>
      <c r="L149" s="24"/>
      <c r="M149" s="24"/>
      <c r="N149" s="24"/>
      <c r="O149" s="24"/>
      <c r="P149" s="2"/>
      <c r="Q149" s="25">
        <f t="shared" ref="Q149:U150" si="25">Q115*business_case_dollars</f>
        <v>815601.82951333595</v>
      </c>
      <c r="R149" s="25">
        <f t="shared" si="25"/>
        <v>411030.8143760669</v>
      </c>
      <c r="S149" s="25">
        <f t="shared" si="25"/>
        <v>507912.27859841648</v>
      </c>
      <c r="T149" s="25">
        <f t="shared" si="25"/>
        <v>394648.74022081459</v>
      </c>
      <c r="U149" s="25">
        <f t="shared" si="25"/>
        <v>400792.0180290342</v>
      </c>
      <c r="V149" s="67">
        <f t="shared" ref="V149:V150" si="26">SUM(Q149:U149)</f>
        <v>2529985.6807376682</v>
      </c>
    </row>
    <row r="150" spans="3:23" x14ac:dyDescent="0.2">
      <c r="D150" s="1" t="s">
        <v>46</v>
      </c>
      <c r="F150" s="1" t="s">
        <v>51</v>
      </c>
      <c r="G150" s="2"/>
      <c r="J150" s="2"/>
      <c r="P150" s="2"/>
      <c r="Q150" s="108">
        <f t="shared" si="25"/>
        <v>0</v>
      </c>
      <c r="R150" s="108">
        <f t="shared" si="25"/>
        <v>100162.13817749369</v>
      </c>
      <c r="S150" s="108">
        <f t="shared" si="25"/>
        <v>100162.13817749369</v>
      </c>
      <c r="T150" s="108">
        <f t="shared" si="25"/>
        <v>100162.13817749369</v>
      </c>
      <c r="U150" s="108">
        <f t="shared" si="25"/>
        <v>100162.13817749369</v>
      </c>
      <c r="V150" s="67">
        <f t="shared" si="26"/>
        <v>400648.55270997476</v>
      </c>
    </row>
    <row r="151" spans="3:23" x14ac:dyDescent="0.2">
      <c r="C151" s="21" t="s">
        <v>77</v>
      </c>
      <c r="D151" s="21"/>
      <c r="E151" s="99"/>
      <c r="F151" s="100"/>
      <c r="G151" s="2"/>
      <c r="H151" s="100"/>
      <c r="I151" s="102"/>
      <c r="J151" s="101"/>
      <c r="K151" s="99"/>
      <c r="L151" s="99"/>
      <c r="M151" s="99"/>
      <c r="N151" s="99"/>
      <c r="O151" s="99"/>
      <c r="P151" s="2"/>
      <c r="Q151" s="22">
        <f>SUM(Q149:Q150)</f>
        <v>815601.82951333595</v>
      </c>
      <c r="R151" s="22">
        <f t="shared" ref="R151:V151" si="27">SUM(R149:R150)</f>
        <v>511192.95255356061</v>
      </c>
      <c r="S151" s="22">
        <f t="shared" si="27"/>
        <v>608074.41677591018</v>
      </c>
      <c r="T151" s="22">
        <f t="shared" si="27"/>
        <v>494810.8783983083</v>
      </c>
      <c r="U151" s="22">
        <f t="shared" si="27"/>
        <v>500954.1562065279</v>
      </c>
      <c r="V151" s="22">
        <f t="shared" si="27"/>
        <v>2930634.233447643</v>
      </c>
    </row>
    <row r="152" spans="3:23" x14ac:dyDescent="0.2">
      <c r="C152" s="4"/>
      <c r="D152" s="1" t="s">
        <v>50</v>
      </c>
      <c r="F152" s="1" t="s">
        <v>47</v>
      </c>
      <c r="G152" s="2"/>
      <c r="H152" s="63"/>
      <c r="J152" s="2"/>
      <c r="P152" s="2"/>
      <c r="Q152" s="6">
        <f t="shared" ref="Q152:U153" si="28">Q118*business_case_dollars</f>
        <v>0</v>
      </c>
      <c r="R152" s="6">
        <f t="shared" si="28"/>
        <v>0</v>
      </c>
      <c r="S152" s="6">
        <f t="shared" si="28"/>
        <v>0</v>
      </c>
      <c r="T152" s="6">
        <f t="shared" si="28"/>
        <v>0</v>
      </c>
      <c r="U152" s="6">
        <f t="shared" si="28"/>
        <v>0</v>
      </c>
      <c r="V152" s="67">
        <f t="shared" ref="V152:V153" si="29">SUM(Q152:U152)</f>
        <v>0</v>
      </c>
    </row>
    <row r="153" spans="3:23" x14ac:dyDescent="0.2">
      <c r="C153" s="4"/>
      <c r="D153" s="1" t="s">
        <v>46</v>
      </c>
      <c r="F153" s="1" t="s">
        <v>47</v>
      </c>
      <c r="G153" s="2"/>
      <c r="H153" s="63"/>
      <c r="J153" s="2"/>
      <c r="P153" s="2"/>
      <c r="Q153" s="6">
        <f t="shared" si="28"/>
        <v>0</v>
      </c>
      <c r="R153" s="6">
        <f t="shared" si="28"/>
        <v>0</v>
      </c>
      <c r="S153" s="6">
        <f t="shared" si="28"/>
        <v>0</v>
      </c>
      <c r="T153" s="6">
        <f t="shared" si="28"/>
        <v>0</v>
      </c>
      <c r="U153" s="6">
        <f t="shared" si="28"/>
        <v>0</v>
      </c>
      <c r="V153" s="67">
        <f t="shared" si="29"/>
        <v>0</v>
      </c>
    </row>
    <row r="154" spans="3:23" x14ac:dyDescent="0.2">
      <c r="C154" s="21" t="s">
        <v>78</v>
      </c>
      <c r="D154" s="21"/>
      <c r="E154" s="99"/>
      <c r="F154" s="100"/>
      <c r="G154" s="2"/>
      <c r="H154" s="100"/>
      <c r="I154" s="102"/>
      <c r="J154" s="101"/>
      <c r="K154" s="99"/>
      <c r="L154" s="99"/>
      <c r="M154" s="99"/>
      <c r="N154" s="99"/>
      <c r="O154" s="99"/>
      <c r="P154" s="2"/>
      <c r="Q154" s="22">
        <f>SUM(Q152:Q153)</f>
        <v>0</v>
      </c>
      <c r="R154" s="22">
        <f t="shared" ref="R154:V154" si="30">SUM(R152:R153)</f>
        <v>0</v>
      </c>
      <c r="S154" s="22">
        <f t="shared" si="30"/>
        <v>0</v>
      </c>
      <c r="T154" s="22">
        <f t="shared" si="30"/>
        <v>0</v>
      </c>
      <c r="U154" s="22">
        <f t="shared" si="30"/>
        <v>0</v>
      </c>
      <c r="V154" s="22">
        <f t="shared" si="30"/>
        <v>0</v>
      </c>
    </row>
    <row r="155" spans="3:23" x14ac:dyDescent="0.2">
      <c r="C155" s="4"/>
      <c r="D155" s="4"/>
      <c r="F155" s="63"/>
      <c r="G155" s="2"/>
      <c r="H155" s="63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815601.82951333595</v>
      </c>
      <c r="R156" s="8">
        <f t="shared" ref="R156:U156" si="31">R151+R154</f>
        <v>511192.95255356061</v>
      </c>
      <c r="S156" s="8">
        <f t="shared" si="31"/>
        <v>608074.41677591018</v>
      </c>
      <c r="T156" s="8">
        <f t="shared" si="31"/>
        <v>494810.8783983083</v>
      </c>
      <c r="U156" s="8">
        <f t="shared" si="31"/>
        <v>500954.1562065279</v>
      </c>
      <c r="V156" s="68">
        <f t="shared" ref="V156" si="32">SUM(Q156:U156)</f>
        <v>2930634.233447643</v>
      </c>
    </row>
    <row r="157" spans="3:23" x14ac:dyDescent="0.2">
      <c r="C157" s="42" t="s">
        <v>76</v>
      </c>
      <c r="D157" s="42"/>
      <c r="E157" s="42"/>
      <c r="F157" s="42"/>
      <c r="G157" s="2"/>
      <c r="H157" s="42"/>
      <c r="I157" s="42"/>
      <c r="J157" s="2"/>
      <c r="K157" s="42"/>
      <c r="L157" s="42"/>
      <c r="M157" s="42"/>
      <c r="N157" s="42"/>
      <c r="O157" s="42"/>
      <c r="P157" s="2"/>
      <c r="Q157" s="43">
        <f>Q156-SUM(Q$10:Q$89)*business_case_dollars</f>
        <v>0</v>
      </c>
      <c r="R157" s="43">
        <f>R156-SUM(R$10:R$89)*business_case_dollars</f>
        <v>0</v>
      </c>
      <c r="S157" s="43">
        <f>S156-SUM(S$10:S$89)*business_case_dollars</f>
        <v>0</v>
      </c>
      <c r="T157" s="43">
        <f>T156-SUM(T$10:T$89)*business_case_dollars</f>
        <v>0</v>
      </c>
      <c r="U157" s="43">
        <f>U156-SUM(U$10:U$89)*business_case_dollars</f>
        <v>0</v>
      </c>
      <c r="V157" s="43">
        <f>V156-SUM(Q$10:U$89)*business_case_dollars</f>
        <v>0</v>
      </c>
      <c r="W157" s="43">
        <f>SUM(Q157:V157)</f>
        <v>0</v>
      </c>
    </row>
  </sheetData>
  <conditionalFormatting sqref="H10:H89">
    <cfRule type="expression" dxfId="32" priority="14">
      <formula>$E10="Contracts"</formula>
    </cfRule>
    <cfRule type="expression" dxfId="31" priority="15">
      <formula>$E10="Materials"</formula>
    </cfRule>
    <cfRule type="expression" dxfId="30" priority="16">
      <formula>$E10="Labour"</formula>
    </cfRule>
  </conditionalFormatting>
  <conditionalFormatting sqref="Q109:V109">
    <cfRule type="expression" dxfId="29" priority="7">
      <formula>ABS(Q109)&gt;0.001</formula>
    </cfRule>
  </conditionalFormatting>
  <conditionalFormatting sqref="Q123:V126">
    <cfRule type="expression" dxfId="28" priority="4">
      <formula>ABS(Q123)&gt;0.001</formula>
    </cfRule>
  </conditionalFormatting>
  <conditionalFormatting sqref="Q144:V144">
    <cfRule type="expression" dxfId="27" priority="8">
      <formula>ABS(Q144)&gt;0.001</formula>
    </cfRule>
  </conditionalFormatting>
  <conditionalFormatting sqref="Q157:V157">
    <cfRule type="expression" dxfId="26" priority="1">
      <formula>ABS(Q157)&gt;0.001</formula>
    </cfRule>
  </conditionalFormatting>
  <conditionalFormatting sqref="W109">
    <cfRule type="expression" dxfId="25" priority="20">
      <formula>ABS(W109)&gt;0.001</formula>
    </cfRule>
  </conditionalFormatting>
  <conditionalFormatting sqref="W123:W126">
    <cfRule type="expression" dxfId="24" priority="5">
      <formula>ABS(W123)&gt;0.001</formula>
    </cfRule>
  </conditionalFormatting>
  <conditionalFormatting sqref="W144">
    <cfRule type="expression" dxfId="23" priority="10">
      <formula>ABS(W144)&gt;0.001</formula>
    </cfRule>
  </conditionalFormatting>
  <conditionalFormatting sqref="W157">
    <cfRule type="expression" dxfId="22" priority="2">
      <formula>ABS(W157)&gt;0.001</formula>
    </cfRule>
  </conditionalFormatting>
  <dataValidations count="3">
    <dataValidation type="list" allowBlank="1" showInputMessage="1" showErrorMessage="1" sqref="E10:E89" xr:uid="{B0E8B852-301B-4563-9163-FFDB1711704F}">
      <formula1>"Labour, Materials, Contracts"</formula1>
    </dataValidation>
    <dataValidation type="list" allowBlank="1" showInputMessage="1" showErrorMessage="1" sqref="D10:D89" xr:uid="{056126DF-837A-45EA-97BA-3AA3767E7A6C}">
      <formula1>"Capex, Opex"</formula1>
    </dataValidation>
    <dataValidation type="list" allowBlank="1" showInputMessage="1" showErrorMessage="1" sqref="F10:F89" xr:uid="{A87B8CA9-9117-400F-B444-E498C5629FFA}">
      <formula1>"Recurrent, Non recurrent"</formula1>
    </dataValidation>
  </dataValidations>
  <pageMargins left="0.7" right="0.7" top="0.75" bottom="0.75" header="0.3" footer="0.3"/>
  <pageSetup paperSize="9" orientation="portrait" r:id="rId1"/>
  <ignoredErrors>
    <ignoredError sqref="Q99:V99 Q117:U117 Q134:V13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9FB3C-4E4B-4F0D-B5CA-250C86D70AF7}">
  <dimension ref="A1:Z157"/>
  <sheetViews>
    <sheetView showGridLines="0" zoomScale="80" zoomScaleNormal="80" workbookViewId="0">
      <pane ySplit="9" topLeftCell="A114" activePane="bottomLeft" state="frozen"/>
      <selection activeCell="T118" sqref="T118"/>
      <selection pane="bottomLeft" activeCell="C141" sqref="C141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2" style="1" bestFit="1" customWidth="1"/>
    <col min="23" max="23" width="5.85546875" style="1" bestFit="1" customWidth="1"/>
    <col min="24" max="16384" width="9.140625" style="1"/>
  </cols>
  <sheetData>
    <row r="1" spans="1:26" ht="21" x14ac:dyDescent="0.35">
      <c r="A1" s="58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5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2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5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7" t="s">
        <v>39</v>
      </c>
      <c r="D7" s="60" t="s">
        <v>40</v>
      </c>
      <c r="E7" s="60" t="s">
        <v>41</v>
      </c>
      <c r="F7" s="107" t="s">
        <v>42</v>
      </c>
      <c r="G7" s="16"/>
      <c r="H7" s="19" t="s">
        <v>10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7"/>
      <c r="D8" s="97" t="s">
        <v>46</v>
      </c>
      <c r="E8" s="97"/>
      <c r="F8" s="97" t="s">
        <v>47</v>
      </c>
      <c r="G8" s="16"/>
      <c r="H8" s="106" t="s">
        <v>48</v>
      </c>
      <c r="I8" s="97"/>
      <c r="K8" s="48" t="s">
        <v>5</v>
      </c>
      <c r="L8" s="48" t="s">
        <v>6</v>
      </c>
      <c r="M8" s="48" t="s">
        <v>7</v>
      </c>
      <c r="N8" s="48" t="s">
        <v>8</v>
      </c>
      <c r="O8" s="48" t="s">
        <v>9</v>
      </c>
      <c r="Q8" s="48" t="s">
        <v>5</v>
      </c>
      <c r="R8" s="48" t="s">
        <v>6</v>
      </c>
      <c r="S8" s="48" t="s">
        <v>7</v>
      </c>
      <c r="T8" s="48" t="s">
        <v>8</v>
      </c>
      <c r="U8" s="48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6" t="s">
        <v>49</v>
      </c>
      <c r="D10" s="77" t="s">
        <v>50</v>
      </c>
      <c r="E10" s="77" t="s">
        <v>10</v>
      </c>
      <c r="F10" s="75" t="s">
        <v>51</v>
      </c>
      <c r="G10" s="2"/>
      <c r="H10" s="59">
        <f>IF($E10="Labour",Assumptions!$B$14,)</f>
        <v>145.77740895836223</v>
      </c>
      <c r="I10" s="9" t="str">
        <f>IF($E10="Labour","Hours","$")</f>
        <v>Hours</v>
      </c>
      <c r="J10" s="2"/>
      <c r="K10" s="78">
        <f>50*36.8/100</f>
        <v>18.399999999999999</v>
      </c>
      <c r="L10" s="78">
        <f>50*36.8/100</f>
        <v>18.399999999999999</v>
      </c>
      <c r="M10" s="78">
        <f>50*36.8/100</f>
        <v>18.399999999999999</v>
      </c>
      <c r="N10" s="78">
        <f>50*36.8/100</f>
        <v>18.399999999999999</v>
      </c>
      <c r="O10" s="78">
        <f>50*36.8/100</f>
        <v>18.399999999999999</v>
      </c>
      <c r="P10" s="2"/>
      <c r="Q10" s="5">
        <f>IF($E10="Labour",$H10*K10,K10)</f>
        <v>2682.3043248338649</v>
      </c>
      <c r="R10" s="5">
        <f>IF($E10="Labour",$H10*L10,L10)</f>
        <v>2682.3043248338649</v>
      </c>
      <c r="S10" s="5">
        <f>IF($E10="Labour",$H10*M10,M10)</f>
        <v>2682.3043248338649</v>
      </c>
      <c r="T10" s="5">
        <f>IF($E10="Labour",$H10*N10,N10)</f>
        <v>2682.3043248338649</v>
      </c>
      <c r="U10" s="5">
        <f>IF($E10="Labour",$H10*O10,O10)</f>
        <v>2682.3043248338649</v>
      </c>
    </row>
    <row r="11" spans="1:26" ht="12.75" customHeight="1" x14ac:dyDescent="0.2">
      <c r="A11" s="4"/>
      <c r="C11" s="76" t="s">
        <v>49</v>
      </c>
      <c r="D11" s="77" t="s">
        <v>50</v>
      </c>
      <c r="E11" s="77" t="s">
        <v>11</v>
      </c>
      <c r="F11" s="75" t="s">
        <v>51</v>
      </c>
      <c r="G11" s="2"/>
      <c r="H11" s="59">
        <f>IF($E11="Labour",Assumptions!$B$14,)</f>
        <v>0</v>
      </c>
      <c r="I11" s="9" t="str">
        <f t="shared" ref="I11:I89" si="0">IF($E11="Labour","Hours","$")</f>
        <v>$</v>
      </c>
      <c r="J11" s="2"/>
      <c r="K11" s="78"/>
      <c r="L11" s="78"/>
      <c r="M11" s="78"/>
      <c r="N11" s="78"/>
      <c r="O11" s="78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6" t="s">
        <v>49</v>
      </c>
      <c r="D12" s="77" t="s">
        <v>50</v>
      </c>
      <c r="E12" s="77" t="s">
        <v>12</v>
      </c>
      <c r="F12" s="75" t="s">
        <v>51</v>
      </c>
      <c r="G12" s="2"/>
      <c r="H12" s="59">
        <f>IF($E12="Labour",Assumptions!$B$14,)</f>
        <v>0</v>
      </c>
      <c r="I12" s="9" t="str">
        <f t="shared" si="0"/>
        <v>$</v>
      </c>
      <c r="J12" s="2"/>
      <c r="K12" s="78">
        <f>5000*36.8/100</f>
        <v>1840</v>
      </c>
      <c r="L12" s="78">
        <f>5000*36.8/100</f>
        <v>1840</v>
      </c>
      <c r="M12" s="78">
        <f>5000*36.8/100</f>
        <v>1840</v>
      </c>
      <c r="N12" s="78">
        <f>5000*36.8/100</f>
        <v>1840</v>
      </c>
      <c r="O12" s="78">
        <f>5000*36.8/100</f>
        <v>1840</v>
      </c>
      <c r="P12" s="2"/>
      <c r="Q12" s="5">
        <f>IF($E12="Labour",$H12*K12,K12)</f>
        <v>1840</v>
      </c>
      <c r="R12" s="5">
        <f>IF($E12="Labour",$H12*L12,L12)</f>
        <v>1840</v>
      </c>
      <c r="S12" s="5">
        <f>IF($E12="Labour",$H12*M12,M12)</f>
        <v>1840</v>
      </c>
      <c r="T12" s="5">
        <f>IF($E12="Labour",$H12*N12,N12)</f>
        <v>1840</v>
      </c>
      <c r="U12" s="5">
        <f>IF($E12="Labour",$H12*O12,O12)</f>
        <v>1840</v>
      </c>
    </row>
    <row r="13" spans="1:26" ht="12.75" customHeight="1" x14ac:dyDescent="0.25">
      <c r="A13" s="4"/>
      <c r="C13" s="76" t="s">
        <v>52</v>
      </c>
      <c r="D13" s="77" t="s">
        <v>50</v>
      </c>
      <c r="E13" s="77" t="s">
        <v>10</v>
      </c>
      <c r="F13" s="75" t="s">
        <v>51</v>
      </c>
      <c r="G13" s="2"/>
      <c r="H13" s="59">
        <f>IF($E13="Labour",Assumptions!$B$14,)</f>
        <v>145.77740895836223</v>
      </c>
      <c r="I13" s="9" t="str">
        <f t="shared" si="0"/>
        <v>Hours</v>
      </c>
      <c r="J13" s="2"/>
      <c r="K13" s="78">
        <f>750*50/100</f>
        <v>375</v>
      </c>
      <c r="L13" s="78"/>
      <c r="M13" s="78">
        <f>750*50/100</f>
        <v>375</v>
      </c>
      <c r="N13" s="78"/>
      <c r="O13" s="78"/>
      <c r="P13" s="2"/>
      <c r="Q13" s="5">
        <f>IF($E13="Labour",$H13*K13,K13)</f>
        <v>54666.528359385833</v>
      </c>
      <c r="R13" s="5">
        <f>IF($E13="Labour",$H13*L13,L13)</f>
        <v>0</v>
      </c>
      <c r="S13" s="5">
        <f>IF($E13="Labour",$H13*M13,M13)</f>
        <v>54666.528359385833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6" t="s">
        <v>52</v>
      </c>
      <c r="D14" s="77" t="s">
        <v>50</v>
      </c>
      <c r="E14" s="77" t="s">
        <v>11</v>
      </c>
      <c r="F14" s="75" t="s">
        <v>51</v>
      </c>
      <c r="G14" s="2"/>
      <c r="H14" s="59">
        <f>IF($E14="Labour",Assumptions!$B$14,)</f>
        <v>0</v>
      </c>
      <c r="I14" s="9" t="str">
        <f t="shared" si="0"/>
        <v>$</v>
      </c>
      <c r="J14" s="2"/>
      <c r="K14" s="78">
        <f>100000*50/100</f>
        <v>50000</v>
      </c>
      <c r="L14" s="78"/>
      <c r="M14" s="78">
        <f>100000*50/100</f>
        <v>50000</v>
      </c>
      <c r="N14" s="78"/>
      <c r="O14" s="78"/>
      <c r="P14" s="2"/>
      <c r="Q14" s="5">
        <f>IF($E14="Labour",$H14*K14,K14)</f>
        <v>50000</v>
      </c>
      <c r="R14" s="5">
        <f>IF($E14="Labour",$H14*L14,L14)</f>
        <v>0</v>
      </c>
      <c r="S14" s="5">
        <f>IF($E14="Labour",$H14*M14,M14)</f>
        <v>50000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76" t="s">
        <v>52</v>
      </c>
      <c r="D15" s="77" t="s">
        <v>50</v>
      </c>
      <c r="E15" s="77" t="s">
        <v>12</v>
      </c>
      <c r="F15" s="75" t="s">
        <v>51</v>
      </c>
      <c r="G15" s="2"/>
      <c r="H15" s="59">
        <f>IF($E15="Labour",Assumptions!$B$14,)</f>
        <v>0</v>
      </c>
      <c r="I15" s="9" t="str">
        <f t="shared" si="0"/>
        <v>$</v>
      </c>
      <c r="J15" s="2"/>
      <c r="K15" s="78">
        <f>400000*50/100</f>
        <v>200000</v>
      </c>
      <c r="L15" s="78"/>
      <c r="M15" s="78">
        <f>400000*50/100</f>
        <v>200000</v>
      </c>
      <c r="N15" s="78"/>
      <c r="O15" s="78"/>
      <c r="P15" s="2"/>
      <c r="Q15" s="5">
        <f>IF($E15="Labour",$H15*K15,K15)</f>
        <v>200000</v>
      </c>
      <c r="R15" s="5">
        <f>IF($E15="Labour",$H15*L15,L15)</f>
        <v>0</v>
      </c>
      <c r="S15" s="5">
        <f>IF($E15="Labour",$H15*M15,M15)</f>
        <v>200000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6" t="s">
        <v>54</v>
      </c>
      <c r="D16" s="77" t="s">
        <v>50</v>
      </c>
      <c r="E16" s="77" t="s">
        <v>10</v>
      </c>
      <c r="F16" s="75" t="s">
        <v>51</v>
      </c>
      <c r="G16" s="2"/>
      <c r="H16" s="59">
        <f>IF($E16="Labour",Assumptions!$B$14,)</f>
        <v>145.77740895836223</v>
      </c>
      <c r="I16" s="9" t="str">
        <f t="shared" si="0"/>
        <v>Hours</v>
      </c>
      <c r="J16" s="2"/>
      <c r="K16" s="78">
        <f>326*36.8/100</f>
        <v>119.96799999999999</v>
      </c>
      <c r="L16" s="78"/>
      <c r="M16" s="78">
        <f>326*36.8/100</f>
        <v>119.96799999999999</v>
      </c>
      <c r="N16" s="78"/>
      <c r="O16" s="78"/>
      <c r="P16" s="2"/>
      <c r="Q16" s="5">
        <f>IF($E16="Labour",$H16*K16,K16)</f>
        <v>17488.624197916797</v>
      </c>
      <c r="R16" s="5">
        <f>IF($E16="Labour",$H16*L16,L16)</f>
        <v>0</v>
      </c>
      <c r="S16" s="5">
        <f>IF($E16="Labour",$H16*M16,M16)</f>
        <v>17488.624197916797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76" t="s">
        <v>54</v>
      </c>
      <c r="D17" s="77" t="s">
        <v>50</v>
      </c>
      <c r="E17" s="77" t="s">
        <v>11</v>
      </c>
      <c r="F17" s="75" t="s">
        <v>51</v>
      </c>
      <c r="G17" s="2"/>
      <c r="H17" s="59">
        <f>IF($E17="Labour",Assumptions!$B$14,)</f>
        <v>0</v>
      </c>
      <c r="I17" s="9" t="str">
        <f t="shared" si="0"/>
        <v>$</v>
      </c>
      <c r="J17" s="2"/>
      <c r="K17" s="78"/>
      <c r="L17" s="78"/>
      <c r="M17" s="78"/>
      <c r="N17" s="78"/>
      <c r="O17" s="78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76" t="s">
        <v>54</v>
      </c>
      <c r="D18" s="77" t="s">
        <v>50</v>
      </c>
      <c r="E18" s="77" t="s">
        <v>12</v>
      </c>
      <c r="F18" s="75" t="s">
        <v>51</v>
      </c>
      <c r="G18" s="2"/>
      <c r="H18" s="59">
        <f>IF($E18="Labour",Assumptions!$B$14,)</f>
        <v>0</v>
      </c>
      <c r="I18" s="9" t="str">
        <f t="shared" si="0"/>
        <v>$</v>
      </c>
      <c r="J18" s="2"/>
      <c r="K18" s="78">
        <f>110000*36.8/100</f>
        <v>40479.999999999993</v>
      </c>
      <c r="L18" s="78"/>
      <c r="M18" s="78">
        <f>110000*36.8/100</f>
        <v>40479.999999999993</v>
      </c>
      <c r="N18" s="78"/>
      <c r="O18" s="78"/>
      <c r="P18" s="2"/>
      <c r="Q18" s="5">
        <f>IF($E18="Labour",$H18*K18,K18)</f>
        <v>40479.999999999993</v>
      </c>
      <c r="R18" s="5">
        <f>IF($E18="Labour",$H18*L18,L18)</f>
        <v>0</v>
      </c>
      <c r="S18" s="5">
        <f>IF($E18="Labour",$H18*M18,M18)</f>
        <v>40479.999999999993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76" t="s">
        <v>55</v>
      </c>
      <c r="D19" s="77" t="s">
        <v>50</v>
      </c>
      <c r="E19" s="77" t="s">
        <v>10</v>
      </c>
      <c r="F19" s="75" t="s">
        <v>51</v>
      </c>
      <c r="G19" s="2"/>
      <c r="H19" s="59">
        <f>IF($E19="Labour",Assumptions!$B$14,)</f>
        <v>145.77740895836223</v>
      </c>
      <c r="I19" s="9" t="str">
        <f t="shared" si="0"/>
        <v>Hours</v>
      </c>
      <c r="J19" s="2"/>
      <c r="K19" s="78">
        <f>2146*36.8/100</f>
        <v>789.72799999999984</v>
      </c>
      <c r="L19" s="78"/>
      <c r="M19" s="78"/>
      <c r="N19" s="78"/>
      <c r="O19" s="78"/>
      <c r="P19" s="2"/>
      <c r="Q19" s="5">
        <f>IF($E19="Labour",$H19*K19,K19)</f>
        <v>115124.50162186947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76" t="s">
        <v>55</v>
      </c>
      <c r="D20" s="77" t="s">
        <v>50</v>
      </c>
      <c r="E20" s="77" t="s">
        <v>11</v>
      </c>
      <c r="F20" s="75" t="s">
        <v>51</v>
      </c>
      <c r="G20" s="2"/>
      <c r="H20" s="59">
        <f>IF($E20="Labour",Assumptions!$B$14,)</f>
        <v>0</v>
      </c>
      <c r="I20" s="9" t="str">
        <f t="shared" si="0"/>
        <v>$</v>
      </c>
      <c r="J20" s="2"/>
      <c r="K20" s="78">
        <f>330000*36.8/100</f>
        <v>121439.99999999999</v>
      </c>
      <c r="L20" s="78"/>
      <c r="M20" s="78"/>
      <c r="N20" s="78"/>
      <c r="O20" s="78"/>
      <c r="P20" s="2"/>
      <c r="Q20" s="5">
        <f>IF($E20="Labour",$H20*K20,K20)</f>
        <v>121439.99999999999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76" t="s">
        <v>55</v>
      </c>
      <c r="D21" s="77" t="s">
        <v>50</v>
      </c>
      <c r="E21" s="77" t="s">
        <v>12</v>
      </c>
      <c r="F21" s="75" t="s">
        <v>51</v>
      </c>
      <c r="G21" s="2"/>
      <c r="H21" s="59">
        <f>IF($E21="Labour",Assumptions!$B$14,)</f>
        <v>0</v>
      </c>
      <c r="I21" s="9" t="str">
        <f t="shared" si="0"/>
        <v>$</v>
      </c>
      <c r="J21" s="2"/>
      <c r="K21" s="78">
        <f>430000*36.8/100</f>
        <v>158239.99999999997</v>
      </c>
      <c r="L21" s="78">
        <f>70000*36.8/100</f>
        <v>25760</v>
      </c>
      <c r="M21" s="78"/>
      <c r="N21" s="78"/>
      <c r="O21" s="78"/>
      <c r="P21" s="2"/>
      <c r="Q21" s="5">
        <f>IF($E21="Labour",$H21*K21,K21)</f>
        <v>158239.99999999997</v>
      </c>
      <c r="R21" s="5">
        <f>IF($E21="Labour",$H21*L21,L21)</f>
        <v>25760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76" t="s">
        <v>56</v>
      </c>
      <c r="D22" s="77" t="s">
        <v>50</v>
      </c>
      <c r="E22" s="77" t="s">
        <v>10</v>
      </c>
      <c r="F22" s="75" t="s">
        <v>51</v>
      </c>
      <c r="G22" s="2"/>
      <c r="H22" s="59">
        <f>IF($E22="Labour",Assumptions!$B$14,)</f>
        <v>145.77740895836223</v>
      </c>
      <c r="I22" s="9" t="str">
        <f t="shared" si="0"/>
        <v>Hours</v>
      </c>
      <c r="J22" s="2"/>
      <c r="K22" s="78">
        <f>500*36.8/100</f>
        <v>184</v>
      </c>
      <c r="L22" s="78">
        <f>500*36.8/100</f>
        <v>184</v>
      </c>
      <c r="M22" s="78">
        <f>500*36.8/100</f>
        <v>184</v>
      </c>
      <c r="N22" s="78">
        <f>500*36.8/100</f>
        <v>184</v>
      </c>
      <c r="O22" s="78">
        <f>500*36.8/100</f>
        <v>184</v>
      </c>
      <c r="P22" s="2"/>
      <c r="Q22" s="5">
        <f>IF($E22="Labour",$H22*K22,K22)</f>
        <v>26823.04324833865</v>
      </c>
      <c r="R22" s="5">
        <f>IF($E22="Labour",$H22*L22,L22)</f>
        <v>26823.04324833865</v>
      </c>
      <c r="S22" s="5">
        <f>IF($E22="Labour",$H22*M22,M22)</f>
        <v>26823.04324833865</v>
      </c>
      <c r="T22" s="5">
        <f>IF($E22="Labour",$H22*N22,N22)</f>
        <v>26823.04324833865</v>
      </c>
      <c r="U22" s="5">
        <f>IF($E22="Labour",$H22*O22,O22)</f>
        <v>26823.04324833865</v>
      </c>
      <c r="Z22"/>
    </row>
    <row r="23" spans="1:26" ht="12.75" customHeight="1" x14ac:dyDescent="0.25">
      <c r="A23" s="4"/>
      <c r="C23" s="76" t="s">
        <v>56</v>
      </c>
      <c r="D23" s="77" t="s">
        <v>50</v>
      </c>
      <c r="E23" s="77" t="s">
        <v>11</v>
      </c>
      <c r="F23" s="75" t="s">
        <v>51</v>
      </c>
      <c r="G23" s="2"/>
      <c r="H23" s="59">
        <f>IF($E23="Labour",Assumptions!$B$14,)</f>
        <v>0</v>
      </c>
      <c r="I23" s="9" t="str">
        <f t="shared" si="0"/>
        <v>$</v>
      </c>
      <c r="J23" s="2"/>
      <c r="K23" s="78"/>
      <c r="L23" s="78"/>
      <c r="M23" s="78"/>
      <c r="N23" s="78"/>
      <c r="O23" s="78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6" customHeight="1" x14ac:dyDescent="0.25">
      <c r="A24" s="4"/>
      <c r="C24" s="76" t="s">
        <v>56</v>
      </c>
      <c r="D24" s="77" t="s">
        <v>50</v>
      </c>
      <c r="E24" s="77" t="s">
        <v>12</v>
      </c>
      <c r="F24" s="75" t="s">
        <v>51</v>
      </c>
      <c r="G24" s="2"/>
      <c r="H24" s="59">
        <f>IF($E24="Labour",Assumptions!$B$14,)</f>
        <v>0</v>
      </c>
      <c r="I24" s="9" t="str">
        <f t="shared" si="0"/>
        <v>$</v>
      </c>
      <c r="J24" s="2"/>
      <c r="K24" s="78">
        <f>125000*36.8/100</f>
        <v>46000</v>
      </c>
      <c r="L24" s="78">
        <f>125000*36.8/100</f>
        <v>46000</v>
      </c>
      <c r="M24" s="78">
        <f>125000*36.8/100</f>
        <v>46000</v>
      </c>
      <c r="N24" s="78">
        <f>125000*36.8/100</f>
        <v>46000</v>
      </c>
      <c r="O24" s="78">
        <f>125000*36.8/100</f>
        <v>46000</v>
      </c>
      <c r="P24" s="2"/>
      <c r="Q24" s="5">
        <f>IF($E24="Labour",$H24*K24,K24)</f>
        <v>46000</v>
      </c>
      <c r="R24" s="5">
        <f>IF($E24="Labour",$H24*L24,L24)</f>
        <v>46000</v>
      </c>
      <c r="S24" s="5">
        <f>IF($E24="Labour",$H24*M24,M24)</f>
        <v>46000</v>
      </c>
      <c r="T24" s="5">
        <f>IF($E24="Labour",$H24*N24,N24)</f>
        <v>46000</v>
      </c>
      <c r="U24" s="5">
        <f>IF($E24="Labour",$H24*O24,O24)</f>
        <v>46000</v>
      </c>
      <c r="Z24"/>
    </row>
    <row r="25" spans="1:26" ht="12.75" customHeight="1" x14ac:dyDescent="0.25">
      <c r="A25" s="4"/>
      <c r="C25" s="76" t="s">
        <v>57</v>
      </c>
      <c r="D25" s="77" t="s">
        <v>50</v>
      </c>
      <c r="E25" s="77" t="s">
        <v>10</v>
      </c>
      <c r="F25" s="75" t="s">
        <v>51</v>
      </c>
      <c r="G25" s="2"/>
      <c r="H25" s="59">
        <f>IF($E25="Labour",Assumptions!$B$14,)</f>
        <v>145.77740895836223</v>
      </c>
      <c r="I25" s="9" t="str">
        <f t="shared" si="0"/>
        <v>Hours</v>
      </c>
      <c r="J25" s="2"/>
      <c r="K25" s="78">
        <f>1000*100/100</f>
        <v>1000</v>
      </c>
      <c r="L25" s="78"/>
      <c r="M25" s="78">
        <f>1000*100/100</f>
        <v>1000</v>
      </c>
      <c r="N25" s="78"/>
      <c r="O25" s="78">
        <f>1750*100/100</f>
        <v>1750</v>
      </c>
      <c r="P25" s="2"/>
      <c r="Q25" s="5">
        <f>IF($E25="Labour",$H25*K25,K25)</f>
        <v>145777.40895836224</v>
      </c>
      <c r="R25" s="5">
        <f>IF($E25="Labour",$H25*L25,L25)</f>
        <v>0</v>
      </c>
      <c r="S25" s="5">
        <f>IF($E25="Labour",$H25*M25,M25)</f>
        <v>145777.40895836224</v>
      </c>
      <c r="T25" s="5">
        <f>IF($E25="Labour",$H25*N25,N25)</f>
        <v>0</v>
      </c>
      <c r="U25" s="5">
        <f>IF($E25="Labour",$H25*O25,O25)</f>
        <v>255110.46567713391</v>
      </c>
      <c r="Z25"/>
    </row>
    <row r="26" spans="1:26" ht="12.75" customHeight="1" x14ac:dyDescent="0.25">
      <c r="A26" s="4"/>
      <c r="C26" s="76" t="s">
        <v>57</v>
      </c>
      <c r="D26" s="77" t="s">
        <v>50</v>
      </c>
      <c r="E26" s="77" t="s">
        <v>11</v>
      </c>
      <c r="F26" s="75" t="s">
        <v>51</v>
      </c>
      <c r="G26" s="2"/>
      <c r="H26" s="59">
        <f>IF($E26="Labour",Assumptions!$B$14,)</f>
        <v>0</v>
      </c>
      <c r="I26" s="9" t="str">
        <f t="shared" si="0"/>
        <v>$</v>
      </c>
      <c r="J26" s="2"/>
      <c r="K26" s="78"/>
      <c r="L26" s="78"/>
      <c r="M26" s="78"/>
      <c r="N26" s="78"/>
      <c r="O26" s="78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6" t="s">
        <v>57</v>
      </c>
      <c r="D27" s="77" t="s">
        <v>50</v>
      </c>
      <c r="E27" s="77" t="s">
        <v>12</v>
      </c>
      <c r="F27" s="75" t="s">
        <v>51</v>
      </c>
      <c r="G27" s="2"/>
      <c r="H27" s="59">
        <f>IF($E27="Labour",Assumptions!$B$14,)</f>
        <v>0</v>
      </c>
      <c r="I27" s="9" t="str">
        <f t="shared" si="0"/>
        <v>$</v>
      </c>
      <c r="J27" s="2"/>
      <c r="K27" s="78">
        <f>150000*100/100</f>
        <v>150000</v>
      </c>
      <c r="L27" s="78"/>
      <c r="M27" s="78">
        <f>150000*100/100</f>
        <v>150000</v>
      </c>
      <c r="N27" s="78"/>
      <c r="O27" s="78">
        <f>250000*100/100</f>
        <v>250000</v>
      </c>
      <c r="P27" s="2"/>
      <c r="Q27" s="5">
        <f>IF($E27="Labour",$H27*K27,K27)</f>
        <v>150000</v>
      </c>
      <c r="R27" s="5">
        <f>IF($E27="Labour",$H27*L27,L27)</f>
        <v>0</v>
      </c>
      <c r="S27" s="5">
        <f>IF($E27="Labour",$H27*M27,M27)</f>
        <v>150000</v>
      </c>
      <c r="T27" s="5">
        <f>IF($E27="Labour",$H27*N27,N27)</f>
        <v>0</v>
      </c>
      <c r="U27" s="5">
        <f>IF($E27="Labour",$H27*O27,O27)</f>
        <v>250000</v>
      </c>
      <c r="Z27"/>
    </row>
    <row r="28" spans="1:26" ht="12.75" customHeight="1" x14ac:dyDescent="0.25">
      <c r="A28" s="4"/>
      <c r="C28" s="76" t="s">
        <v>58</v>
      </c>
      <c r="D28" s="77" t="s">
        <v>50</v>
      </c>
      <c r="E28" s="77" t="s">
        <v>10</v>
      </c>
      <c r="F28" s="75" t="s">
        <v>51</v>
      </c>
      <c r="G28" s="2"/>
      <c r="H28" s="59">
        <f>IF($E28="Labour",Assumptions!$B$14,)</f>
        <v>145.77740895836223</v>
      </c>
      <c r="I28" s="9" t="str">
        <f t="shared" si="0"/>
        <v>Hours</v>
      </c>
      <c r="J28" s="2"/>
      <c r="K28" s="78">
        <f>3322*50/100</f>
        <v>1661</v>
      </c>
      <c r="L28" s="78"/>
      <c r="M28" s="78"/>
      <c r="N28" s="78">
        <f>3322*50/100</f>
        <v>1661</v>
      </c>
      <c r="O28" s="78"/>
      <c r="P28" s="2"/>
      <c r="Q28" s="5">
        <f>IF($E28="Labour",$H28*K28,K28)</f>
        <v>242136.27627983966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242136.27627983966</v>
      </c>
      <c r="U28" s="5">
        <f>IF($E28="Labour",$H28*O28,O28)</f>
        <v>0</v>
      </c>
      <c r="Z28"/>
    </row>
    <row r="29" spans="1:26" ht="12.75" customHeight="1" x14ac:dyDescent="0.25">
      <c r="A29" s="4"/>
      <c r="C29" s="76" t="s">
        <v>58</v>
      </c>
      <c r="D29" s="77" t="s">
        <v>50</v>
      </c>
      <c r="E29" s="77" t="s">
        <v>11</v>
      </c>
      <c r="F29" s="75" t="s">
        <v>51</v>
      </c>
      <c r="G29" s="2"/>
      <c r="H29" s="59">
        <f>IF($E29="Labour",Assumptions!$B$14,)</f>
        <v>0</v>
      </c>
      <c r="I29" s="9" t="str">
        <f t="shared" si="0"/>
        <v>$</v>
      </c>
      <c r="J29" s="2"/>
      <c r="K29" s="78">
        <f>160000*50/100</f>
        <v>80000</v>
      </c>
      <c r="L29" s="78"/>
      <c r="M29" s="78"/>
      <c r="N29" s="78">
        <f>160000*50/100</f>
        <v>80000</v>
      </c>
      <c r="O29" s="78"/>
      <c r="P29" s="2"/>
      <c r="Q29" s="5">
        <f>IF($E29="Labour",$H29*K29,K29)</f>
        <v>80000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80000</v>
      </c>
      <c r="U29" s="5">
        <f>IF($E29="Labour",$H29*O29,O29)</f>
        <v>0</v>
      </c>
      <c r="Z29"/>
    </row>
    <row r="30" spans="1:26" ht="12.75" customHeight="1" x14ac:dyDescent="0.25">
      <c r="A30" s="4"/>
      <c r="C30" s="76" t="s">
        <v>58</v>
      </c>
      <c r="D30" s="77" t="s">
        <v>50</v>
      </c>
      <c r="E30" s="77" t="s">
        <v>12</v>
      </c>
      <c r="F30" s="75" t="s">
        <v>51</v>
      </c>
      <c r="G30" s="2"/>
      <c r="H30" s="59">
        <f>IF($E30="Labour",Assumptions!$B$14,)</f>
        <v>0</v>
      </c>
      <c r="I30" s="9" t="str">
        <f t="shared" si="0"/>
        <v>$</v>
      </c>
      <c r="J30" s="2"/>
      <c r="K30" s="78"/>
      <c r="L30" s="78"/>
      <c r="M30" s="78"/>
      <c r="N30" s="78"/>
      <c r="O30" s="78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6" t="s">
        <v>59</v>
      </c>
      <c r="D31" s="77" t="s">
        <v>50</v>
      </c>
      <c r="E31" s="77" t="s">
        <v>10</v>
      </c>
      <c r="F31" s="75" t="s">
        <v>51</v>
      </c>
      <c r="G31" s="2"/>
      <c r="H31" s="59">
        <f>IF($E31="Labour",Assumptions!$B$14,)</f>
        <v>145.77740895836223</v>
      </c>
      <c r="I31" s="9" t="str">
        <f t="shared" si="0"/>
        <v>Hours</v>
      </c>
      <c r="J31" s="2"/>
      <c r="K31" s="78">
        <f>2200*36.8/100</f>
        <v>809.6</v>
      </c>
      <c r="L31" s="78"/>
      <c r="M31" s="78"/>
      <c r="N31" s="78">
        <f>2200*36.8/100</f>
        <v>809.6</v>
      </c>
      <c r="O31" s="78"/>
      <c r="P31" s="2"/>
      <c r="Q31" s="5">
        <f>IF($E31="Labour",$H31*K31,K31)</f>
        <v>118021.39029269006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118021.39029269006</v>
      </c>
      <c r="U31" s="5">
        <f>IF($E31="Labour",$H31*O31,O31)</f>
        <v>0</v>
      </c>
      <c r="Z31"/>
    </row>
    <row r="32" spans="1:26" ht="12.75" customHeight="1" x14ac:dyDescent="0.25">
      <c r="A32" s="4"/>
      <c r="C32" s="76" t="s">
        <v>59</v>
      </c>
      <c r="D32" s="77" t="s">
        <v>50</v>
      </c>
      <c r="E32" s="77" t="s">
        <v>11</v>
      </c>
      <c r="F32" s="75" t="s">
        <v>51</v>
      </c>
      <c r="G32" s="2"/>
      <c r="H32" s="59">
        <f>IF($E32="Labour",Assumptions!$B$14,)</f>
        <v>0</v>
      </c>
      <c r="I32" s="9" t="str">
        <f t="shared" si="0"/>
        <v>$</v>
      </c>
      <c r="J32" s="2"/>
      <c r="K32" s="78">
        <f>30000*36.8/100</f>
        <v>11040</v>
      </c>
      <c r="L32" s="78"/>
      <c r="M32" s="78"/>
      <c r="N32" s="78">
        <f>30000*36.8/100</f>
        <v>11040</v>
      </c>
      <c r="O32" s="78"/>
      <c r="P32" s="2"/>
      <c r="Q32" s="5">
        <f>IF($E32="Labour",$H32*K32,K32)</f>
        <v>11040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11040</v>
      </c>
      <c r="U32" s="5">
        <f>IF($E32="Labour",$H32*O32,O32)</f>
        <v>0</v>
      </c>
      <c r="Z32"/>
    </row>
    <row r="33" spans="1:26" ht="12.75" customHeight="1" x14ac:dyDescent="0.25">
      <c r="A33" s="4"/>
      <c r="C33" s="76" t="s">
        <v>59</v>
      </c>
      <c r="D33" s="77" t="s">
        <v>50</v>
      </c>
      <c r="E33" s="77" t="s">
        <v>12</v>
      </c>
      <c r="F33" s="75" t="s">
        <v>51</v>
      </c>
      <c r="G33" s="2"/>
      <c r="H33" s="59">
        <f>IF($E33="Labour",Assumptions!$B$14,)</f>
        <v>0</v>
      </c>
      <c r="I33" s="9" t="str">
        <f t="shared" si="0"/>
        <v>$</v>
      </c>
      <c r="J33" s="2"/>
      <c r="K33" s="78">
        <f>740000*36.8/100</f>
        <v>272319.99999999994</v>
      </c>
      <c r="L33" s="78"/>
      <c r="M33" s="78"/>
      <c r="N33" s="78">
        <f>740000*36.8/100</f>
        <v>272319.99999999994</v>
      </c>
      <c r="O33" s="78"/>
      <c r="P33" s="2"/>
      <c r="Q33" s="5">
        <f>IF($E33="Labour",$H33*K33,K33)</f>
        <v>272319.99999999994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272319.99999999994</v>
      </c>
      <c r="U33" s="5">
        <f>IF($E33="Labour",$H33*O33,O33)</f>
        <v>0</v>
      </c>
      <c r="Z33"/>
    </row>
    <row r="34" spans="1:26" ht="12.75" customHeight="1" x14ac:dyDescent="0.25">
      <c r="A34" s="4"/>
      <c r="C34" s="76" t="s">
        <v>60</v>
      </c>
      <c r="D34" s="77" t="s">
        <v>50</v>
      </c>
      <c r="E34" s="77" t="s">
        <v>10</v>
      </c>
      <c r="F34" s="75" t="s">
        <v>51</v>
      </c>
      <c r="G34" s="2"/>
      <c r="H34" s="59">
        <f>IF($E34="Labour",Assumptions!$B$14,)</f>
        <v>145.77740895836223</v>
      </c>
      <c r="I34" s="9" t="str">
        <f t="shared" si="0"/>
        <v>Hours</v>
      </c>
      <c r="J34" s="2"/>
      <c r="K34" s="78">
        <f>97254/H34</f>
        <v>667.14040738492088</v>
      </c>
      <c r="L34" s="78"/>
      <c r="M34" s="78"/>
      <c r="N34" s="78"/>
      <c r="O34" s="78">
        <f>97254/H34</f>
        <v>667.14040738492088</v>
      </c>
      <c r="P34" s="2"/>
      <c r="Q34" s="5">
        <f>IF($E34="Labour",$H34*K34,K34)</f>
        <v>97253.999999999985</v>
      </c>
      <c r="R34" s="5">
        <f>IF($E34="Labour",$H34*L34,L34)</f>
        <v>0</v>
      </c>
      <c r="S34" s="5">
        <f>IF($E34="Labour",$H34*M34,M34)</f>
        <v>0</v>
      </c>
      <c r="T34" s="5">
        <f>IF($E34="Labour",$H34*N34,N34)</f>
        <v>0</v>
      </c>
      <c r="U34" s="5">
        <f>IF($E34="Labour",$H34*O34,O34)</f>
        <v>97253.999999999985</v>
      </c>
      <c r="Z34"/>
    </row>
    <row r="35" spans="1:26" ht="12.75" customHeight="1" x14ac:dyDescent="0.25">
      <c r="A35" s="4"/>
      <c r="C35" s="76" t="s">
        <v>60</v>
      </c>
      <c r="D35" s="77" t="s">
        <v>50</v>
      </c>
      <c r="E35" s="77" t="s">
        <v>11</v>
      </c>
      <c r="F35" s="75" t="s">
        <v>51</v>
      </c>
      <c r="G35" s="2"/>
      <c r="H35" s="59">
        <f>IF($E35="Labour",Assumptions!$B$14,)</f>
        <v>0</v>
      </c>
      <c r="I35" s="9" t="str">
        <f t="shared" si="0"/>
        <v>$</v>
      </c>
      <c r="J35" s="2"/>
      <c r="K35" s="78" t="s">
        <v>81</v>
      </c>
      <c r="L35" s="78"/>
      <c r="M35" s="78"/>
      <c r="N35" s="78"/>
      <c r="O35" s="78" t="s">
        <v>81</v>
      </c>
      <c r="P35" s="2"/>
      <c r="Q35" s="5" t="str">
        <f>IF($E35="Labour",$H35*K35,K35)</f>
        <v>-</v>
      </c>
      <c r="R35" s="5">
        <f>IF($E35="Labour",$H35*L35,L35)</f>
        <v>0</v>
      </c>
      <c r="S35" s="5">
        <f>IF($E35="Labour",$H35*M35,M35)</f>
        <v>0</v>
      </c>
      <c r="T35" s="5">
        <f>IF($E35="Labour",$H35*N35,N35)</f>
        <v>0</v>
      </c>
      <c r="U35" s="5" t="str">
        <f>IF($E35="Labour",$H35*O35,O35)</f>
        <v>-</v>
      </c>
      <c r="Z35"/>
    </row>
    <row r="36" spans="1:26" ht="12.75" customHeight="1" x14ac:dyDescent="0.25">
      <c r="A36" s="4"/>
      <c r="C36" s="76" t="s">
        <v>60</v>
      </c>
      <c r="D36" s="77" t="s">
        <v>50</v>
      </c>
      <c r="E36" s="77" t="s">
        <v>12</v>
      </c>
      <c r="F36" s="75" t="s">
        <v>51</v>
      </c>
      <c r="G36" s="2"/>
      <c r="H36" s="59">
        <f>IF($E36="Labour",Assumptions!$B$14,)</f>
        <v>0</v>
      </c>
      <c r="I36" s="9" t="str">
        <f t="shared" si="0"/>
        <v>$</v>
      </c>
      <c r="J36" s="2"/>
      <c r="K36" s="78">
        <v>50354</v>
      </c>
      <c r="L36" s="78"/>
      <c r="M36" s="78"/>
      <c r="N36" s="78"/>
      <c r="O36" s="78">
        <v>50354</v>
      </c>
      <c r="P36" s="2"/>
      <c r="Q36" s="5">
        <f>IF($E36="Labour",$H36*K36,K36)</f>
        <v>50354</v>
      </c>
      <c r="R36" s="5">
        <f>IF($E36="Labour",$H36*L36,L36)</f>
        <v>0</v>
      </c>
      <c r="S36" s="5">
        <f>IF($E36="Labour",$H36*M36,M36)</f>
        <v>0</v>
      </c>
      <c r="T36" s="5">
        <f>IF($E36="Labour",$H36*N36,N36)</f>
        <v>0</v>
      </c>
      <c r="U36" s="5">
        <f>IF($E36="Labour",$H36*O36,O36)</f>
        <v>50354</v>
      </c>
      <c r="Z36"/>
    </row>
    <row r="37" spans="1:26" ht="12.75" customHeight="1" x14ac:dyDescent="0.25">
      <c r="A37" s="4"/>
      <c r="C37" s="76" t="s">
        <v>61</v>
      </c>
      <c r="D37" s="77" t="s">
        <v>50</v>
      </c>
      <c r="E37" s="77" t="s">
        <v>10</v>
      </c>
      <c r="F37" s="75" t="s">
        <v>51</v>
      </c>
      <c r="G37" s="2"/>
      <c r="H37" s="59">
        <f>IF($E37="Labour",Assumptions!$B$14,)</f>
        <v>145.77740895836223</v>
      </c>
      <c r="I37" s="9" t="str">
        <f t="shared" si="0"/>
        <v>Hours</v>
      </c>
      <c r="J37" s="2"/>
      <c r="K37" s="78">
        <f>2500*0/100</f>
        <v>0</v>
      </c>
      <c r="L37" s="78">
        <f>2500*0/100</f>
        <v>0</v>
      </c>
      <c r="M37" s="78">
        <f>2500*0/100</f>
        <v>0</v>
      </c>
      <c r="N37" s="78">
        <f>2500*0/100</f>
        <v>0</v>
      </c>
      <c r="O37" s="78">
        <f>2500*0/100</f>
        <v>0</v>
      </c>
      <c r="P37" s="2"/>
      <c r="Q37" s="5">
        <f>IF($E37="Labour",$H37*K37,K37)</f>
        <v>0</v>
      </c>
      <c r="R37" s="5">
        <f>IF($E37="Labour",$H37*L37,L37)</f>
        <v>0</v>
      </c>
      <c r="S37" s="5">
        <f>IF($E37="Labour",$H37*M37,M37)</f>
        <v>0</v>
      </c>
      <c r="T37" s="5">
        <f>IF($E37="Labour",$H37*N37,N37)</f>
        <v>0</v>
      </c>
      <c r="U37" s="5">
        <f>IF($E37="Labour",$H37*O37,O37)</f>
        <v>0</v>
      </c>
      <c r="Z37"/>
    </row>
    <row r="38" spans="1:26" ht="12.75" customHeight="1" x14ac:dyDescent="0.25">
      <c r="A38" s="4"/>
      <c r="C38" s="76" t="s">
        <v>61</v>
      </c>
      <c r="D38" s="77" t="s">
        <v>50</v>
      </c>
      <c r="E38" s="77" t="s">
        <v>11</v>
      </c>
      <c r="F38" s="75" t="s">
        <v>51</v>
      </c>
      <c r="G38" s="2"/>
      <c r="H38" s="59">
        <f>IF($E38="Labour",Assumptions!$B$14,)</f>
        <v>0</v>
      </c>
      <c r="I38" s="9" t="str">
        <f t="shared" si="0"/>
        <v>$</v>
      </c>
      <c r="J38" s="2"/>
      <c r="K38" s="78"/>
      <c r="L38" s="78"/>
      <c r="M38" s="78"/>
      <c r="N38" s="78"/>
      <c r="O38" s="78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6" t="s">
        <v>61</v>
      </c>
      <c r="D39" s="77" t="s">
        <v>50</v>
      </c>
      <c r="E39" s="77" t="s">
        <v>12</v>
      </c>
      <c r="F39" s="75" t="s">
        <v>51</v>
      </c>
      <c r="G39" s="2"/>
      <c r="H39" s="59">
        <f>IF($E39="Labour",Assumptions!$B$14,)</f>
        <v>0</v>
      </c>
      <c r="I39" s="9" t="str">
        <f t="shared" si="0"/>
        <v>$</v>
      </c>
      <c r="J39" s="2"/>
      <c r="K39" s="78">
        <f>630000*0/100</f>
        <v>0</v>
      </c>
      <c r="L39" s="78">
        <f>630000*0/100</f>
        <v>0</v>
      </c>
      <c r="M39" s="78">
        <f>630000*0/100</f>
        <v>0</v>
      </c>
      <c r="N39" s="78">
        <f>630000*0/100</f>
        <v>0</v>
      </c>
      <c r="O39" s="78">
        <f>630000*0/100</f>
        <v>0</v>
      </c>
      <c r="P39" s="2"/>
      <c r="Q39" s="5">
        <f>IF($E39="Labour",$H39*K39,K39)</f>
        <v>0</v>
      </c>
      <c r="R39" s="5">
        <f>IF($E39="Labour",$H39*L39,L39)</f>
        <v>0</v>
      </c>
      <c r="S39" s="5">
        <f>IF($E39="Labour",$H39*M39,M39)</f>
        <v>0</v>
      </c>
      <c r="T39" s="5">
        <f>IF($E39="Labour",$H39*N39,N39)</f>
        <v>0</v>
      </c>
      <c r="U39" s="5">
        <f>IF($E39="Labour",$H39*O39,O39)</f>
        <v>0</v>
      </c>
      <c r="Z39"/>
    </row>
    <row r="40" spans="1:26" ht="12.75" customHeight="1" x14ac:dyDescent="0.25">
      <c r="A40" s="4"/>
      <c r="C40" s="76" t="s">
        <v>62</v>
      </c>
      <c r="D40" s="77" t="s">
        <v>50</v>
      </c>
      <c r="E40" s="77" t="s">
        <v>10</v>
      </c>
      <c r="F40" s="75" t="s">
        <v>51</v>
      </c>
      <c r="G40" s="2"/>
      <c r="H40" s="59">
        <f>IF($E40="Labour",Assumptions!$B$14,)</f>
        <v>145.77740895836223</v>
      </c>
      <c r="I40" s="9" t="str">
        <f t="shared" si="0"/>
        <v>Hours</v>
      </c>
      <c r="J40" s="2"/>
      <c r="K40" s="78">
        <f>550*36.8/100</f>
        <v>202.4</v>
      </c>
      <c r="L40" s="78">
        <f>550*36.8/100</f>
        <v>202.4</v>
      </c>
      <c r="M40" s="78">
        <f>550*36.8/100</f>
        <v>202.4</v>
      </c>
      <c r="N40" s="78">
        <f>550*36.8/100</f>
        <v>202.4</v>
      </c>
      <c r="O40" s="78">
        <f>550*36.8/100</f>
        <v>202.4</v>
      </c>
      <c r="P40" s="2"/>
      <c r="Q40" s="5">
        <f>IF($E40="Labour",$H40*K40,K40)</f>
        <v>29505.347573172516</v>
      </c>
      <c r="R40" s="5">
        <f>IF($E40="Labour",$H40*L40,L40)</f>
        <v>29505.347573172516</v>
      </c>
      <c r="S40" s="5">
        <f>IF($E40="Labour",$H40*M40,M40)</f>
        <v>29505.347573172516</v>
      </c>
      <c r="T40" s="5">
        <f>IF($E40="Labour",$H40*N40,N40)</f>
        <v>29505.347573172516</v>
      </c>
      <c r="U40" s="5">
        <f>IF($E40="Labour",$H40*O40,O40)</f>
        <v>29505.347573172516</v>
      </c>
      <c r="Z40"/>
    </row>
    <row r="41" spans="1:26" ht="12.75" customHeight="1" x14ac:dyDescent="0.25">
      <c r="A41" s="4"/>
      <c r="C41" s="76" t="s">
        <v>62</v>
      </c>
      <c r="D41" s="77" t="s">
        <v>50</v>
      </c>
      <c r="E41" s="77" t="s">
        <v>11</v>
      </c>
      <c r="F41" s="75" t="s">
        <v>51</v>
      </c>
      <c r="G41" s="2"/>
      <c r="H41" s="59">
        <f>IF($E41="Labour",Assumptions!$B$14,)</f>
        <v>0</v>
      </c>
      <c r="I41" s="9" t="str">
        <f t="shared" si="0"/>
        <v>$</v>
      </c>
      <c r="J41" s="2"/>
      <c r="K41" s="78"/>
      <c r="L41" s="78"/>
      <c r="M41" s="78"/>
      <c r="N41" s="78"/>
      <c r="O41" s="78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76" t="s">
        <v>62</v>
      </c>
      <c r="D42" s="77" t="s">
        <v>50</v>
      </c>
      <c r="E42" s="77" t="s">
        <v>12</v>
      </c>
      <c r="F42" s="75" t="s">
        <v>51</v>
      </c>
      <c r="G42" s="2"/>
      <c r="H42" s="59">
        <f>IF($E42="Labour",Assumptions!$B$14,)</f>
        <v>0</v>
      </c>
      <c r="I42" s="9" t="str">
        <f t="shared" si="0"/>
        <v>$</v>
      </c>
      <c r="J42" s="2"/>
      <c r="K42" s="78">
        <f>20000*36.8/100</f>
        <v>7360</v>
      </c>
      <c r="L42" s="78">
        <f>20000*36.8/100</f>
        <v>7360</v>
      </c>
      <c r="M42" s="78">
        <f>20000*36.8/100</f>
        <v>7360</v>
      </c>
      <c r="N42" s="78">
        <f>20000*36.8/100</f>
        <v>7360</v>
      </c>
      <c r="O42" s="78">
        <f>20000*36.8/100</f>
        <v>7360</v>
      </c>
      <c r="P42" s="2"/>
      <c r="Q42" s="5">
        <f>IF($E42="Labour",$H42*K42,K42)</f>
        <v>7360</v>
      </c>
      <c r="R42" s="5">
        <f>IF($E42="Labour",$H42*L42,L42)</f>
        <v>7360</v>
      </c>
      <c r="S42" s="5">
        <f>IF($E42="Labour",$H42*M42,M42)</f>
        <v>7360</v>
      </c>
      <c r="T42" s="5">
        <f>IF($E42="Labour",$H42*N42,N42)</f>
        <v>7360</v>
      </c>
      <c r="U42" s="5">
        <f>IF($E42="Labour",$H42*O42,O42)</f>
        <v>7360</v>
      </c>
      <c r="Z42"/>
    </row>
    <row r="43" spans="1:26" ht="12.75" customHeight="1" x14ac:dyDescent="0.25">
      <c r="A43" s="4"/>
      <c r="C43" s="76" t="s">
        <v>82</v>
      </c>
      <c r="D43" s="77" t="s">
        <v>50</v>
      </c>
      <c r="E43" s="77" t="s">
        <v>10</v>
      </c>
      <c r="F43" s="75" t="s">
        <v>51</v>
      </c>
      <c r="G43" s="2"/>
      <c r="H43" s="59">
        <f>IF($E43="Labour",Assumptions!$B$14,)</f>
        <v>145.77740895836223</v>
      </c>
      <c r="I43" s="9" t="str">
        <f t="shared" si="0"/>
        <v>Hours</v>
      </c>
      <c r="J43" s="2"/>
      <c r="K43" s="78"/>
      <c r="L43" s="78">
        <v>736</v>
      </c>
      <c r="M43" s="78"/>
      <c r="N43" s="78">
        <v>442</v>
      </c>
      <c r="O43" s="78"/>
      <c r="P43" s="2"/>
      <c r="Q43" s="5">
        <f>IF($E43="Labour",$H43*K43,K43)</f>
        <v>0</v>
      </c>
      <c r="R43" s="5">
        <f>IF($E43="Labour",$H43*L43,L43)</f>
        <v>107292.1729933546</v>
      </c>
      <c r="S43" s="5">
        <f>IF($E43="Labour",$H43*M43,M43)</f>
        <v>0</v>
      </c>
      <c r="T43" s="5">
        <f>IF($E43="Labour",$H43*N43,N43)</f>
        <v>64433.614759596108</v>
      </c>
      <c r="U43" s="5">
        <f>IF($E43="Labour",$H43*O43,O43)</f>
        <v>0</v>
      </c>
      <c r="Z43"/>
    </row>
    <row r="44" spans="1:26" ht="12.75" customHeight="1" x14ac:dyDescent="0.25">
      <c r="A44" s="4"/>
      <c r="C44" s="76" t="s">
        <v>83</v>
      </c>
      <c r="D44" s="77" t="s">
        <v>50</v>
      </c>
      <c r="E44" s="77" t="s">
        <v>10</v>
      </c>
      <c r="F44" s="75" t="s">
        <v>51</v>
      </c>
      <c r="G44" s="2"/>
      <c r="H44" s="59">
        <f>IF($E44="Labour",Assumptions!$B$14,)</f>
        <v>145.77740895836223</v>
      </c>
      <c r="I44" s="9" t="str">
        <f t="shared" si="0"/>
        <v>Hours</v>
      </c>
      <c r="J44" s="2"/>
      <c r="K44" s="78"/>
      <c r="L44" s="78">
        <v>1472</v>
      </c>
      <c r="M44" s="78">
        <v>5476</v>
      </c>
      <c r="N44" s="78"/>
      <c r="O44" s="78"/>
      <c r="P44" s="2"/>
      <c r="Q44" s="5">
        <f>IF($E44="Labour",$H44*K44,K44)</f>
        <v>0</v>
      </c>
      <c r="R44" s="5">
        <f>IF($E44="Labour",$H44*L44,L44)</f>
        <v>214584.3459867092</v>
      </c>
      <c r="S44" s="5">
        <f>IF($E44="Labour",$H44*M44,M44)</f>
        <v>798277.09145599161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76" t="s">
        <v>84</v>
      </c>
      <c r="D45" s="77" t="s">
        <v>50</v>
      </c>
      <c r="E45" s="77" t="s">
        <v>10</v>
      </c>
      <c r="F45" s="75" t="s">
        <v>51</v>
      </c>
      <c r="G45" s="2"/>
      <c r="H45" s="59">
        <f>IF($E45="Labour",Assumptions!$B$14,)</f>
        <v>145.77740895836223</v>
      </c>
      <c r="I45" s="9" t="str">
        <f t="shared" si="0"/>
        <v>Hours</v>
      </c>
      <c r="J45" s="2"/>
      <c r="K45" s="78"/>
      <c r="L45" s="78"/>
      <c r="M45" s="78">
        <v>736</v>
      </c>
      <c r="N45" s="78"/>
      <c r="O45" s="78"/>
      <c r="P45" s="2"/>
      <c r="Q45" s="5">
        <f>IF($E45="Labour",$H45*K45,K45)</f>
        <v>0</v>
      </c>
      <c r="R45" s="5">
        <f>IF($E45="Labour",$H45*L45,L45)</f>
        <v>0</v>
      </c>
      <c r="S45" s="5">
        <f>IF($E45="Labour",$H45*M45,M45)</f>
        <v>107292.1729933546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76" t="s">
        <v>85</v>
      </c>
      <c r="D46" s="77" t="s">
        <v>50</v>
      </c>
      <c r="E46" s="77" t="s">
        <v>10</v>
      </c>
      <c r="F46" s="75" t="s">
        <v>51</v>
      </c>
      <c r="G46" s="2"/>
      <c r="H46" s="59">
        <f>IF($E46="Labour",Assumptions!$B$14,)</f>
        <v>145.77740895836223</v>
      </c>
      <c r="I46" s="9" t="str">
        <f t="shared" si="0"/>
        <v>Hours</v>
      </c>
      <c r="J46" s="2"/>
      <c r="K46" s="78"/>
      <c r="L46" s="78"/>
      <c r="M46" s="78"/>
      <c r="N46" s="78">
        <f>31500/$H46</f>
        <v>216.08286376524367</v>
      </c>
      <c r="O46" s="78">
        <f>31500/$H46</f>
        <v>216.08286376524367</v>
      </c>
      <c r="P46" s="2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31500</v>
      </c>
      <c r="U46" s="5">
        <f>IF($E46="Labour",$H46*O46,O46)</f>
        <v>31500</v>
      </c>
      <c r="Z46"/>
    </row>
    <row r="47" spans="1:26" ht="12.75" customHeight="1" x14ac:dyDescent="0.25">
      <c r="A47" s="4"/>
      <c r="C47" s="76" t="s">
        <v>86</v>
      </c>
      <c r="D47" s="77" t="s">
        <v>50</v>
      </c>
      <c r="E47" s="77" t="s">
        <v>10</v>
      </c>
      <c r="F47" s="75" t="s">
        <v>51</v>
      </c>
      <c r="G47" s="2"/>
      <c r="H47" s="59">
        <f>IF($E47="Labour",Assumptions!$B$14,)</f>
        <v>145.77740895836223</v>
      </c>
      <c r="I47" s="9" t="str">
        <f t="shared" si="0"/>
        <v>Hours</v>
      </c>
      <c r="J47" s="2"/>
      <c r="K47" s="78"/>
      <c r="L47" s="78"/>
      <c r="M47" s="78"/>
      <c r="N47" s="78">
        <f>63000/$H47</f>
        <v>432.16572753048735</v>
      </c>
      <c r="O47" s="78">
        <f>63000/$H47</f>
        <v>432.16572753048735</v>
      </c>
      <c r="P47" s="2"/>
      <c r="Q47" s="5">
        <f>IF($E47="Labour",$H47*K47,K47)</f>
        <v>0</v>
      </c>
      <c r="R47" s="5">
        <f>IF($E47="Labour",$H47*L47,L47)</f>
        <v>0</v>
      </c>
      <c r="S47" s="5">
        <f>IF($E47="Labour",$H47*M47,M47)</f>
        <v>0</v>
      </c>
      <c r="T47" s="5">
        <f>IF($E47="Labour",$H47*N47,N47)</f>
        <v>63000</v>
      </c>
      <c r="U47" s="5">
        <f>IF($E47="Labour",$H47*O47,O47)</f>
        <v>63000</v>
      </c>
      <c r="Z47"/>
    </row>
    <row r="48" spans="1:26" ht="12.75" customHeight="1" x14ac:dyDescent="0.25">
      <c r="A48" s="4"/>
      <c r="C48" s="76" t="s">
        <v>87</v>
      </c>
      <c r="D48" s="77" t="s">
        <v>50</v>
      </c>
      <c r="E48" s="77" t="s">
        <v>10</v>
      </c>
      <c r="F48" s="75" t="s">
        <v>51</v>
      </c>
      <c r="G48" s="2"/>
      <c r="H48" s="59">
        <f>IF($E48="Labour",Assumptions!$B$14,)</f>
        <v>145.77740895836223</v>
      </c>
      <c r="I48" s="9" t="str">
        <f t="shared" si="0"/>
        <v>Hours</v>
      </c>
      <c r="J48" s="2"/>
      <c r="K48" s="78"/>
      <c r="L48" s="78"/>
      <c r="M48" s="78"/>
      <c r="N48" s="78">
        <f>122500/$H48</f>
        <v>840.32224797594768</v>
      </c>
      <c r="O48" s="78">
        <f>122500/$H48</f>
        <v>840.32224797594768</v>
      </c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0</v>
      </c>
      <c r="T48" s="5">
        <f>IF($E48="Labour",$H48*N48,N48)</f>
        <v>122500</v>
      </c>
      <c r="U48" s="5">
        <f>IF($E48="Labour",$H48*O48,O48)</f>
        <v>122500</v>
      </c>
      <c r="Z48"/>
    </row>
    <row r="49" spans="1:26" ht="12.75" customHeight="1" x14ac:dyDescent="0.25">
      <c r="A49" s="4"/>
      <c r="C49" s="76" t="s">
        <v>88</v>
      </c>
      <c r="D49" s="77" t="s">
        <v>50</v>
      </c>
      <c r="E49" s="77" t="s">
        <v>10</v>
      </c>
      <c r="F49" s="75" t="s">
        <v>51</v>
      </c>
      <c r="G49" s="2"/>
      <c r="H49" s="59">
        <f>IF($E49="Labour",Assumptions!$B$14,)</f>
        <v>145.77740895836223</v>
      </c>
      <c r="I49" s="9" t="str">
        <f t="shared" si="0"/>
        <v>Hours</v>
      </c>
      <c r="J49" s="2"/>
      <c r="K49" s="78"/>
      <c r="L49" s="78"/>
      <c r="M49" s="78"/>
      <c r="N49" s="78">
        <f>77000/$H49</f>
        <v>528.20255587059569</v>
      </c>
      <c r="O49" s="78">
        <f>77000/$H49</f>
        <v>528.20255587059569</v>
      </c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77000</v>
      </c>
      <c r="U49" s="5">
        <f>IF($E49="Labour",$H49*O49,O49)</f>
        <v>77000</v>
      </c>
      <c r="Z49"/>
    </row>
    <row r="50" spans="1:26" ht="12.75" customHeight="1" x14ac:dyDescent="0.25">
      <c r="A50" s="4"/>
      <c r="C50" s="76" t="s">
        <v>89</v>
      </c>
      <c r="D50" s="77" t="s">
        <v>50</v>
      </c>
      <c r="E50" s="77" t="s">
        <v>10</v>
      </c>
      <c r="F50" s="75" t="s">
        <v>51</v>
      </c>
      <c r="G50" s="2"/>
      <c r="H50" s="59">
        <f>IF($E50="Labour",Assumptions!$B$14,)</f>
        <v>145.77740895836223</v>
      </c>
      <c r="I50" s="9" t="str">
        <f t="shared" si="0"/>
        <v>Hours</v>
      </c>
      <c r="J50" s="2"/>
      <c r="K50" s="78"/>
      <c r="L50" s="78"/>
      <c r="M50" s="78"/>
      <c r="N50" s="78">
        <f>28000/$H50</f>
        <v>192.0736566802166</v>
      </c>
      <c r="O50" s="78">
        <f>28000/$H50</f>
        <v>192.0736566802166</v>
      </c>
      <c r="P50" s="2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28000</v>
      </c>
      <c r="U50" s="5">
        <f>IF($E50="Labour",$H50*O50,O50)</f>
        <v>28000</v>
      </c>
      <c r="Z50"/>
    </row>
    <row r="51" spans="1:26" ht="12.75" customHeight="1" x14ac:dyDescent="0.25">
      <c r="A51" s="4"/>
      <c r="C51" s="76" t="s">
        <v>90</v>
      </c>
      <c r="D51" s="77" t="s">
        <v>50</v>
      </c>
      <c r="E51" s="77" t="s">
        <v>10</v>
      </c>
      <c r="F51" s="75" t="s">
        <v>51</v>
      </c>
      <c r="G51" s="2"/>
      <c r="H51" s="59">
        <f>IF($E51="Labour",Assumptions!$B$14,)</f>
        <v>145.77740895836223</v>
      </c>
      <c r="I51" s="9" t="str">
        <f t="shared" si="0"/>
        <v>Hours</v>
      </c>
      <c r="J51" s="2"/>
      <c r="K51" s="78"/>
      <c r="L51" s="78"/>
      <c r="M51" s="78"/>
      <c r="N51" s="78">
        <f>28000/$H51</f>
        <v>192.0736566802166</v>
      </c>
      <c r="O51" s="78">
        <f>28000/$H51</f>
        <v>192.0736566802166</v>
      </c>
      <c r="P51" s="2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28000</v>
      </c>
      <c r="U51" s="5">
        <f>IF($E51="Labour",$H51*O51,O51)</f>
        <v>28000</v>
      </c>
      <c r="Z51"/>
    </row>
    <row r="52" spans="1:26" ht="12.75" customHeight="1" x14ac:dyDescent="0.25">
      <c r="A52" s="4"/>
      <c r="C52" s="76" t="s">
        <v>91</v>
      </c>
      <c r="D52" s="77" t="s">
        <v>50</v>
      </c>
      <c r="E52" s="77" t="s">
        <v>10</v>
      </c>
      <c r="F52" s="75" t="s">
        <v>51</v>
      </c>
      <c r="G52" s="2"/>
      <c r="H52" s="59">
        <f>IF($E52="Labour",Assumptions!$B$14,)</f>
        <v>145.77740895836223</v>
      </c>
      <c r="I52" s="9" t="str">
        <f t="shared" si="0"/>
        <v>Hours</v>
      </c>
      <c r="J52" s="2"/>
      <c r="K52" s="78">
        <f>18000/$H52</f>
        <v>123.47592215156781</v>
      </c>
      <c r="L52" s="78"/>
      <c r="M52" s="78"/>
      <c r="N52" s="78"/>
      <c r="O52" s="78"/>
      <c r="P52" s="2"/>
      <c r="Q52" s="5">
        <f>IF($E52="Labour",$H52*K52,K52)</f>
        <v>18000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0</v>
      </c>
      <c r="U52" s="5">
        <f>IF($E52="Labour",$H52*O52,O52)</f>
        <v>0</v>
      </c>
      <c r="Z52"/>
    </row>
    <row r="53" spans="1:26" ht="12.75" customHeight="1" x14ac:dyDescent="0.25">
      <c r="A53" s="4"/>
      <c r="C53" s="76" t="s">
        <v>92</v>
      </c>
      <c r="D53" s="77" t="s">
        <v>50</v>
      </c>
      <c r="E53" s="77" t="s">
        <v>10</v>
      </c>
      <c r="F53" s="75" t="s">
        <v>51</v>
      </c>
      <c r="G53" s="2"/>
      <c r="H53" s="59">
        <f>IF($E53="Labour",Assumptions!$B$14,)</f>
        <v>145.77740895836223</v>
      </c>
      <c r="I53" s="9" t="str">
        <f t="shared" si="0"/>
        <v>Hours</v>
      </c>
      <c r="J53" s="2"/>
      <c r="K53" s="78">
        <f>36000/$H53</f>
        <v>246.95184430313563</v>
      </c>
      <c r="L53" s="78"/>
      <c r="M53" s="78"/>
      <c r="N53" s="78"/>
      <c r="O53" s="78"/>
      <c r="P53" s="2"/>
      <c r="Q53" s="5">
        <f>IF($E53="Labour",$H53*K53,K53)</f>
        <v>36000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0</v>
      </c>
      <c r="U53" s="5">
        <f>IF($E53="Labour",$H53*O53,O53)</f>
        <v>0</v>
      </c>
      <c r="Z53"/>
    </row>
    <row r="54" spans="1:26" ht="12.75" customHeight="1" x14ac:dyDescent="0.25">
      <c r="A54" s="4"/>
      <c r="C54" s="76" t="s">
        <v>93</v>
      </c>
      <c r="D54" s="77" t="s">
        <v>50</v>
      </c>
      <c r="E54" s="77" t="s">
        <v>10</v>
      </c>
      <c r="F54" s="75" t="s">
        <v>51</v>
      </c>
      <c r="G54" s="2"/>
      <c r="H54" s="59">
        <f>IF($E54="Labour",Assumptions!$B$14,)</f>
        <v>145.77740895836223</v>
      </c>
      <c r="I54" s="9" t="str">
        <f t="shared" si="0"/>
        <v>Hours</v>
      </c>
      <c r="J54" s="2"/>
      <c r="K54" s="78">
        <f>70000/$H54</f>
        <v>480.18414170054155</v>
      </c>
      <c r="L54" s="78"/>
      <c r="M54" s="78"/>
      <c r="N54" s="78"/>
      <c r="O54" s="78"/>
      <c r="P54" s="2"/>
      <c r="Q54" s="5">
        <f>IF($E54="Labour",$H54*K54,K54)</f>
        <v>70000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0</v>
      </c>
      <c r="U54" s="5">
        <f>IF($E54="Labour",$H54*O54,O54)</f>
        <v>0</v>
      </c>
      <c r="Z54"/>
    </row>
    <row r="55" spans="1:26" ht="12.75" customHeight="1" x14ac:dyDescent="0.25">
      <c r="A55" s="4"/>
      <c r="C55" s="76" t="s">
        <v>94</v>
      </c>
      <c r="D55" s="77" t="s">
        <v>50</v>
      </c>
      <c r="E55" s="77" t="s">
        <v>10</v>
      </c>
      <c r="F55" s="75" t="s">
        <v>51</v>
      </c>
      <c r="G55" s="2"/>
      <c r="H55" s="59">
        <f>IF($E55="Labour",Assumptions!$B$14,)</f>
        <v>145.77740895836223</v>
      </c>
      <c r="I55" s="9" t="str">
        <f t="shared" si="0"/>
        <v>Hours</v>
      </c>
      <c r="J55" s="2"/>
      <c r="K55" s="78">
        <f>44000/$H55</f>
        <v>301.83003192605469</v>
      </c>
      <c r="L55" s="78"/>
      <c r="M55" s="78"/>
      <c r="N55" s="78"/>
      <c r="O55" s="78"/>
      <c r="P55" s="2"/>
      <c r="Q55" s="5">
        <f>IF($E55="Labour",$H55*K55,K55)</f>
        <v>44000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  <c r="Z55"/>
    </row>
    <row r="56" spans="1:26" ht="12.75" customHeight="1" x14ac:dyDescent="0.25">
      <c r="A56" s="4"/>
      <c r="C56" s="76" t="s">
        <v>95</v>
      </c>
      <c r="D56" s="77" t="s">
        <v>50</v>
      </c>
      <c r="E56" s="77" t="s">
        <v>10</v>
      </c>
      <c r="F56" s="75" t="s">
        <v>51</v>
      </c>
      <c r="G56" s="2"/>
      <c r="H56" s="59">
        <f>IF($E56="Labour",Assumptions!$B$14,)</f>
        <v>145.77740895836223</v>
      </c>
      <c r="I56" s="9" t="str">
        <f t="shared" si="0"/>
        <v>Hours</v>
      </c>
      <c r="J56" s="2"/>
      <c r="K56" s="78">
        <f>16000/$H56</f>
        <v>109.75637524583806</v>
      </c>
      <c r="L56" s="78"/>
      <c r="M56" s="78"/>
      <c r="N56" s="78"/>
      <c r="O56" s="78"/>
      <c r="P56" s="2"/>
      <c r="Q56" s="5">
        <f>IF($E56="Labour",$H56*K56,K56)</f>
        <v>16000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  <c r="Z56"/>
    </row>
    <row r="57" spans="1:26" ht="12.75" customHeight="1" x14ac:dyDescent="0.25">
      <c r="A57" s="4"/>
      <c r="C57" s="76" t="s">
        <v>96</v>
      </c>
      <c r="D57" s="77" t="s">
        <v>50</v>
      </c>
      <c r="E57" s="77" t="s">
        <v>10</v>
      </c>
      <c r="F57" s="75" t="s">
        <v>51</v>
      </c>
      <c r="G57" s="2"/>
      <c r="H57" s="59">
        <f>IF($E57="Labour",Assumptions!$B$14,)</f>
        <v>145.77740895836223</v>
      </c>
      <c r="I57" s="9" t="str">
        <f t="shared" si="0"/>
        <v>Hours</v>
      </c>
      <c r="J57" s="2"/>
      <c r="K57" s="78">
        <f>16000/$H57</f>
        <v>109.75637524583806</v>
      </c>
      <c r="L57" s="78"/>
      <c r="M57" s="78"/>
      <c r="N57" s="78"/>
      <c r="O57" s="78"/>
      <c r="P57" s="2"/>
      <c r="Q57" s="5">
        <f>IF($E57="Labour",$H57*K57,K57)</f>
        <v>16000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  <c r="Z57"/>
    </row>
    <row r="58" spans="1:26" ht="12.75" customHeight="1" x14ac:dyDescent="0.25">
      <c r="A58" s="4"/>
      <c r="C58" s="76" t="s">
        <v>97</v>
      </c>
      <c r="D58" s="77" t="s">
        <v>50</v>
      </c>
      <c r="E58" s="77" t="s">
        <v>10</v>
      </c>
      <c r="F58" s="75" t="s">
        <v>51</v>
      </c>
      <c r="G58" s="2"/>
      <c r="H58" s="59">
        <f>IF($E58="Labour",Assumptions!$B$14,)</f>
        <v>145.77740895836223</v>
      </c>
      <c r="I58" s="9" t="str">
        <f t="shared" si="0"/>
        <v>Hours</v>
      </c>
      <c r="J58" s="2"/>
      <c r="K58" s="78">
        <f>28.8*8*36.8%</f>
        <v>84.787199999999999</v>
      </c>
      <c r="L58" s="78">
        <f>28.8*8*36.8%</f>
        <v>84.787199999999999</v>
      </c>
      <c r="M58" s="78">
        <f>28.8*8*36.8%</f>
        <v>84.787199999999999</v>
      </c>
      <c r="N58" s="78">
        <f>28.8*8*36.8%</f>
        <v>84.787199999999999</v>
      </c>
      <c r="O58" s="78">
        <f>28.8*8*36.8%</f>
        <v>84.787199999999999</v>
      </c>
      <c r="P58" s="2"/>
      <c r="Q58" s="5">
        <f>IF($E58="Labour",$H58*K58,K58)</f>
        <v>12360.05832883445</v>
      </c>
      <c r="R58" s="5">
        <f>IF($E58="Labour",$H58*L58,L58)</f>
        <v>12360.05832883445</v>
      </c>
      <c r="S58" s="5">
        <f>IF($E58="Labour",$H58*M58,M58)</f>
        <v>12360.05832883445</v>
      </c>
      <c r="T58" s="5">
        <f>IF($E58="Labour",$H58*N58,N58)</f>
        <v>12360.05832883445</v>
      </c>
      <c r="U58" s="5">
        <f>IF($E58="Labour",$H58*O58,O58)</f>
        <v>12360.05832883445</v>
      </c>
      <c r="Z58"/>
    </row>
    <row r="59" spans="1:26" ht="12.75" customHeight="1" x14ac:dyDescent="0.25">
      <c r="A59" s="4"/>
      <c r="C59" s="76" t="s">
        <v>98</v>
      </c>
      <c r="D59" s="77" t="s">
        <v>50</v>
      </c>
      <c r="E59" s="77" t="s">
        <v>11</v>
      </c>
      <c r="F59" s="75" t="s">
        <v>51</v>
      </c>
      <c r="G59" s="2"/>
      <c r="H59" s="59">
        <f>IF($E59="Labour",Assumptions!$B$14,)</f>
        <v>0</v>
      </c>
      <c r="I59" s="9" t="str">
        <f t="shared" si="0"/>
        <v>$</v>
      </c>
      <c r="J59" s="2"/>
      <c r="K59" s="78">
        <f>3600*50*36.8%</f>
        <v>66240</v>
      </c>
      <c r="L59" s="78">
        <f>3900*50*36.8%</f>
        <v>71760</v>
      </c>
      <c r="M59" s="78">
        <f>4200*50*36.8%</f>
        <v>77280</v>
      </c>
      <c r="N59" s="78">
        <f>4500*50*36.8%</f>
        <v>82800</v>
      </c>
      <c r="O59" s="78">
        <f>4800*50*36.8%</f>
        <v>88320</v>
      </c>
      <c r="P59" s="2"/>
      <c r="Q59" s="5">
        <f>IF($E59="Labour",$H59*K59,K59)</f>
        <v>66240</v>
      </c>
      <c r="R59" s="5">
        <f>IF($E59="Labour",$H59*L59,L59)</f>
        <v>71760</v>
      </c>
      <c r="S59" s="5">
        <f>IF($E59="Labour",$H59*M59,M59)</f>
        <v>77280</v>
      </c>
      <c r="T59" s="5">
        <f>IF($E59="Labour",$H59*N59,N59)</f>
        <v>82800</v>
      </c>
      <c r="U59" s="5">
        <f>IF($E59="Labour",$H59*O59,O59)</f>
        <v>88320</v>
      </c>
      <c r="Z59"/>
    </row>
    <row r="60" spans="1:26" ht="12.75" customHeight="1" x14ac:dyDescent="0.25">
      <c r="A60" s="4"/>
      <c r="C60" s="76" t="s">
        <v>99</v>
      </c>
      <c r="D60" s="77" t="s">
        <v>50</v>
      </c>
      <c r="E60" s="77" t="s">
        <v>12</v>
      </c>
      <c r="F60" s="75" t="s">
        <v>51</v>
      </c>
      <c r="G60" s="2"/>
      <c r="H60" s="59">
        <f>IF($E60="Labour",Assumptions!$B$14,)</f>
        <v>0</v>
      </c>
      <c r="I60" s="9" t="str">
        <f t="shared" si="0"/>
        <v>$</v>
      </c>
      <c r="J60" s="2"/>
      <c r="K60" s="78"/>
      <c r="L60" s="78"/>
      <c r="M60" s="78"/>
      <c r="N60" s="78"/>
      <c r="O60" s="78"/>
      <c r="P60" s="2"/>
      <c r="Q60" s="5">
        <f>IF($E60="Labour",$H60*K60,K60)</f>
        <v>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  <c r="Z60"/>
    </row>
    <row r="61" spans="1:26" ht="12.75" customHeight="1" x14ac:dyDescent="0.25">
      <c r="A61" s="4"/>
      <c r="C61" s="76" t="s">
        <v>100</v>
      </c>
      <c r="D61" s="77" t="s">
        <v>50</v>
      </c>
      <c r="E61" s="77" t="s">
        <v>10</v>
      </c>
      <c r="F61" s="75" t="s">
        <v>51</v>
      </c>
      <c r="G61" s="2"/>
      <c r="H61" s="59">
        <f>IF($E61="Labour",Assumptions!$B$14,)</f>
        <v>145.77740895836223</v>
      </c>
      <c r="I61" s="9" t="str">
        <f t="shared" si="0"/>
        <v>Hours</v>
      </c>
      <c r="J61" s="2"/>
      <c r="K61" s="78">
        <f>261*8*36.8%</f>
        <v>768.38400000000001</v>
      </c>
      <c r="L61" s="78">
        <f>261*8*36.8%</f>
        <v>768.38400000000001</v>
      </c>
      <c r="M61" s="78">
        <f>260*8*36.8%</f>
        <v>765.43999999999994</v>
      </c>
      <c r="N61" s="78">
        <f>261*8*36.8%</f>
        <v>768.38400000000001</v>
      </c>
      <c r="O61" s="78">
        <f>261*8*36.8%</f>
        <v>768.38400000000001</v>
      </c>
      <c r="P61" s="2"/>
      <c r="Q61" s="5">
        <f>IF($E61="Labour",$H61*K61,K61)</f>
        <v>112013.02860506221</v>
      </c>
      <c r="R61" s="5">
        <f>IF($E61="Labour",$H61*L61,L61)</f>
        <v>112013.02860506221</v>
      </c>
      <c r="S61" s="5">
        <f>IF($E61="Labour",$H61*M61,M61)</f>
        <v>111583.85991308877</v>
      </c>
      <c r="T61" s="5">
        <f>IF($E61="Labour",$H61*N61,N61)</f>
        <v>112013.02860506221</v>
      </c>
      <c r="U61" s="5">
        <f>IF($E61="Labour",$H61*O61,O61)</f>
        <v>112013.02860506221</v>
      </c>
      <c r="Z61"/>
    </row>
    <row r="62" spans="1:26" ht="12.75" customHeight="1" x14ac:dyDescent="0.25">
      <c r="A62" s="4"/>
      <c r="C62" s="76" t="s">
        <v>101</v>
      </c>
      <c r="D62" s="77" t="s">
        <v>50</v>
      </c>
      <c r="E62" s="77" t="s">
        <v>12</v>
      </c>
      <c r="F62" s="75" t="s">
        <v>51</v>
      </c>
      <c r="G62" s="2"/>
      <c r="H62" s="59">
        <f>IF($E62="Labour",Assumptions!$B$14,)</f>
        <v>0</v>
      </c>
      <c r="I62" s="9" t="str">
        <f t="shared" si="0"/>
        <v>$</v>
      </c>
      <c r="J62" s="2"/>
      <c r="K62" s="78">
        <f>875000*0.5</f>
        <v>437500</v>
      </c>
      <c r="L62" s="78">
        <v>0</v>
      </c>
      <c r="M62" s="78">
        <v>0</v>
      </c>
      <c r="N62" s="78">
        <v>0</v>
      </c>
      <c r="O62" s="78">
        <v>0</v>
      </c>
      <c r="P62" s="2"/>
      <c r="Q62" s="5">
        <f>IF($E62="Labour",$H62*K62,K62)</f>
        <v>437500</v>
      </c>
      <c r="R62" s="5">
        <f>IF($E62="Labour",$H62*L62,L62)</f>
        <v>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  <c r="Z62"/>
    </row>
    <row r="63" spans="1:26" ht="12.75" customHeight="1" x14ac:dyDescent="0.25">
      <c r="A63" s="4"/>
      <c r="C63" s="76" t="s">
        <v>102</v>
      </c>
      <c r="D63" s="77" t="s">
        <v>50</v>
      </c>
      <c r="E63" s="77" t="s">
        <v>12</v>
      </c>
      <c r="F63" s="75" t="s">
        <v>51</v>
      </c>
      <c r="G63" s="2"/>
      <c r="H63" s="59">
        <f>IF($E63="Labour",Assumptions!$B$14,)</f>
        <v>0</v>
      </c>
      <c r="I63" s="9" t="str">
        <f t="shared" si="0"/>
        <v>$</v>
      </c>
      <c r="J63" s="2"/>
      <c r="K63" s="78">
        <v>75265</v>
      </c>
      <c r="L63" s="78">
        <v>75265</v>
      </c>
      <c r="M63" s="78">
        <v>75265</v>
      </c>
      <c r="N63" s="78">
        <v>75265</v>
      </c>
      <c r="O63" s="78">
        <v>75265</v>
      </c>
      <c r="P63" s="2"/>
      <c r="Q63" s="5">
        <f>IF($E63="Labour",$H63*K63,K63)</f>
        <v>75265</v>
      </c>
      <c r="R63" s="5">
        <f>IF($E63="Labour",$H63*L63,L63)</f>
        <v>75265</v>
      </c>
      <c r="S63" s="5">
        <f>IF($E63="Labour",$H63*M63,M63)</f>
        <v>75265</v>
      </c>
      <c r="T63" s="5">
        <f>IF($E63="Labour",$H63*N63,N63)</f>
        <v>75265</v>
      </c>
      <c r="U63" s="5">
        <f>IF($E63="Labour",$H63*O63,O63)</f>
        <v>75265</v>
      </c>
      <c r="Z63"/>
    </row>
    <row r="64" spans="1:26" ht="12.75" customHeight="1" x14ac:dyDescent="0.2">
      <c r="A64" s="4"/>
      <c r="C64" s="76" t="s">
        <v>103</v>
      </c>
      <c r="D64" s="77" t="s">
        <v>50</v>
      </c>
      <c r="E64" s="77" t="s">
        <v>10</v>
      </c>
      <c r="F64" s="75" t="s">
        <v>51</v>
      </c>
      <c r="H64" s="59">
        <f>IF($E64="Labour",Assumptions!$B$14,)</f>
        <v>145.77740895836223</v>
      </c>
      <c r="I64" s="9" t="str">
        <f t="shared" si="0"/>
        <v>Hours</v>
      </c>
      <c r="K64" s="78">
        <f>220000/H64*0.5</f>
        <v>754.57507981513663</v>
      </c>
      <c r="L64" s="78">
        <v>0</v>
      </c>
      <c r="M64" s="78">
        <v>0</v>
      </c>
      <c r="N64" s="78">
        <v>0</v>
      </c>
      <c r="O64" s="78">
        <v>0</v>
      </c>
      <c r="Q64" s="5">
        <f>IF($E64="Labour",$H64*K64,K64)</f>
        <v>110000</v>
      </c>
      <c r="R64" s="5">
        <f>IF($E64="Labour",$H64*L64,L64)</f>
        <v>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</row>
    <row r="65" spans="1:21" ht="12.75" customHeight="1" x14ac:dyDescent="0.2">
      <c r="A65" s="4"/>
      <c r="C65" s="76" t="s">
        <v>104</v>
      </c>
      <c r="D65" s="77" t="s">
        <v>50</v>
      </c>
      <c r="E65" s="77" t="s">
        <v>10</v>
      </c>
      <c r="F65" s="75" t="s">
        <v>51</v>
      </c>
      <c r="H65" s="59">
        <f>IF($E65="Labour",Assumptions!$B$14,)</f>
        <v>145.77740895836223</v>
      </c>
      <c r="I65" s="9" t="str">
        <f t="shared" si="0"/>
        <v>Hours</v>
      </c>
      <c r="K65" s="78">
        <f>390000/H65*0.5</f>
        <v>1337.6558233086514</v>
      </c>
      <c r="L65" s="78">
        <v>0</v>
      </c>
      <c r="M65" s="78">
        <v>0</v>
      </c>
      <c r="N65" s="78">
        <v>0</v>
      </c>
      <c r="O65" s="78">
        <v>0</v>
      </c>
      <c r="Q65" s="5">
        <f>IF($E65="Labour",$H65*K65,K65)</f>
        <v>195000</v>
      </c>
      <c r="R65" s="5">
        <f>IF($E65="Labour",$H65*L65,L65)</f>
        <v>0</v>
      </c>
      <c r="S65" s="5">
        <f>IF($E65="Labour",$H65*M65,M65)</f>
        <v>0</v>
      </c>
      <c r="T65" s="5">
        <f>IF($E65="Labour",$H65*N65,N65)</f>
        <v>0</v>
      </c>
      <c r="U65" s="5">
        <f>IF($E65="Labour",$H65*O65,O65)</f>
        <v>0</v>
      </c>
    </row>
    <row r="66" spans="1:21" ht="12.75" customHeight="1" x14ac:dyDescent="0.2">
      <c r="A66" s="4"/>
      <c r="C66" s="76" t="s">
        <v>105</v>
      </c>
      <c r="D66" s="77" t="s">
        <v>50</v>
      </c>
      <c r="E66" s="77" t="s">
        <v>10</v>
      </c>
      <c r="F66" s="75" t="s">
        <v>51</v>
      </c>
      <c r="H66" s="59">
        <f>IF($E66="Labour",Assumptions!$B$14,)</f>
        <v>145.77740895836223</v>
      </c>
      <c r="I66" s="9" t="str">
        <f t="shared" si="0"/>
        <v>Hours</v>
      </c>
      <c r="K66" s="78">
        <f>90000/H66*0.5</f>
        <v>308.68980537891957</v>
      </c>
      <c r="L66" s="78">
        <v>0</v>
      </c>
      <c r="M66" s="78">
        <v>0</v>
      </c>
      <c r="N66" s="78">
        <v>0</v>
      </c>
      <c r="O66" s="78">
        <v>0</v>
      </c>
      <c r="Q66" s="5">
        <f>IF($E66="Labour",$H66*K66,K66)</f>
        <v>45000</v>
      </c>
      <c r="R66" s="5">
        <f>IF($E66="Labour",$H66*L66,L66)</f>
        <v>0</v>
      </c>
      <c r="S66" s="5">
        <f>IF($E66="Labour",$H66*M66,M66)</f>
        <v>0</v>
      </c>
      <c r="T66" s="5">
        <f>IF($E66="Labour",$H66*N66,N66)</f>
        <v>0</v>
      </c>
      <c r="U66" s="5">
        <f>IF($E66="Labour",$H66*O66,O66)</f>
        <v>0</v>
      </c>
    </row>
    <row r="67" spans="1:21" ht="12.75" customHeight="1" x14ac:dyDescent="0.2">
      <c r="A67" s="4"/>
      <c r="C67" s="76" t="s">
        <v>106</v>
      </c>
      <c r="D67" s="77" t="s">
        <v>50</v>
      </c>
      <c r="E67" s="77" t="s">
        <v>10</v>
      </c>
      <c r="F67" s="75" t="s">
        <v>51</v>
      </c>
      <c r="H67" s="59">
        <f>IF($E67="Labour",Assumptions!$B$14,)</f>
        <v>145.77740895836223</v>
      </c>
      <c r="I67" s="9" t="str">
        <f t="shared" si="0"/>
        <v>Hours</v>
      </c>
      <c r="K67" s="78">
        <f>127873/H67</f>
        <v>877.17981073819067</v>
      </c>
      <c r="L67" s="78"/>
      <c r="M67" s="78"/>
      <c r="N67" s="78"/>
      <c r="O67" s="78"/>
      <c r="Q67" s="5">
        <f>IF($E67="Labour",$H67*K67,K67)</f>
        <v>127873</v>
      </c>
      <c r="R67" s="5">
        <f>IF($E67="Labour",$H67*L67,L67)</f>
        <v>0</v>
      </c>
      <c r="S67" s="5">
        <f>IF($E67="Labour",$H67*M67,M67)</f>
        <v>0</v>
      </c>
      <c r="T67" s="5">
        <f>IF($E67="Labour",$H67*N67,N67)</f>
        <v>0</v>
      </c>
      <c r="U67" s="5">
        <f>IF($E67="Labour",$H67*O67,O67)</f>
        <v>0</v>
      </c>
    </row>
    <row r="68" spans="1:21" ht="12.75" customHeight="1" x14ac:dyDescent="0.2">
      <c r="A68" s="4"/>
      <c r="C68" s="76" t="s">
        <v>106</v>
      </c>
      <c r="D68" s="77" t="s">
        <v>50</v>
      </c>
      <c r="E68" s="77" t="s">
        <v>11</v>
      </c>
      <c r="F68" s="75" t="s">
        <v>51</v>
      </c>
      <c r="H68" s="59">
        <f>IF($E68="Labour",Assumptions!$B$14,)</f>
        <v>0</v>
      </c>
      <c r="I68" s="9" t="str">
        <f t="shared" si="0"/>
        <v>$</v>
      </c>
      <c r="K68" s="78">
        <v>50000</v>
      </c>
      <c r="L68" s="78"/>
      <c r="M68" s="78"/>
      <c r="N68" s="78"/>
      <c r="O68" s="78"/>
      <c r="Q68" s="5">
        <f>IF($E68="Labour",$H68*K68,K68)</f>
        <v>50000</v>
      </c>
      <c r="R68" s="5">
        <f>IF($E68="Labour",$H68*L68,L68)</f>
        <v>0</v>
      </c>
      <c r="S68" s="5">
        <f>IF($E68="Labour",$H68*M68,M68)</f>
        <v>0</v>
      </c>
      <c r="T68" s="5">
        <f>IF($E68="Labour",$H68*N68,N68)</f>
        <v>0</v>
      </c>
      <c r="U68" s="5">
        <f>IF($E68="Labour",$H68*O68,O68)</f>
        <v>0</v>
      </c>
    </row>
    <row r="69" spans="1:21" ht="12.75" customHeight="1" x14ac:dyDescent="0.2">
      <c r="A69" s="4"/>
      <c r="C69" s="76" t="s">
        <v>107</v>
      </c>
      <c r="D69" s="77" t="s">
        <v>50</v>
      </c>
      <c r="E69" s="77" t="s">
        <v>10</v>
      </c>
      <c r="F69" s="75" t="s">
        <v>51</v>
      </c>
      <c r="H69" s="59">
        <f>IF($E69="Labour",Assumptions!$B$14,)</f>
        <v>145.77740895836223</v>
      </c>
      <c r="I69" s="9" t="str">
        <f t="shared" si="0"/>
        <v>Hours</v>
      </c>
      <c r="K69" s="78">
        <f>127873/H69</f>
        <v>877.17981073819067</v>
      </c>
      <c r="L69" s="78"/>
      <c r="M69" s="78"/>
      <c r="N69" s="78"/>
      <c r="O69" s="78"/>
      <c r="Q69" s="5">
        <f>IF($E69="Labour",$H69*K69,K69)</f>
        <v>127873</v>
      </c>
      <c r="R69" s="5">
        <f>IF($E69="Labour",$H69*L69,L69)</f>
        <v>0</v>
      </c>
      <c r="S69" s="5">
        <f>IF($E69="Labour",$H69*M69,M69)</f>
        <v>0</v>
      </c>
      <c r="T69" s="5">
        <f>IF($E69="Labour",$H69*N69,N69)</f>
        <v>0</v>
      </c>
      <c r="U69" s="5">
        <f>IF($E69="Labour",$H69*O69,O69)</f>
        <v>0</v>
      </c>
    </row>
    <row r="70" spans="1:21" ht="12.75" customHeight="1" x14ac:dyDescent="0.2">
      <c r="A70" s="4"/>
      <c r="C70" s="76" t="s">
        <v>107</v>
      </c>
      <c r="D70" s="77" t="s">
        <v>50</v>
      </c>
      <c r="E70" s="77" t="s">
        <v>11</v>
      </c>
      <c r="F70" s="75" t="s">
        <v>51</v>
      </c>
      <c r="H70" s="59">
        <f>IF($E70="Labour",Assumptions!$B$14,)</f>
        <v>0</v>
      </c>
      <c r="I70" s="9" t="str">
        <f t="shared" si="0"/>
        <v>$</v>
      </c>
      <c r="K70" s="78">
        <v>500000</v>
      </c>
      <c r="L70" s="78"/>
      <c r="M70" s="78"/>
      <c r="N70" s="78"/>
      <c r="O70" s="78"/>
      <c r="Q70" s="5">
        <f>IF($E70="Labour",$H70*K70,K70)</f>
        <v>500000</v>
      </c>
      <c r="R70" s="5">
        <f>IF($E70="Labour",$H70*L70,L70)</f>
        <v>0</v>
      </c>
      <c r="S70" s="5">
        <f>IF($E70="Labour",$H70*M70,M70)</f>
        <v>0</v>
      </c>
      <c r="T70" s="5">
        <f>IF($E70="Labour",$H70*N70,N70)</f>
        <v>0</v>
      </c>
      <c r="U70" s="5">
        <f>IF($E70="Labour",$H70*O70,O70)</f>
        <v>0</v>
      </c>
    </row>
    <row r="71" spans="1:21" ht="12.75" customHeight="1" x14ac:dyDescent="0.2">
      <c r="A71" s="4"/>
      <c r="C71" s="76" t="s">
        <v>108</v>
      </c>
      <c r="D71" s="77" t="s">
        <v>50</v>
      </c>
      <c r="E71" s="77" t="s">
        <v>10</v>
      </c>
      <c r="F71" s="75" t="s">
        <v>51</v>
      </c>
      <c r="H71" s="59">
        <f>IF($E71="Labour",Assumptions!$B$14,)</f>
        <v>145.77740895836223</v>
      </c>
      <c r="I71" s="9" t="str">
        <f t="shared" si="0"/>
        <v>Hours</v>
      </c>
      <c r="K71" s="78">
        <f>58124/H71</f>
        <v>398.71747217431823</v>
      </c>
      <c r="L71" s="78"/>
      <c r="M71" s="78"/>
      <c r="N71" s="78"/>
      <c r="O71" s="78"/>
      <c r="Q71" s="5">
        <f>IF($E71="Labour",$H71*K71,K71)</f>
        <v>58124</v>
      </c>
      <c r="R71" s="5">
        <f>IF($E71="Labour",$H71*L71,L71)</f>
        <v>0</v>
      </c>
      <c r="S71" s="5">
        <f>IF($E71="Labour",$H71*M71,M71)</f>
        <v>0</v>
      </c>
      <c r="T71" s="5">
        <f>IF($E71="Labour",$H71*N71,N71)</f>
        <v>0</v>
      </c>
      <c r="U71" s="5">
        <f>IF($E71="Labour",$H71*O71,O71)</f>
        <v>0</v>
      </c>
    </row>
    <row r="72" spans="1:21" ht="12.75" customHeight="1" x14ac:dyDescent="0.2">
      <c r="A72" s="4"/>
      <c r="C72" s="76"/>
      <c r="D72" s="77"/>
      <c r="E72" s="77"/>
      <c r="F72" s="75"/>
      <c r="H72" s="59">
        <f>IF($E72="Labour",Assumptions!$B$14,)</f>
        <v>0</v>
      </c>
      <c r="I72" s="9" t="str">
        <f t="shared" si="0"/>
        <v>$</v>
      </c>
      <c r="K72" s="78"/>
      <c r="L72" s="78"/>
      <c r="M72" s="78"/>
      <c r="N72" s="78"/>
      <c r="O72" s="78"/>
      <c r="Q72" s="5">
        <f>IF($E72="Labour",$H72*K72,K72)</f>
        <v>0</v>
      </c>
      <c r="R72" s="5">
        <f>IF($E72="Labour",$H72*L72,L72)</f>
        <v>0</v>
      </c>
      <c r="S72" s="5">
        <f>IF($E72="Labour",$H72*M72,M72)</f>
        <v>0</v>
      </c>
      <c r="T72" s="5">
        <f>IF($E72="Labour",$H72*N72,N72)</f>
        <v>0</v>
      </c>
      <c r="U72" s="5">
        <f>IF($E72="Labour",$H72*O72,O72)</f>
        <v>0</v>
      </c>
    </row>
    <row r="73" spans="1:21" ht="12.75" customHeight="1" x14ac:dyDescent="0.2">
      <c r="A73" s="4"/>
      <c r="C73" s="76"/>
      <c r="D73" s="77"/>
      <c r="E73" s="77"/>
      <c r="F73" s="75"/>
      <c r="H73" s="59">
        <f>IF($E73="Labour",Assumptions!$B$14,)</f>
        <v>0</v>
      </c>
      <c r="I73" s="9" t="str">
        <f t="shared" si="0"/>
        <v>$</v>
      </c>
      <c r="K73" s="78"/>
      <c r="L73" s="78"/>
      <c r="M73" s="78"/>
      <c r="N73" s="78"/>
      <c r="O73" s="78"/>
      <c r="Q73" s="5">
        <f>IF($E73="Labour",$H73*K73,K73)</f>
        <v>0</v>
      </c>
      <c r="R73" s="5">
        <f>IF($E73="Labour",$H73*L73,L73)</f>
        <v>0</v>
      </c>
      <c r="S73" s="5">
        <f>IF($E73="Labour",$H73*M73,M73)</f>
        <v>0</v>
      </c>
      <c r="T73" s="5">
        <f>IF($E73="Labour",$H73*N73,N73)</f>
        <v>0</v>
      </c>
      <c r="U73" s="5">
        <f>IF($E73="Labour",$H73*O73,O73)</f>
        <v>0</v>
      </c>
    </row>
    <row r="74" spans="1:21" ht="12.75" customHeight="1" x14ac:dyDescent="0.2">
      <c r="A74" s="4"/>
      <c r="C74" s="76"/>
      <c r="D74" s="77"/>
      <c r="E74" s="77"/>
      <c r="F74" s="75"/>
      <c r="H74" s="59">
        <f>IF($E74="Labour",Assumptions!$B$14,)</f>
        <v>0</v>
      </c>
      <c r="I74" s="9" t="str">
        <f t="shared" si="0"/>
        <v>$</v>
      </c>
      <c r="K74" s="78"/>
      <c r="L74" s="78"/>
      <c r="M74" s="78"/>
      <c r="N74" s="78"/>
      <c r="O74" s="78"/>
      <c r="Q74" s="5">
        <f>IF($E74="Labour",$H74*K74,K74)</f>
        <v>0</v>
      </c>
      <c r="R74" s="5">
        <f>IF($E74="Labour",$H74*L74,L74)</f>
        <v>0</v>
      </c>
      <c r="S74" s="5">
        <f>IF($E74="Labour",$H74*M74,M74)</f>
        <v>0</v>
      </c>
      <c r="T74" s="5">
        <f>IF($E74="Labour",$H74*N74,N74)</f>
        <v>0</v>
      </c>
      <c r="U74" s="5">
        <f>IF($E74="Labour",$H74*O74,O74)</f>
        <v>0</v>
      </c>
    </row>
    <row r="75" spans="1:21" ht="12.75" customHeight="1" x14ac:dyDescent="0.2">
      <c r="A75" s="4"/>
      <c r="C75" s="76"/>
      <c r="D75" s="77"/>
      <c r="E75" s="77"/>
      <c r="F75" s="75"/>
      <c r="H75" s="59">
        <f>IF($E75="Labour",Assumptions!$B$14,)</f>
        <v>0</v>
      </c>
      <c r="I75" s="9" t="str">
        <f t="shared" si="0"/>
        <v>$</v>
      </c>
      <c r="K75" s="78"/>
      <c r="L75" s="78"/>
      <c r="M75" s="78"/>
      <c r="N75" s="78"/>
      <c r="O75" s="78"/>
      <c r="Q75" s="5">
        <f>IF($E75="Labour",$H75*K75,K75)</f>
        <v>0</v>
      </c>
      <c r="R75" s="5">
        <f>IF($E75="Labour",$H75*L75,L75)</f>
        <v>0</v>
      </c>
      <c r="S75" s="5">
        <f>IF($E75="Labour",$H75*M75,M75)</f>
        <v>0</v>
      </c>
      <c r="T75" s="5">
        <f>IF($E75="Labour",$H75*N75,N75)</f>
        <v>0</v>
      </c>
      <c r="U75" s="5">
        <f>IF($E75="Labour",$H75*O75,O75)</f>
        <v>0</v>
      </c>
    </row>
    <row r="76" spans="1:21" ht="12.75" customHeight="1" x14ac:dyDescent="0.2">
      <c r="A76" s="4"/>
      <c r="C76" s="76"/>
      <c r="D76" s="77"/>
      <c r="E76" s="77"/>
      <c r="F76" s="75"/>
      <c r="H76" s="59">
        <f>IF($E76="Labour",Assumptions!$B$14,)</f>
        <v>0</v>
      </c>
      <c r="I76" s="9" t="str">
        <f t="shared" si="0"/>
        <v>$</v>
      </c>
      <c r="K76" s="78"/>
      <c r="L76" s="78"/>
      <c r="M76" s="78"/>
      <c r="N76" s="78"/>
      <c r="O76" s="78"/>
      <c r="Q76" s="5">
        <f>IF($E76="Labour",$H76*K76,K76)</f>
        <v>0</v>
      </c>
      <c r="R76" s="5">
        <f>IF($E76="Labour",$H76*L76,L76)</f>
        <v>0</v>
      </c>
      <c r="S76" s="5">
        <f>IF($E76="Labour",$H76*M76,M76)</f>
        <v>0</v>
      </c>
      <c r="T76" s="5">
        <f>IF($E76="Labour",$H76*N76,N76)</f>
        <v>0</v>
      </c>
      <c r="U76" s="5">
        <f>IF($E76="Labour",$H76*O76,O76)</f>
        <v>0</v>
      </c>
    </row>
    <row r="77" spans="1:21" ht="12.75" customHeight="1" x14ac:dyDescent="0.2">
      <c r="A77" s="4"/>
      <c r="C77" s="76"/>
      <c r="D77" s="77"/>
      <c r="E77" s="77"/>
      <c r="F77" s="75"/>
      <c r="H77" s="59">
        <f>IF($E77="Labour",Assumptions!$B$14,)</f>
        <v>0</v>
      </c>
      <c r="I77" s="9" t="str">
        <f t="shared" si="0"/>
        <v>$</v>
      </c>
      <c r="K77" s="78"/>
      <c r="L77" s="78"/>
      <c r="M77" s="78"/>
      <c r="N77" s="78"/>
      <c r="O77" s="78"/>
      <c r="Q77" s="5">
        <f>IF($E77="Labour",$H77*K77,K77)</f>
        <v>0</v>
      </c>
      <c r="R77" s="5">
        <f>IF($E77="Labour",$H77*L77,L77)</f>
        <v>0</v>
      </c>
      <c r="S77" s="5">
        <f>IF($E77="Labour",$H77*M77,M77)</f>
        <v>0</v>
      </c>
      <c r="T77" s="5">
        <f>IF($E77="Labour",$H77*N77,N77)</f>
        <v>0</v>
      </c>
      <c r="U77" s="5">
        <f>IF($E77="Labour",$H77*O77,O77)</f>
        <v>0</v>
      </c>
    </row>
    <row r="78" spans="1:21" ht="12.75" customHeight="1" x14ac:dyDescent="0.2">
      <c r="A78" s="4"/>
      <c r="C78" s="76"/>
      <c r="D78" s="77"/>
      <c r="E78" s="77"/>
      <c r="F78" s="75"/>
      <c r="H78" s="59">
        <f>IF($E78="Labour",Assumptions!$B$14,)</f>
        <v>0</v>
      </c>
      <c r="I78" s="9" t="str">
        <f t="shared" si="0"/>
        <v>$</v>
      </c>
      <c r="K78" s="78"/>
      <c r="L78" s="78"/>
      <c r="M78" s="78"/>
      <c r="N78" s="78"/>
      <c r="O78" s="78"/>
      <c r="Q78" s="5">
        <f>IF($E78="Labour",$H78*K78,K78)</f>
        <v>0</v>
      </c>
      <c r="R78" s="5">
        <f>IF($E78="Labour",$H78*L78,L78)</f>
        <v>0</v>
      </c>
      <c r="S78" s="5">
        <f>IF($E78="Labour",$H78*M78,M78)</f>
        <v>0</v>
      </c>
      <c r="T78" s="5">
        <f>IF($E78="Labour",$H78*N78,N78)</f>
        <v>0</v>
      </c>
      <c r="U78" s="5">
        <f>IF($E78="Labour",$H78*O78,O78)</f>
        <v>0</v>
      </c>
    </row>
    <row r="79" spans="1:21" ht="12.75" customHeight="1" x14ac:dyDescent="0.2">
      <c r="A79" s="4"/>
      <c r="C79" s="76"/>
      <c r="D79" s="77"/>
      <c r="E79" s="77"/>
      <c r="F79" s="75"/>
      <c r="H79" s="59">
        <f>IF($E79="Labour",Assumptions!$B$14,)</f>
        <v>0</v>
      </c>
      <c r="I79" s="9" t="str">
        <f t="shared" si="0"/>
        <v>$</v>
      </c>
      <c r="K79" s="78"/>
      <c r="L79" s="78"/>
      <c r="M79" s="78"/>
      <c r="N79" s="78"/>
      <c r="O79" s="78"/>
      <c r="Q79" s="5">
        <f>IF($E79="Labour",$H79*K79,K79)</f>
        <v>0</v>
      </c>
      <c r="R79" s="5">
        <f>IF($E79="Labour",$H79*L79,L79)</f>
        <v>0</v>
      </c>
      <c r="S79" s="5">
        <f>IF($E79="Labour",$H79*M79,M79)</f>
        <v>0</v>
      </c>
      <c r="T79" s="5">
        <f>IF($E79="Labour",$H79*N79,N79)</f>
        <v>0</v>
      </c>
      <c r="U79" s="5">
        <f>IF($E79="Labour",$H79*O79,O79)</f>
        <v>0</v>
      </c>
    </row>
    <row r="80" spans="1:21" ht="12.75" customHeight="1" x14ac:dyDescent="0.2">
      <c r="A80" s="4"/>
      <c r="C80" s="76"/>
      <c r="D80" s="77"/>
      <c r="E80" s="77"/>
      <c r="F80" s="75"/>
      <c r="H80" s="59">
        <f>IF($E80="Labour",Assumptions!$B$14,)</f>
        <v>0</v>
      </c>
      <c r="I80" s="9" t="str">
        <f t="shared" si="0"/>
        <v>$</v>
      </c>
      <c r="K80" s="78"/>
      <c r="L80" s="78"/>
      <c r="M80" s="78"/>
      <c r="N80" s="78"/>
      <c r="O80" s="78"/>
      <c r="Q80" s="5">
        <f>IF($E80="Labour",$H80*K80,K80)</f>
        <v>0</v>
      </c>
      <c r="R80" s="5">
        <f>IF($E80="Labour",$H80*L80,L80)</f>
        <v>0</v>
      </c>
      <c r="S80" s="5">
        <f>IF($E80="Labour",$H80*M80,M80)</f>
        <v>0</v>
      </c>
      <c r="T80" s="5">
        <f>IF($E80="Labour",$H80*N80,N80)</f>
        <v>0</v>
      </c>
      <c r="U80" s="5">
        <f>IF($E80="Labour",$H80*O80,O80)</f>
        <v>0</v>
      </c>
    </row>
    <row r="81" spans="1:26" ht="12.75" customHeight="1" x14ac:dyDescent="0.2">
      <c r="A81" s="4"/>
      <c r="C81" s="76"/>
      <c r="D81" s="77"/>
      <c r="E81" s="77"/>
      <c r="F81" s="75"/>
      <c r="H81" s="59">
        <f>IF($E81="Labour",Assumptions!$B$14,)</f>
        <v>0</v>
      </c>
      <c r="I81" s="9" t="str">
        <f t="shared" si="0"/>
        <v>$</v>
      </c>
      <c r="K81" s="78"/>
      <c r="L81" s="78"/>
      <c r="M81" s="78"/>
      <c r="N81" s="78"/>
      <c r="O81" s="78"/>
      <c r="Q81" s="5">
        <f>IF($E81="Labour",$H81*K81,K81)</f>
        <v>0</v>
      </c>
      <c r="R81" s="5">
        <f>IF($E81="Labour",$H81*L81,L81)</f>
        <v>0</v>
      </c>
      <c r="S81" s="5">
        <f>IF($E81="Labour",$H81*M81,M81)</f>
        <v>0</v>
      </c>
      <c r="T81" s="5">
        <f>IF($E81="Labour",$H81*N81,N81)</f>
        <v>0</v>
      </c>
      <c r="U81" s="5">
        <f>IF($E81="Labour",$H81*O81,O81)</f>
        <v>0</v>
      </c>
    </row>
    <row r="82" spans="1:26" ht="12.75" customHeight="1" x14ac:dyDescent="0.2">
      <c r="A82" s="4"/>
      <c r="C82" s="76"/>
      <c r="D82" s="77"/>
      <c r="E82" s="77"/>
      <c r="F82" s="75"/>
      <c r="H82" s="59">
        <f>IF($E82="Labour",Assumptions!$B$14,)</f>
        <v>0</v>
      </c>
      <c r="I82" s="9" t="str">
        <f t="shared" si="0"/>
        <v>$</v>
      </c>
      <c r="K82" s="78"/>
      <c r="L82" s="78"/>
      <c r="M82" s="78"/>
      <c r="N82" s="78"/>
      <c r="O82" s="78"/>
      <c r="Q82" s="5">
        <f>IF($E82="Labour",$H82*K82,K82)</f>
        <v>0</v>
      </c>
      <c r="R82" s="5">
        <f>IF($E82="Labour",$H82*L82,L82)</f>
        <v>0</v>
      </c>
      <c r="S82" s="5">
        <f>IF($E82="Labour",$H82*M82,M82)</f>
        <v>0</v>
      </c>
      <c r="T82" s="5">
        <f>IF($E82="Labour",$H82*N82,N82)</f>
        <v>0</v>
      </c>
      <c r="U82" s="5">
        <f>IF($E82="Labour",$H82*O82,O82)</f>
        <v>0</v>
      </c>
    </row>
    <row r="83" spans="1:26" ht="12.75" customHeight="1" x14ac:dyDescent="0.2">
      <c r="A83" s="4"/>
      <c r="C83" s="76"/>
      <c r="D83" s="77"/>
      <c r="E83" s="77"/>
      <c r="F83" s="75"/>
      <c r="H83" s="59">
        <f>IF($E83="Labour",Assumptions!$B$14,)</f>
        <v>0</v>
      </c>
      <c r="I83" s="9" t="str">
        <f t="shared" si="0"/>
        <v>$</v>
      </c>
      <c r="K83" s="78"/>
      <c r="L83" s="78"/>
      <c r="M83" s="78"/>
      <c r="N83" s="78"/>
      <c r="O83" s="78"/>
      <c r="Q83" s="5">
        <f>IF($E83="Labour",$H83*K83,K83)</f>
        <v>0</v>
      </c>
      <c r="R83" s="5">
        <f>IF($E83="Labour",$H83*L83,L83)</f>
        <v>0</v>
      </c>
      <c r="S83" s="5">
        <f>IF($E83="Labour",$H83*M83,M83)</f>
        <v>0</v>
      </c>
      <c r="T83" s="5">
        <f>IF($E83="Labour",$H83*N83,N83)</f>
        <v>0</v>
      </c>
      <c r="U83" s="5">
        <f>IF($E83="Labour",$H83*O83,O83)</f>
        <v>0</v>
      </c>
    </row>
    <row r="84" spans="1:26" ht="12.75" customHeight="1" x14ac:dyDescent="0.2">
      <c r="A84" s="4"/>
      <c r="C84" s="76"/>
      <c r="D84" s="77"/>
      <c r="E84" s="77"/>
      <c r="F84" s="75"/>
      <c r="H84" s="59">
        <f>IF($E84="Labour",Assumptions!$B$14,)</f>
        <v>0</v>
      </c>
      <c r="I84" s="9" t="str">
        <f t="shared" si="0"/>
        <v>$</v>
      </c>
      <c r="K84" s="78"/>
      <c r="L84" s="78"/>
      <c r="M84" s="78"/>
      <c r="N84" s="78"/>
      <c r="O84" s="78"/>
      <c r="Q84" s="5">
        <f>IF($E84="Labour",$H84*K84,K84)</f>
        <v>0</v>
      </c>
      <c r="R84" s="5">
        <f>IF($E84="Labour",$H84*L84,L84)</f>
        <v>0</v>
      </c>
      <c r="S84" s="5">
        <f>IF($E84="Labour",$H84*M84,M84)</f>
        <v>0</v>
      </c>
      <c r="T84" s="5">
        <f>IF($E84="Labour",$H84*N84,N84)</f>
        <v>0</v>
      </c>
      <c r="U84" s="5">
        <f>IF($E84="Labour",$H84*O84,O84)</f>
        <v>0</v>
      </c>
    </row>
    <row r="85" spans="1:26" ht="12.75" customHeight="1" x14ac:dyDescent="0.2">
      <c r="A85" s="4"/>
      <c r="C85" s="76"/>
      <c r="D85" s="77"/>
      <c r="E85" s="77"/>
      <c r="F85" s="75"/>
      <c r="H85" s="59">
        <f>IF($E85="Labour",Assumptions!$B$14,)</f>
        <v>0</v>
      </c>
      <c r="I85" s="9" t="str">
        <f t="shared" si="0"/>
        <v>$</v>
      </c>
      <c r="K85" s="78"/>
      <c r="L85" s="78"/>
      <c r="M85" s="78"/>
      <c r="N85" s="78"/>
      <c r="O85" s="78"/>
      <c r="Q85" s="5">
        <f>IF($E85="Labour",$H85*K85,K85)</f>
        <v>0</v>
      </c>
      <c r="R85" s="5">
        <f>IF($E85="Labour",$H85*L85,L85)</f>
        <v>0</v>
      </c>
      <c r="S85" s="5">
        <f>IF($E85="Labour",$H85*M85,M85)</f>
        <v>0</v>
      </c>
      <c r="T85" s="5">
        <f>IF($E85="Labour",$H85*N85,N85)</f>
        <v>0</v>
      </c>
      <c r="U85" s="5">
        <f>IF($E85="Labour",$H85*O85,O85)</f>
        <v>0</v>
      </c>
    </row>
    <row r="86" spans="1:26" ht="12.75" customHeight="1" x14ac:dyDescent="0.2">
      <c r="A86" s="4"/>
      <c r="C86" s="76"/>
      <c r="D86" s="77"/>
      <c r="E86" s="77"/>
      <c r="F86" s="75"/>
      <c r="H86" s="59">
        <f>IF($E86="Labour",Assumptions!$B$14,)</f>
        <v>0</v>
      </c>
      <c r="I86" s="9" t="str">
        <f t="shared" si="0"/>
        <v>$</v>
      </c>
      <c r="K86" s="78"/>
      <c r="L86" s="78"/>
      <c r="M86" s="78"/>
      <c r="N86" s="78"/>
      <c r="O86" s="78"/>
      <c r="Q86" s="5">
        <f>IF($E86="Labour",$H86*K86,K86)</f>
        <v>0</v>
      </c>
      <c r="R86" s="5">
        <f>IF($E86="Labour",$H86*L86,L86)</f>
        <v>0</v>
      </c>
      <c r="S86" s="5">
        <f>IF($E86="Labour",$H86*M86,M86)</f>
        <v>0</v>
      </c>
      <c r="T86" s="5">
        <f>IF($E86="Labour",$H86*N86,N86)</f>
        <v>0</v>
      </c>
      <c r="U86" s="5">
        <f>IF($E86="Labour",$H86*O86,O86)</f>
        <v>0</v>
      </c>
    </row>
    <row r="87" spans="1:26" ht="12.75" customHeight="1" x14ac:dyDescent="0.2">
      <c r="A87" s="4"/>
      <c r="C87" s="76"/>
      <c r="D87" s="77"/>
      <c r="E87" s="77"/>
      <c r="F87" s="75"/>
      <c r="H87" s="59">
        <f>IF($E87="Labour",Assumptions!$B$14,)</f>
        <v>0</v>
      </c>
      <c r="I87" s="9" t="str">
        <f t="shared" si="0"/>
        <v>$</v>
      </c>
      <c r="K87" s="78"/>
      <c r="L87" s="78"/>
      <c r="M87" s="78"/>
      <c r="N87" s="78"/>
      <c r="O87" s="78"/>
      <c r="Q87" s="5">
        <f>IF($E87="Labour",$H87*K87,K87)</f>
        <v>0</v>
      </c>
      <c r="R87" s="5">
        <f>IF($E87="Labour",$H87*L87,L87)</f>
        <v>0</v>
      </c>
      <c r="S87" s="5">
        <f>IF($E87="Labour",$H87*M87,M87)</f>
        <v>0</v>
      </c>
      <c r="T87" s="5">
        <f>IF($E87="Labour",$H87*N87,N87)</f>
        <v>0</v>
      </c>
      <c r="U87" s="5">
        <f>IF($E87="Labour",$H87*O87,O87)</f>
        <v>0</v>
      </c>
    </row>
    <row r="88" spans="1:26" ht="12.75" customHeight="1" x14ac:dyDescent="0.2">
      <c r="A88" s="4"/>
      <c r="C88" s="76"/>
      <c r="D88" s="77"/>
      <c r="E88" s="77"/>
      <c r="F88" s="75"/>
      <c r="H88" s="59">
        <f>IF($E88="Labour",Assumptions!$B$14,)</f>
        <v>0</v>
      </c>
      <c r="I88" s="9" t="str">
        <f t="shared" si="0"/>
        <v>$</v>
      </c>
      <c r="K88" s="78"/>
      <c r="L88" s="78"/>
      <c r="M88" s="78"/>
      <c r="N88" s="78"/>
      <c r="O88" s="78"/>
      <c r="Q88" s="5">
        <f>IF($E88="Labour",$H88*K88,K88)</f>
        <v>0</v>
      </c>
      <c r="R88" s="5">
        <f>IF($E88="Labour",$H88*L88,L88)</f>
        <v>0</v>
      </c>
      <c r="S88" s="5">
        <f>IF($E88="Labour",$H88*M88,M88)</f>
        <v>0</v>
      </c>
      <c r="T88" s="5">
        <f>IF($E88="Labour",$H88*N88,N88)</f>
        <v>0</v>
      </c>
      <c r="U88" s="5">
        <f>IF($E88="Labour",$H88*O88,O88)</f>
        <v>0</v>
      </c>
    </row>
    <row r="89" spans="1:26" ht="12.75" customHeight="1" x14ac:dyDescent="0.2">
      <c r="A89" s="4"/>
      <c r="C89" s="76"/>
      <c r="D89" s="77"/>
      <c r="E89" s="77"/>
      <c r="F89" s="75"/>
      <c r="H89" s="59">
        <f>IF($E89="Labour",Assumptions!$B$14,)</f>
        <v>0</v>
      </c>
      <c r="I89" s="9" t="str">
        <f t="shared" si="0"/>
        <v>$</v>
      </c>
      <c r="K89" s="78"/>
      <c r="L89" s="78"/>
      <c r="M89" s="78"/>
      <c r="N89" s="78"/>
      <c r="O89" s="78"/>
      <c r="Q89" s="5">
        <f>IF($E89="Labour",$H89*K89,K89)</f>
        <v>0</v>
      </c>
      <c r="R89" s="5">
        <f>IF($E89="Labour",$H89*L89,L89)</f>
        <v>0</v>
      </c>
      <c r="S89" s="5">
        <f>IF($E89="Labour",$H89*M89,M89)</f>
        <v>0</v>
      </c>
      <c r="T89" s="5">
        <f>IF($E89="Labour",$H89*N89,N89)</f>
        <v>0</v>
      </c>
      <c r="U89" s="5">
        <f>IF($E89="Labour",$H89*O89,O89)</f>
        <v>0</v>
      </c>
      <c r="V89" s="104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75</v>
      </c>
      <c r="G92" s="2"/>
      <c r="J92" s="2"/>
      <c r="P92" s="2"/>
      <c r="Q92" s="64" t="s">
        <v>5</v>
      </c>
      <c r="R92" s="64" t="s">
        <v>6</v>
      </c>
      <c r="S92" s="64" t="s">
        <v>7</v>
      </c>
      <c r="T92" s="64" t="s">
        <v>8</v>
      </c>
      <c r="U92" s="64" t="s">
        <v>9</v>
      </c>
      <c r="V92" s="64" t="s">
        <v>0</v>
      </c>
      <c r="Z92"/>
    </row>
    <row r="93" spans="1:26" ht="12.75" customHeight="1" x14ac:dyDescent="0.2">
      <c r="C93" s="24" t="s">
        <v>10</v>
      </c>
      <c r="D93" s="24" t="s">
        <v>50</v>
      </c>
      <c r="E93" s="24"/>
      <c r="F93" s="24" t="s">
        <v>51</v>
      </c>
      <c r="G93" s="2"/>
      <c r="H93" s="61"/>
      <c r="I93" s="62"/>
      <c r="J93" s="2"/>
      <c r="K93" s="24"/>
      <c r="L93" s="24"/>
      <c r="M93" s="24"/>
      <c r="N93" s="24"/>
      <c r="O93" s="24"/>
      <c r="P93" s="2"/>
      <c r="Q93" s="25">
        <f>SUMIFS(Q$10:Q$89,$E$10:$E$89,$C93,$D$10:$D$89,$D93,$F$10:$F$89,$F93)</f>
        <v>1837722.5117903056</v>
      </c>
      <c r="R93" s="25">
        <f>SUMIFS(R$10:R$89,$E$10:$E$89,$C93,$D$10:$D$89,$D93,$F$10:$F$89,$F93)</f>
        <v>505260.3010603055</v>
      </c>
      <c r="S93" s="25">
        <f>SUMIFS(S$10:S$89,$E$10:$E$89,$C93,$D$10:$D$89,$D93,$F$10:$F$89,$F93)</f>
        <v>1306456.4393532793</v>
      </c>
      <c r="T93" s="25">
        <f>SUMIFS(T$10:T$89,$E$10:$E$89,$C93,$D$10:$D$89,$D93,$F$10:$F$89,$F93)</f>
        <v>957975.0634123676</v>
      </c>
      <c r="U93" s="25">
        <f>SUMIFS(U$10:U$89,$E$10:$E$89,$C93,$D$10:$D$89,$D93,$F$10:$F$89,$F93)</f>
        <v>885748.24775737559</v>
      </c>
      <c r="V93" s="66">
        <f>SUM(Q93:U93)</f>
        <v>5493162.5633736337</v>
      </c>
    </row>
    <row r="94" spans="1:26" ht="12.75" customHeight="1" x14ac:dyDescent="0.2">
      <c r="C94" s="1" t="s">
        <v>11</v>
      </c>
      <c r="D94" s="1" t="s">
        <v>50</v>
      </c>
      <c r="F94" s="1" t="s">
        <v>51</v>
      </c>
      <c r="G94" s="2"/>
      <c r="H94" s="63"/>
      <c r="J94" s="2"/>
      <c r="P94" s="2"/>
      <c r="Q94" s="6">
        <f>SUMIFS(Q$10:Q$89,$E$10:$E$89,$C94,$D$10:$D$89,$D94,$F$10:$F$89,$F94)</f>
        <v>878720</v>
      </c>
      <c r="R94" s="6">
        <f>SUMIFS(R$10:R$89,$E$10:$E$89,$C94,$D$10:$D$89,$D94,$F$10:$F$89,$F94)</f>
        <v>71760</v>
      </c>
      <c r="S94" s="6">
        <f>SUMIFS(S$10:S$89,$E$10:$E$89,$C94,$D$10:$D$89,$D94,$F$10:$F$89,$F94)</f>
        <v>127280</v>
      </c>
      <c r="T94" s="6">
        <f>SUMIFS(T$10:T$89,$E$10:$E$89,$C94,$D$10:$D$89,$D94,$F$10:$F$89,$F94)</f>
        <v>173840</v>
      </c>
      <c r="U94" s="6">
        <f>SUMIFS(U$10:U$89,$E$10:$E$89,$C94,$D$10:$D$89,$D94,$F$10:$F$89,$F94)</f>
        <v>88320</v>
      </c>
      <c r="V94" s="67">
        <f t="shared" ref="V94:V108" si="1">SUM(Q94:U94)</f>
        <v>1339920</v>
      </c>
    </row>
    <row r="95" spans="1:26" ht="12.75" customHeight="1" x14ac:dyDescent="0.2">
      <c r="C95" s="1" t="s">
        <v>12</v>
      </c>
      <c r="D95" s="1" t="s">
        <v>50</v>
      </c>
      <c r="F95" s="1" t="s">
        <v>51</v>
      </c>
      <c r="G95" s="2"/>
      <c r="H95" s="63"/>
      <c r="J95" s="2"/>
      <c r="P95" s="2"/>
      <c r="Q95" s="6">
        <f>SUMIFS(Q$10:Q$89,$E$10:$E$89,$C95,$D$10:$D$89,$D95,$F$10:$F$89,$F95)</f>
        <v>1439359</v>
      </c>
      <c r="R95" s="6">
        <f>SUMIFS(R$10:R$89,$E$10:$E$89,$C95,$D$10:$D$89,$D95,$F$10:$F$89,$F95)</f>
        <v>156225</v>
      </c>
      <c r="S95" s="6">
        <f>SUMIFS(S$10:S$89,$E$10:$E$89,$C95,$D$10:$D$89,$D95,$F$10:$F$89,$F95)</f>
        <v>520945</v>
      </c>
      <c r="T95" s="6">
        <f>SUMIFS(T$10:T$89,$E$10:$E$89,$C95,$D$10:$D$89,$D95,$F$10:$F$89,$F95)</f>
        <v>402784.99999999994</v>
      </c>
      <c r="U95" s="6">
        <f>SUMIFS(U$10:U$89,$E$10:$E$89,$C95,$D$10:$D$89,$D95,$F$10:$F$89,$F95)</f>
        <v>430819</v>
      </c>
      <c r="V95" s="67">
        <f t="shared" si="1"/>
        <v>2950133</v>
      </c>
    </row>
    <row r="96" spans="1:26" ht="12.75" customHeight="1" x14ac:dyDescent="0.2">
      <c r="C96" s="1" t="s">
        <v>10</v>
      </c>
      <c r="D96" s="1" t="s">
        <v>50</v>
      </c>
      <c r="F96" s="1" t="s">
        <v>47</v>
      </c>
      <c r="G96" s="2"/>
      <c r="H96" s="63"/>
      <c r="J96" s="2"/>
      <c r="P96" s="2"/>
      <c r="Q96" s="6">
        <f>SUMIFS(Q$10:Q$89,$E$10:$E$89,$C96,$D$10:$D$89,$D96,$F$10:$F$89,$F96)</f>
        <v>0</v>
      </c>
      <c r="R96" s="6">
        <f>SUMIFS(R$10:R$89,$E$10:$E$89,$C96,$D$10:$D$89,$D96,$F$10:$F$89,$F96)</f>
        <v>0</v>
      </c>
      <c r="S96" s="6">
        <f>SUMIFS(S$10:S$89,$E$10:$E$89,$C96,$D$10:$D$89,$D96,$F$10:$F$89,$F96)</f>
        <v>0</v>
      </c>
      <c r="T96" s="6">
        <f>SUMIFS(T$10:T$89,$E$10:$E$89,$C96,$D$10:$D$89,$D96,$F$10:$F$89,$F96)</f>
        <v>0</v>
      </c>
      <c r="U96" s="6">
        <f>SUMIFS(U$10:U$89,$E$10:$E$89,$C96,$D$10:$D$89,$D96,$F$10:$F$89,$F96)</f>
        <v>0</v>
      </c>
      <c r="V96" s="67">
        <f t="shared" si="1"/>
        <v>0</v>
      </c>
    </row>
    <row r="97" spans="3:23" ht="12.75" customHeight="1" x14ac:dyDescent="0.2">
      <c r="C97" s="1" t="s">
        <v>11</v>
      </c>
      <c r="D97" s="1" t="s">
        <v>50</v>
      </c>
      <c r="F97" s="1" t="s">
        <v>47</v>
      </c>
      <c r="G97" s="2"/>
      <c r="H97" s="63"/>
      <c r="J97" s="2"/>
      <c r="P97" s="2"/>
      <c r="Q97" s="6">
        <f>SUMIFS(Q$10:Q$89,$E$10:$E$89,$C97,$D$10:$D$89,$D97,$F$10:$F$89,$F97)</f>
        <v>0</v>
      </c>
      <c r="R97" s="6">
        <f>SUMIFS(R$10:R$89,$E$10:$E$89,$C97,$D$10:$D$89,$D97,$F$10:$F$89,$F97)</f>
        <v>0</v>
      </c>
      <c r="S97" s="6">
        <f>SUMIFS(S$10:S$89,$E$10:$E$89,$C97,$D$10:$D$89,$D97,$F$10:$F$89,$F97)</f>
        <v>0</v>
      </c>
      <c r="T97" s="6">
        <f>SUMIFS(T$10:T$89,$E$10:$E$89,$C97,$D$10:$D$89,$D97,$F$10:$F$89,$F97)</f>
        <v>0</v>
      </c>
      <c r="U97" s="6">
        <f>SUMIFS(U$10:U$89,$E$10:$E$89,$C97,$D$10:$D$89,$D97,$F$10:$F$89,$F97)</f>
        <v>0</v>
      </c>
      <c r="V97" s="67">
        <f t="shared" si="1"/>
        <v>0</v>
      </c>
    </row>
    <row r="98" spans="3:23" ht="12.75" customHeight="1" x14ac:dyDescent="0.2">
      <c r="C98" s="1" t="s">
        <v>12</v>
      </c>
      <c r="D98" s="1" t="s">
        <v>50</v>
      </c>
      <c r="F98" s="1" t="s">
        <v>47</v>
      </c>
      <c r="G98" s="2"/>
      <c r="H98" s="63"/>
      <c r="J98" s="2"/>
      <c r="P98" s="2"/>
      <c r="Q98" s="6">
        <f>SUMIFS(Q$10:Q$89,$E$10:$E$89,$C98,$D$10:$D$89,$D98,$F$10:$F$89,$F98)</f>
        <v>0</v>
      </c>
      <c r="R98" s="6">
        <f>SUMIFS(R$10:R$89,$E$10:$E$89,$C98,$D$10:$D$89,$D98,$F$10:$F$89,$F98)</f>
        <v>0</v>
      </c>
      <c r="S98" s="6">
        <f>SUMIFS(S$10:S$89,$E$10:$E$89,$C98,$D$10:$D$89,$D98,$F$10:$F$89,$F98)</f>
        <v>0</v>
      </c>
      <c r="T98" s="6">
        <f>SUMIFS(T$10:T$89,$E$10:$E$89,$C98,$D$10:$D$89,$D98,$F$10:$F$89,$F98)</f>
        <v>0</v>
      </c>
      <c r="U98" s="6">
        <f>SUMIFS(U$10:U$89,$E$10:$E$89,$C98,$D$10:$D$89,$D98,$F$10:$F$89,$F98)</f>
        <v>0</v>
      </c>
      <c r="V98" s="67">
        <f t="shared" si="1"/>
        <v>0</v>
      </c>
    </row>
    <row r="99" spans="3:23" ht="12.75" customHeight="1" x14ac:dyDescent="0.2">
      <c r="C99" s="21" t="s">
        <v>13</v>
      </c>
      <c r="D99" s="21" t="s">
        <v>50</v>
      </c>
      <c r="E99" s="99"/>
      <c r="F99" s="100"/>
      <c r="G99" s="2"/>
      <c r="H99" s="100"/>
      <c r="I99" s="102"/>
      <c r="J99" s="101"/>
      <c r="K99" s="99"/>
      <c r="L99" s="99"/>
      <c r="M99" s="99"/>
      <c r="N99" s="99"/>
      <c r="O99" s="99"/>
      <c r="P99" s="2"/>
      <c r="Q99" s="22">
        <f>SUM(Q93:Q98)</f>
        <v>4155801.5117903054</v>
      </c>
      <c r="R99" s="22">
        <f t="shared" ref="R99:U99" si="2">SUM(R93:R98)</f>
        <v>733245.30106030544</v>
      </c>
      <c r="S99" s="22">
        <f t="shared" si="2"/>
        <v>1954681.4393532793</v>
      </c>
      <c r="T99" s="22">
        <f t="shared" si="2"/>
        <v>1534600.0634123676</v>
      </c>
      <c r="U99" s="22">
        <f t="shared" si="2"/>
        <v>1404887.2477573757</v>
      </c>
      <c r="V99" s="22">
        <f>SUM(V93:V98)</f>
        <v>9783215.5633736327</v>
      </c>
    </row>
    <row r="100" spans="3:23" ht="12.75" customHeight="1" x14ac:dyDescent="0.2">
      <c r="C100" s="1" t="s">
        <v>10</v>
      </c>
      <c r="D100" s="1" t="s">
        <v>46</v>
      </c>
      <c r="F100" s="1" t="s">
        <v>51</v>
      </c>
      <c r="G100" s="2"/>
      <c r="H100" s="63"/>
      <c r="J100" s="2"/>
      <c r="P100" s="2"/>
      <c r="Q100" s="6">
        <f>SUMIFS(Q$10:Q$89,$E$10:$E$89,$C100,$D$10:$D$89,$D100,$F$10:$F$89,$F100)</f>
        <v>0</v>
      </c>
      <c r="R100" s="6">
        <f>SUMIFS(R$10:R$89,$E$10:$E$89,$C100,$D$10:$D$89,$D100,$F$10:$F$89,$F100)</f>
        <v>0</v>
      </c>
      <c r="S100" s="6">
        <f>SUMIFS(S$10:S$89,$E$10:$E$89,$C100,$D$10:$D$89,$D100,$F$10:$F$89,$F100)</f>
        <v>0</v>
      </c>
      <c r="T100" s="6">
        <f>SUMIFS(T$10:T$89,$E$10:$E$89,$C100,$D$10:$D$89,$D100,$F$10:$F$89,$F100)</f>
        <v>0</v>
      </c>
      <c r="U100" s="6">
        <f>SUMIFS(U$10:U$89,$E$10:$E$89,$C100,$D$10:$D$89,$D100,$F$10:$F$89,$F100)</f>
        <v>0</v>
      </c>
      <c r="V100" s="67">
        <f t="shared" si="1"/>
        <v>0</v>
      </c>
    </row>
    <row r="101" spans="3:23" ht="12.75" customHeight="1" x14ac:dyDescent="0.2">
      <c r="C101" s="1" t="s">
        <v>11</v>
      </c>
      <c r="D101" s="1" t="s">
        <v>46</v>
      </c>
      <c r="F101" s="1" t="s">
        <v>51</v>
      </c>
      <c r="G101" s="2"/>
      <c r="H101" s="63"/>
      <c r="J101" s="2"/>
      <c r="P101" s="2"/>
      <c r="Q101" s="6">
        <f>SUMIFS(Q$10:Q$89,$E$10:$E$89,$C101,$D$10:$D$89,$D101,$F$10:$F$89,$F101)</f>
        <v>0</v>
      </c>
      <c r="R101" s="6">
        <f>SUMIFS(R$10:R$89,$E$10:$E$89,$C101,$D$10:$D$89,$D101,$F$10:$F$89,$F101)</f>
        <v>0</v>
      </c>
      <c r="S101" s="6">
        <f>SUMIFS(S$10:S$89,$E$10:$E$89,$C101,$D$10:$D$89,$D101,$F$10:$F$89,$F101)</f>
        <v>0</v>
      </c>
      <c r="T101" s="6">
        <f>SUMIFS(T$10:T$89,$E$10:$E$89,$C101,$D$10:$D$89,$D101,$F$10:$F$89,$F101)</f>
        <v>0</v>
      </c>
      <c r="U101" s="6">
        <f>SUMIFS(U$10:U$89,$E$10:$E$89,$C101,$D$10:$D$89,$D101,$F$10:$F$89,$F101)</f>
        <v>0</v>
      </c>
      <c r="V101" s="67">
        <f t="shared" si="1"/>
        <v>0</v>
      </c>
    </row>
    <row r="102" spans="3:23" ht="12.75" customHeight="1" x14ac:dyDescent="0.2">
      <c r="C102" s="1" t="s">
        <v>12</v>
      </c>
      <c r="D102" s="1" t="s">
        <v>46</v>
      </c>
      <c r="F102" s="1" t="s">
        <v>51</v>
      </c>
      <c r="G102" s="2"/>
      <c r="H102" s="63"/>
      <c r="J102" s="2"/>
      <c r="P102" s="2"/>
      <c r="Q102" s="6">
        <f>SUMIFS(Q$10:Q$89,$E$10:$E$89,$C102,$D$10:$D$89,$D102,$F$10:$F$89,$F102)</f>
        <v>0</v>
      </c>
      <c r="R102" s="6">
        <f>SUMIFS(R$10:R$89,$E$10:$E$89,$C102,$D$10:$D$89,$D102,$F$10:$F$89,$F102)</f>
        <v>0</v>
      </c>
      <c r="S102" s="6">
        <f>SUMIFS(S$10:S$89,$E$10:$E$89,$C102,$D$10:$D$89,$D102,$F$10:$F$89,$F102)</f>
        <v>0</v>
      </c>
      <c r="T102" s="6">
        <f>SUMIFS(T$10:T$89,$E$10:$E$89,$C102,$D$10:$D$89,$D102,$F$10:$F$89,$F102)</f>
        <v>0</v>
      </c>
      <c r="U102" s="6">
        <f>SUMIFS(U$10:U$89,$E$10:$E$89,$C102,$D$10:$D$89,$D102,$F$10:$F$89,$F102)</f>
        <v>0</v>
      </c>
      <c r="V102" s="67">
        <f t="shared" si="1"/>
        <v>0</v>
      </c>
    </row>
    <row r="103" spans="3:23" ht="12.75" customHeight="1" x14ac:dyDescent="0.2">
      <c r="C103" s="1" t="s">
        <v>10</v>
      </c>
      <c r="D103" s="1" t="s">
        <v>46</v>
      </c>
      <c r="F103" s="1" t="s">
        <v>47</v>
      </c>
      <c r="G103" s="2"/>
      <c r="H103" s="63"/>
      <c r="J103" s="2"/>
      <c r="P103" s="2"/>
      <c r="Q103" s="6">
        <f>SUMIFS(Q$10:Q$89,$E$10:$E$89,$C103,$D$10:$D$89,$D103,$F$10:$F$89,$F103)</f>
        <v>0</v>
      </c>
      <c r="R103" s="6">
        <f>SUMIFS(R$10:R$89,$E$10:$E$89,$C103,$D$10:$D$89,$D103,$F$10:$F$89,$F103)</f>
        <v>0</v>
      </c>
      <c r="S103" s="6">
        <f>SUMIFS(S$10:S$89,$E$10:$E$89,$C103,$D$10:$D$89,$D103,$F$10:$F$89,$F103)</f>
        <v>0</v>
      </c>
      <c r="T103" s="6">
        <f>SUMIFS(T$10:T$89,$E$10:$E$89,$C103,$D$10:$D$89,$D103,$F$10:$F$89,$F103)</f>
        <v>0</v>
      </c>
      <c r="U103" s="6">
        <f>SUMIFS(U$10:U$89,$E$10:$E$89,$C103,$D$10:$D$89,$D103,$F$10:$F$89,$F103)</f>
        <v>0</v>
      </c>
      <c r="V103" s="67">
        <f t="shared" si="1"/>
        <v>0</v>
      </c>
    </row>
    <row r="104" spans="3:23" ht="12.75" customHeight="1" x14ac:dyDescent="0.2">
      <c r="C104" s="1" t="s">
        <v>11</v>
      </c>
      <c r="D104" s="1" t="s">
        <v>46</v>
      </c>
      <c r="F104" s="1" t="s">
        <v>47</v>
      </c>
      <c r="G104" s="2"/>
      <c r="H104" s="63"/>
      <c r="J104" s="2"/>
      <c r="P104" s="2"/>
      <c r="Q104" s="6">
        <f>SUMIFS(Q$10:Q$89,$E$10:$E$89,$C104,$D$10:$D$89,$D104,$F$10:$F$89,$F104)</f>
        <v>0</v>
      </c>
      <c r="R104" s="6">
        <f>SUMIFS(R$10:R$89,$E$10:$E$89,$C104,$D$10:$D$89,$D104,$F$10:$F$89,$F104)</f>
        <v>0</v>
      </c>
      <c r="S104" s="6">
        <f>SUMIFS(S$10:S$89,$E$10:$E$89,$C104,$D$10:$D$89,$D104,$F$10:$F$89,$F104)</f>
        <v>0</v>
      </c>
      <c r="T104" s="6">
        <f>SUMIFS(T$10:T$89,$E$10:$E$89,$C104,$D$10:$D$89,$D104,$F$10:$F$89,$F104)</f>
        <v>0</v>
      </c>
      <c r="U104" s="6">
        <f>SUMIFS(U$10:U$89,$E$10:$E$89,$C104,$D$10:$D$89,$D104,$F$10:$F$89,$F104)</f>
        <v>0</v>
      </c>
      <c r="V104" s="67">
        <f t="shared" si="1"/>
        <v>0</v>
      </c>
    </row>
    <row r="105" spans="3:23" ht="12.75" customHeight="1" x14ac:dyDescent="0.2">
      <c r="C105" s="1" t="s">
        <v>12</v>
      </c>
      <c r="D105" s="1" t="s">
        <v>46</v>
      </c>
      <c r="F105" s="1" t="s">
        <v>47</v>
      </c>
      <c r="G105" s="2"/>
      <c r="H105" s="63"/>
      <c r="J105" s="2"/>
      <c r="P105" s="2"/>
      <c r="Q105" s="6">
        <f>SUMIFS(Q$10:Q$89,$E$10:$E$89,$C105,$D$10:$D$89,$D105,$F$10:$F$89,$F105)</f>
        <v>0</v>
      </c>
      <c r="R105" s="6">
        <f>SUMIFS(R$10:R$89,$E$10:$E$89,$C105,$D$10:$D$89,$D105,$F$10:$F$89,$F105)</f>
        <v>0</v>
      </c>
      <c r="S105" s="6">
        <f>SUMIFS(S$10:S$89,$E$10:$E$89,$C105,$D$10:$D$89,$D105,$F$10:$F$89,$F105)</f>
        <v>0</v>
      </c>
      <c r="T105" s="6">
        <f>SUMIFS(T$10:T$89,$E$10:$E$89,$C105,$D$10:$D$89,$D105,$F$10:$F$89,$F105)</f>
        <v>0</v>
      </c>
      <c r="U105" s="6">
        <f>SUMIFS(U$10:U$89,$E$10:$E$89,$C105,$D$10:$D$89,$D105,$F$10:$F$89,$F105)</f>
        <v>0</v>
      </c>
      <c r="V105" s="67">
        <f t="shared" si="1"/>
        <v>0</v>
      </c>
    </row>
    <row r="106" spans="3:23" ht="12.75" customHeight="1" x14ac:dyDescent="0.2">
      <c r="C106" s="21" t="s">
        <v>14</v>
      </c>
      <c r="D106" s="21" t="s">
        <v>46</v>
      </c>
      <c r="E106" s="99"/>
      <c r="F106" s="100"/>
      <c r="G106" s="2"/>
      <c r="H106" s="100"/>
      <c r="I106" s="102"/>
      <c r="J106" s="101"/>
      <c r="K106" s="99"/>
      <c r="L106" s="99"/>
      <c r="M106" s="99"/>
      <c r="N106" s="99"/>
      <c r="O106" s="99"/>
      <c r="P106" s="2"/>
      <c r="Q106" s="22">
        <f>SUM(Q100:Q105)</f>
        <v>0</v>
      </c>
      <c r="R106" s="22">
        <f t="shared" ref="R106:U106" si="3">SUM(R100:R105)</f>
        <v>0</v>
      </c>
      <c r="S106" s="22">
        <f t="shared" si="3"/>
        <v>0</v>
      </c>
      <c r="T106" s="22">
        <f t="shared" si="3"/>
        <v>0</v>
      </c>
      <c r="U106" s="22">
        <f t="shared" si="3"/>
        <v>0</v>
      </c>
      <c r="V106" s="22">
        <f>SUM(V100:V105)</f>
        <v>0</v>
      </c>
    </row>
    <row r="107" spans="3:23" ht="12.75" customHeight="1" x14ac:dyDescent="0.2">
      <c r="F107" s="63"/>
      <c r="G107" s="2"/>
      <c r="H107" s="63"/>
      <c r="J107" s="2"/>
      <c r="P107" s="2"/>
      <c r="Q107" s="6"/>
      <c r="R107" s="6"/>
      <c r="S107" s="6"/>
      <c r="T107" s="6"/>
      <c r="U107" s="6"/>
      <c r="V107" s="67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4155801.5117903054</v>
      </c>
      <c r="R108" s="8">
        <f t="shared" ref="R108:U108" si="4">R99+R106</f>
        <v>733245.30106030544</v>
      </c>
      <c r="S108" s="8">
        <f t="shared" si="4"/>
        <v>1954681.4393532793</v>
      </c>
      <c r="T108" s="8">
        <f t="shared" si="4"/>
        <v>1534600.0634123676</v>
      </c>
      <c r="U108" s="8">
        <f t="shared" si="4"/>
        <v>1404887.2477573757</v>
      </c>
      <c r="V108" s="68">
        <f t="shared" si="1"/>
        <v>9783215.5633736346</v>
      </c>
    </row>
    <row r="109" spans="3:23" ht="12.75" customHeight="1" x14ac:dyDescent="0.2">
      <c r="C109" s="42" t="s">
        <v>76</v>
      </c>
      <c r="D109" s="42"/>
      <c r="E109" s="42"/>
      <c r="F109" s="42"/>
      <c r="G109" s="2"/>
      <c r="H109" s="42"/>
      <c r="I109" s="42"/>
      <c r="J109" s="2"/>
      <c r="K109" s="42"/>
      <c r="L109" s="42"/>
      <c r="M109" s="42"/>
      <c r="N109" s="42"/>
      <c r="O109" s="42"/>
      <c r="P109" s="2"/>
      <c r="Q109" s="43">
        <f>Q108-SUM(Q$10:Q$89)</f>
        <v>0</v>
      </c>
      <c r="R109" s="43">
        <f t="shared" ref="R109:U109" si="5">R108-SUM(R$10:R$89)</f>
        <v>0</v>
      </c>
      <c r="S109" s="43">
        <f t="shared" si="5"/>
        <v>0</v>
      </c>
      <c r="T109" s="43">
        <f t="shared" si="5"/>
        <v>0</v>
      </c>
      <c r="U109" s="43">
        <f t="shared" si="5"/>
        <v>0</v>
      </c>
      <c r="V109" s="43">
        <f>V108-SUM(Q$10:U$89)</f>
        <v>0</v>
      </c>
      <c r="W109" s="43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1" t="str">
        <f>"NPV ($ "&amp;Assumptions!$B$12&amp;")"</f>
        <v>NPV ($ June 2024)</v>
      </c>
      <c r="D111" s="52">
        <f>NPV(Real_Discount_rate,Q108:U108)</f>
        <v>8982962.8247724716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75</v>
      </c>
      <c r="F114" s="3"/>
      <c r="G114" s="2"/>
      <c r="J114" s="2"/>
      <c r="P114" s="2"/>
      <c r="Q114" s="64" t="s">
        <v>5</v>
      </c>
      <c r="R114" s="64" t="s">
        <v>6</v>
      </c>
      <c r="S114" s="64" t="s">
        <v>7</v>
      </c>
      <c r="T114" s="64" t="s">
        <v>8</v>
      </c>
      <c r="U114" s="64" t="s">
        <v>9</v>
      </c>
      <c r="V114" s="109" t="s">
        <v>0</v>
      </c>
    </row>
    <row r="115" spans="3:23" ht="12.75" customHeight="1" x14ac:dyDescent="0.2">
      <c r="C115" s="24"/>
      <c r="D115" s="24" t="s">
        <v>50</v>
      </c>
      <c r="E115" s="24"/>
      <c r="F115" s="24" t="s">
        <v>51</v>
      </c>
      <c r="G115" s="2"/>
      <c r="H115" s="61"/>
      <c r="I115" s="62"/>
      <c r="J115" s="2"/>
      <c r="K115" s="24"/>
      <c r="L115" s="24"/>
      <c r="M115" s="24"/>
      <c r="N115" s="24"/>
      <c r="O115" s="24"/>
      <c r="P115" s="2"/>
      <c r="Q115" s="25">
        <f>SUMIFS(Q$10:Q$89,$D$10:$D$89,$D115,$F$10:$F$89,$F115)</f>
        <v>4155801.5117903058</v>
      </c>
      <c r="R115" s="25">
        <f>SUMIFS(R$10:R$89,$D$10:$D$89,$D115,$F$10:$F$89,$F115)</f>
        <v>733245.30106030544</v>
      </c>
      <c r="S115" s="25">
        <f>SUMIFS(S$10:S$89,$D$10:$D$89,$D115,$F$10:$F$89,$F115)</f>
        <v>1954681.4393532793</v>
      </c>
      <c r="T115" s="25">
        <f>SUMIFS(T$10:T$89,$D$10:$D$89,$D115,$F$10:$F$89,$F115)</f>
        <v>1534600.0634123674</v>
      </c>
      <c r="U115" s="25">
        <f>SUMIFS(U$10:U$89,$D$10:$D$89,$D115,$F$10:$F$89,$F115)</f>
        <v>1404887.2477573755</v>
      </c>
      <c r="V115" s="67">
        <f t="shared" ref="V115:V116" si="6">SUM(Q115:U115)</f>
        <v>9783215.5633736346</v>
      </c>
    </row>
    <row r="116" spans="3:23" ht="12.75" customHeight="1" x14ac:dyDescent="0.2">
      <c r="D116" s="1" t="s">
        <v>46</v>
      </c>
      <c r="F116" s="1" t="s">
        <v>51</v>
      </c>
      <c r="G116" s="2"/>
      <c r="J116" s="2"/>
      <c r="P116" s="2"/>
      <c r="Q116" s="108">
        <f>SUMIFS(Q$10:Q$89,$D$10:$D$89,$D116,$F$10:$F$89,$F116)</f>
        <v>0</v>
      </c>
      <c r="R116" s="108">
        <f>SUMIFS(R$10:R$89,$D$10:$D$89,$D116,$F$10:$F$89,$F116)</f>
        <v>0</v>
      </c>
      <c r="S116" s="108">
        <f>SUMIFS(S$10:S$89,$D$10:$D$89,$D116,$F$10:$F$89,$F116)</f>
        <v>0</v>
      </c>
      <c r="T116" s="108">
        <f>SUMIFS(T$10:T$89,$D$10:$D$89,$D116,$F$10:$F$89,$F116)</f>
        <v>0</v>
      </c>
      <c r="U116" s="108">
        <f>SUMIFS(U$10:U$89,$D$10:$D$89,$D116,$F$10:$F$89,$F116)</f>
        <v>0</v>
      </c>
      <c r="V116" s="67">
        <f t="shared" si="6"/>
        <v>0</v>
      </c>
    </row>
    <row r="117" spans="3:23" ht="12.75" customHeight="1" x14ac:dyDescent="0.2">
      <c r="C117" s="21" t="s">
        <v>77</v>
      </c>
      <c r="D117" s="21"/>
      <c r="E117" s="99"/>
      <c r="F117" s="100"/>
      <c r="G117" s="2"/>
      <c r="H117" s="100"/>
      <c r="I117" s="102"/>
      <c r="J117" s="101"/>
      <c r="K117" s="99"/>
      <c r="L117" s="99"/>
      <c r="M117" s="99"/>
      <c r="N117" s="99"/>
      <c r="O117" s="99"/>
      <c r="P117" s="2"/>
      <c r="Q117" s="22">
        <f>SUM(Q115:Q116)</f>
        <v>4155801.5117903058</v>
      </c>
      <c r="R117" s="22">
        <f t="shared" ref="R117:V117" si="7">SUM(R115:R116)</f>
        <v>733245.30106030544</v>
      </c>
      <c r="S117" s="22">
        <f t="shared" si="7"/>
        <v>1954681.4393532793</v>
      </c>
      <c r="T117" s="22">
        <f t="shared" si="7"/>
        <v>1534600.0634123674</v>
      </c>
      <c r="U117" s="22">
        <f t="shared" si="7"/>
        <v>1404887.2477573755</v>
      </c>
      <c r="V117" s="22">
        <f t="shared" si="7"/>
        <v>9783215.5633736346</v>
      </c>
    </row>
    <row r="118" spans="3:23" ht="12.75" customHeight="1" x14ac:dyDescent="0.2">
      <c r="C118" s="4"/>
      <c r="D118" s="1" t="s">
        <v>50</v>
      </c>
      <c r="F118" s="1" t="s">
        <v>47</v>
      </c>
      <c r="G118" s="2"/>
      <c r="H118" s="63"/>
      <c r="J118" s="2"/>
      <c r="P118" s="2"/>
      <c r="Q118" s="6">
        <f>SUMIFS(Q$10:Q$89,$D$10:$D$89,$D118,$F$10:$F$89,$F118)</f>
        <v>0</v>
      </c>
      <c r="R118" s="6">
        <f>SUMIFS(R$10:R$89,$D$10:$D$89,$D118,$F$10:$F$89,$F118)</f>
        <v>0</v>
      </c>
      <c r="S118" s="6">
        <f>SUMIFS(S$10:S$89,$D$10:$D$89,$D118,$F$10:$F$89,$F118)</f>
        <v>0</v>
      </c>
      <c r="T118" s="6">
        <f>SUMIFS(T$10:T$89,$D$10:$D$89,$D118,$F$10:$F$89,$F118)</f>
        <v>0</v>
      </c>
      <c r="U118" s="6">
        <f>SUMIFS(U$10:U$89,$D$10:$D$89,$D118,$F$10:$F$89,$F118)</f>
        <v>0</v>
      </c>
      <c r="V118" s="67">
        <f t="shared" ref="V118:V119" si="8">SUM(Q118:U118)</f>
        <v>0</v>
      </c>
    </row>
    <row r="119" spans="3:23" ht="12.75" customHeight="1" x14ac:dyDescent="0.2">
      <c r="C119" s="4"/>
      <c r="D119" s="1" t="s">
        <v>46</v>
      </c>
      <c r="F119" s="1" t="s">
        <v>47</v>
      </c>
      <c r="G119" s="2"/>
      <c r="H119" s="63"/>
      <c r="J119" s="2"/>
      <c r="P119" s="2"/>
      <c r="Q119" s="6">
        <f>SUMIFS(Q$10:Q$89,$D$10:$D$89,$D119,$F$10:$F$89,$F119)</f>
        <v>0</v>
      </c>
      <c r="R119" s="6">
        <f>SUMIFS(R$10:R$89,$D$10:$D$89,$D119,$F$10:$F$89,$F119)</f>
        <v>0</v>
      </c>
      <c r="S119" s="6">
        <f>SUMIFS(S$10:S$89,$D$10:$D$89,$D119,$F$10:$F$89,$F119)</f>
        <v>0</v>
      </c>
      <c r="T119" s="6">
        <f>SUMIFS(T$10:T$89,$D$10:$D$89,$D119,$F$10:$F$89,$F119)</f>
        <v>0</v>
      </c>
      <c r="U119" s="6">
        <f>SUMIFS(U$10:U$89,$D$10:$D$89,$D119,$F$10:$F$89,$F119)</f>
        <v>0</v>
      </c>
      <c r="V119" s="67">
        <f t="shared" si="8"/>
        <v>0</v>
      </c>
    </row>
    <row r="120" spans="3:23" ht="12.75" customHeight="1" x14ac:dyDescent="0.2">
      <c r="C120" s="21" t="s">
        <v>78</v>
      </c>
      <c r="D120" s="21"/>
      <c r="E120" s="99"/>
      <c r="F120" s="100"/>
      <c r="G120" s="2"/>
      <c r="H120" s="100"/>
      <c r="I120" s="102"/>
      <c r="J120" s="101"/>
      <c r="K120" s="99"/>
      <c r="L120" s="99"/>
      <c r="M120" s="99"/>
      <c r="N120" s="99"/>
      <c r="O120" s="99"/>
      <c r="P120" s="2"/>
      <c r="Q120" s="22">
        <f>SUM(Q118:Q119)</f>
        <v>0</v>
      </c>
      <c r="R120" s="22">
        <f t="shared" ref="R120:V120" si="9">SUM(R118:R119)</f>
        <v>0</v>
      </c>
      <c r="S120" s="22">
        <f t="shared" si="9"/>
        <v>0</v>
      </c>
      <c r="T120" s="22">
        <f t="shared" si="9"/>
        <v>0</v>
      </c>
      <c r="U120" s="22">
        <f t="shared" si="9"/>
        <v>0</v>
      </c>
      <c r="V120" s="22">
        <f t="shared" si="9"/>
        <v>0</v>
      </c>
    </row>
    <row r="121" spans="3:23" ht="12.75" customHeight="1" x14ac:dyDescent="0.2">
      <c r="C121" s="4"/>
      <c r="D121" s="4"/>
      <c r="F121" s="63"/>
      <c r="G121" s="2"/>
      <c r="H121" s="63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4155801.5117903058</v>
      </c>
      <c r="R122" s="8">
        <f t="shared" ref="R122:U122" si="10">R117+R120</f>
        <v>733245.30106030544</v>
      </c>
      <c r="S122" s="8">
        <f t="shared" si="10"/>
        <v>1954681.4393532793</v>
      </c>
      <c r="T122" s="8">
        <f t="shared" si="10"/>
        <v>1534600.0634123674</v>
      </c>
      <c r="U122" s="8">
        <f t="shared" si="10"/>
        <v>1404887.2477573755</v>
      </c>
      <c r="V122" s="68">
        <f t="shared" ref="V122" si="11">SUM(Q122:U122)</f>
        <v>9783215.5633736346</v>
      </c>
    </row>
    <row r="123" spans="3:23" ht="12.75" customHeight="1" x14ac:dyDescent="0.2">
      <c r="C123" s="42" t="s">
        <v>76</v>
      </c>
      <c r="D123" s="42"/>
      <c r="E123" s="42"/>
      <c r="F123" s="42"/>
      <c r="G123" s="2"/>
      <c r="H123" s="42"/>
      <c r="I123" s="42"/>
      <c r="J123" s="2"/>
      <c r="K123" s="42"/>
      <c r="L123" s="42"/>
      <c r="M123" s="42"/>
      <c r="N123" s="42"/>
      <c r="O123" s="42"/>
      <c r="P123" s="2"/>
      <c r="Q123" s="43">
        <f>Q122-SUM(Q$10:Q$89)</f>
        <v>0</v>
      </c>
      <c r="R123" s="43">
        <f t="shared" ref="R123:U123" si="12">R122-SUM(R$10:R$89)</f>
        <v>0</v>
      </c>
      <c r="S123" s="43">
        <f t="shared" si="12"/>
        <v>0</v>
      </c>
      <c r="T123" s="43">
        <f t="shared" si="12"/>
        <v>0</v>
      </c>
      <c r="U123" s="43">
        <f t="shared" si="12"/>
        <v>0</v>
      </c>
      <c r="V123" s="43">
        <f>V122-SUM(Q$10:U$89)</f>
        <v>0</v>
      </c>
      <c r="W123" s="43">
        <f>SUM(Q123:V123)</f>
        <v>0</v>
      </c>
    </row>
    <row r="124" spans="3:23" ht="12.75" customHeight="1" x14ac:dyDescent="0.2">
      <c r="C124" s="110"/>
      <c r="D124" s="110"/>
      <c r="E124" s="110"/>
      <c r="F124" s="110"/>
      <c r="G124" s="2"/>
      <c r="H124" s="110"/>
      <c r="I124" s="110"/>
      <c r="J124" s="2"/>
      <c r="K124" s="110"/>
      <c r="L124" s="110"/>
      <c r="M124" s="110"/>
      <c r="N124" s="110"/>
      <c r="O124" s="110"/>
      <c r="P124" s="2"/>
      <c r="Q124" s="111"/>
      <c r="R124" s="111"/>
      <c r="S124" s="111"/>
      <c r="T124" s="111"/>
      <c r="U124" s="111"/>
      <c r="V124" s="111"/>
      <c r="W124" s="111"/>
    </row>
    <row r="125" spans="3:23" ht="12.75" customHeight="1" x14ac:dyDescent="0.2">
      <c r="C125" s="110"/>
      <c r="D125" s="110"/>
      <c r="E125" s="110"/>
      <c r="F125" s="110"/>
      <c r="G125" s="2"/>
      <c r="H125" s="110"/>
      <c r="I125" s="110"/>
      <c r="J125" s="2"/>
      <c r="K125" s="110"/>
      <c r="L125" s="110"/>
      <c r="M125" s="110"/>
      <c r="N125" s="110"/>
      <c r="O125" s="110"/>
      <c r="P125" s="2"/>
      <c r="Q125" s="111"/>
      <c r="R125" s="111"/>
      <c r="S125" s="111"/>
      <c r="T125" s="111"/>
      <c r="U125" s="111"/>
      <c r="V125" s="111"/>
      <c r="W125" s="111"/>
    </row>
    <row r="126" spans="3:23" ht="12.75" customHeight="1" x14ac:dyDescent="0.2">
      <c r="C126" s="110"/>
      <c r="D126" s="110"/>
      <c r="E126" s="110"/>
      <c r="F126" s="110"/>
      <c r="G126" s="2"/>
      <c r="H126" s="110"/>
      <c r="I126" s="110"/>
      <c r="J126" s="2"/>
      <c r="K126" s="110"/>
      <c r="L126" s="110"/>
      <c r="M126" s="110"/>
      <c r="N126" s="110"/>
      <c r="O126" s="110"/>
      <c r="P126" s="2"/>
      <c r="Q126" s="111"/>
      <c r="R126" s="111"/>
      <c r="S126" s="111"/>
      <c r="T126" s="111"/>
      <c r="U126" s="111"/>
      <c r="V126" s="111"/>
      <c r="W126" s="111"/>
    </row>
    <row r="127" spans="3:23" ht="12.75" customHeight="1" x14ac:dyDescent="0.2">
      <c r="C127" s="71" t="s">
        <v>79</v>
      </c>
      <c r="G127" s="2"/>
      <c r="J127" s="2"/>
      <c r="P127" s="2"/>
      <c r="Q127" s="64" t="s">
        <v>5</v>
      </c>
      <c r="R127" s="64" t="s">
        <v>6</v>
      </c>
      <c r="S127" s="64" t="s">
        <v>7</v>
      </c>
      <c r="T127" s="64" t="s">
        <v>8</v>
      </c>
      <c r="U127" s="64" t="s">
        <v>9</v>
      </c>
      <c r="V127" s="64" t="s">
        <v>0</v>
      </c>
    </row>
    <row r="128" spans="3:23" ht="12.75" customHeight="1" x14ac:dyDescent="0.2">
      <c r="C128" s="24" t="s">
        <v>10</v>
      </c>
      <c r="D128" s="24" t="s">
        <v>50</v>
      </c>
      <c r="E128" s="24"/>
      <c r="F128" s="24" t="s">
        <v>51</v>
      </c>
      <c r="G128" s="2"/>
      <c r="H128" s="61"/>
      <c r="I128" s="62"/>
      <c r="J128" s="2"/>
      <c r="K128" s="24"/>
      <c r="L128" s="24"/>
      <c r="M128" s="24"/>
      <c r="N128" s="24"/>
      <c r="O128" s="24"/>
      <c r="P128" s="2"/>
      <c r="Q128" s="32">
        <f t="shared" ref="Q128:U133" si="13">Q93*business_case_dollars</f>
        <v>2045224.6239759042</v>
      </c>
      <c r="R128" s="32">
        <f t="shared" si="13"/>
        <v>562310.5787822709</v>
      </c>
      <c r="S128" s="32">
        <f t="shared" si="13"/>
        <v>1453971.8933486619</v>
      </c>
      <c r="T128" s="32">
        <f t="shared" si="13"/>
        <v>1066142.5630233649</v>
      </c>
      <c r="U128" s="32">
        <f t="shared" si="13"/>
        <v>985760.42647052417</v>
      </c>
      <c r="V128" s="66">
        <f>SUM(Q128:U128)</f>
        <v>6113410.0856007263</v>
      </c>
    </row>
    <row r="129" spans="3:23" ht="12.75" customHeight="1" x14ac:dyDescent="0.2">
      <c r="C129" s="1" t="s">
        <v>11</v>
      </c>
      <c r="D129" s="1" t="s">
        <v>50</v>
      </c>
      <c r="F129" s="1" t="s">
        <v>51</v>
      </c>
      <c r="G129" s="2"/>
      <c r="H129" s="63"/>
      <c r="J129" s="2"/>
      <c r="P129" s="2"/>
      <c r="Q129" s="6">
        <f t="shared" si="13"/>
        <v>977938.60065919172</v>
      </c>
      <c r="R129" s="6">
        <f t="shared" si="13"/>
        <v>79862.61150685497</v>
      </c>
      <c r="S129" s="6">
        <f t="shared" si="13"/>
        <v>141651.52163590441</v>
      </c>
      <c r="T129" s="6">
        <f t="shared" si="13"/>
        <v>193468.73445306116</v>
      </c>
      <c r="U129" s="6">
        <f t="shared" si="13"/>
        <v>98292.444931513804</v>
      </c>
      <c r="V129" s="67">
        <f t="shared" ref="V129:V143" si="14">SUM(Q129:U129)</f>
        <v>1491213.9131865262</v>
      </c>
    </row>
    <row r="130" spans="3:23" ht="12.75" customHeight="1" x14ac:dyDescent="0.2">
      <c r="C130" s="1" t="s">
        <v>12</v>
      </c>
      <c r="D130" s="1" t="s">
        <v>50</v>
      </c>
      <c r="F130" s="1" t="s">
        <v>51</v>
      </c>
      <c r="G130" s="2"/>
      <c r="H130" s="63"/>
      <c r="J130" s="2"/>
      <c r="P130" s="2"/>
      <c r="Q130" s="6">
        <f t="shared" si="13"/>
        <v>1601880.8338335461</v>
      </c>
      <c r="R130" s="6">
        <f t="shared" si="13"/>
        <v>173864.77818643281</v>
      </c>
      <c r="S130" s="6">
        <f t="shared" si="13"/>
        <v>579766.27858749393</v>
      </c>
      <c r="T130" s="6">
        <f t="shared" si="13"/>
        <v>448264.52028690878</v>
      </c>
      <c r="U130" s="6">
        <f t="shared" si="13"/>
        <v>479463.91341655172</v>
      </c>
      <c r="V130" s="67">
        <f t="shared" si="14"/>
        <v>3283240.3243109337</v>
      </c>
    </row>
    <row r="131" spans="3:23" ht="12.75" customHeight="1" x14ac:dyDescent="0.2">
      <c r="C131" s="1" t="s">
        <v>10</v>
      </c>
      <c r="D131" s="1" t="s">
        <v>50</v>
      </c>
      <c r="F131" s="1" t="s">
        <v>47</v>
      </c>
      <c r="G131" s="2"/>
      <c r="H131" s="63"/>
      <c r="J131" s="2"/>
      <c r="P131" s="2"/>
      <c r="Q131" s="6">
        <f t="shared" si="13"/>
        <v>0</v>
      </c>
      <c r="R131" s="6">
        <f t="shared" si="13"/>
        <v>0</v>
      </c>
      <c r="S131" s="6">
        <f t="shared" si="13"/>
        <v>0</v>
      </c>
      <c r="T131" s="6">
        <f t="shared" si="13"/>
        <v>0</v>
      </c>
      <c r="U131" s="6">
        <f t="shared" si="13"/>
        <v>0</v>
      </c>
      <c r="V131" s="6">
        <f t="shared" si="14"/>
        <v>0</v>
      </c>
    </row>
    <row r="132" spans="3:23" ht="12.75" customHeight="1" x14ac:dyDescent="0.2">
      <c r="C132" s="1" t="s">
        <v>11</v>
      </c>
      <c r="D132" s="1" t="s">
        <v>50</v>
      </c>
      <c r="F132" s="1" t="s">
        <v>47</v>
      </c>
      <c r="G132" s="2"/>
      <c r="H132" s="63"/>
      <c r="J132" s="2"/>
      <c r="P132" s="2"/>
      <c r="Q132" s="6">
        <f t="shared" si="13"/>
        <v>0</v>
      </c>
      <c r="R132" s="6">
        <f t="shared" si="13"/>
        <v>0</v>
      </c>
      <c r="S132" s="6">
        <f t="shared" si="13"/>
        <v>0</v>
      </c>
      <c r="T132" s="6">
        <f t="shared" si="13"/>
        <v>0</v>
      </c>
      <c r="U132" s="6">
        <f t="shared" si="13"/>
        <v>0</v>
      </c>
      <c r="V132" s="6">
        <f t="shared" si="14"/>
        <v>0</v>
      </c>
    </row>
    <row r="133" spans="3:23" ht="12.75" customHeight="1" x14ac:dyDescent="0.2">
      <c r="C133" s="1" t="s">
        <v>12</v>
      </c>
      <c r="D133" s="1" t="s">
        <v>50</v>
      </c>
      <c r="F133" s="1" t="s">
        <v>47</v>
      </c>
      <c r="G133" s="2"/>
      <c r="H133" s="63"/>
      <c r="J133" s="2"/>
      <c r="P133" s="2"/>
      <c r="Q133" s="6">
        <f t="shared" si="13"/>
        <v>0</v>
      </c>
      <c r="R133" s="6">
        <f t="shared" si="13"/>
        <v>0</v>
      </c>
      <c r="S133" s="6">
        <f t="shared" si="13"/>
        <v>0</v>
      </c>
      <c r="T133" s="6">
        <f t="shared" si="13"/>
        <v>0</v>
      </c>
      <c r="U133" s="6">
        <f t="shared" si="13"/>
        <v>0</v>
      </c>
      <c r="V133" s="6">
        <f t="shared" si="14"/>
        <v>0</v>
      </c>
    </row>
    <row r="134" spans="3:23" ht="12.75" customHeight="1" x14ac:dyDescent="0.2">
      <c r="C134" s="21" t="s">
        <v>13</v>
      </c>
      <c r="D134" s="21" t="s">
        <v>50</v>
      </c>
      <c r="E134" s="99"/>
      <c r="F134" s="100"/>
      <c r="G134" s="101"/>
      <c r="H134" s="100"/>
      <c r="I134" s="102"/>
      <c r="J134" s="101"/>
      <c r="K134" s="99"/>
      <c r="L134" s="99"/>
      <c r="M134" s="99"/>
      <c r="N134" s="99"/>
      <c r="O134" s="99"/>
      <c r="P134" s="101"/>
      <c r="Q134" s="22">
        <f>SUM(Q128:Q133)</f>
        <v>4625044.0584686417</v>
      </c>
      <c r="R134" s="22">
        <f t="shared" ref="R134:U134" si="15">SUM(R128:R133)</f>
        <v>816037.96847555868</v>
      </c>
      <c r="S134" s="22">
        <f t="shared" si="15"/>
        <v>2175389.6935720602</v>
      </c>
      <c r="T134" s="22">
        <f t="shared" si="15"/>
        <v>1707875.8177633348</v>
      </c>
      <c r="U134" s="22">
        <f t="shared" si="15"/>
        <v>1563516.7848185897</v>
      </c>
      <c r="V134" s="22">
        <f>SUM(V128:V133)</f>
        <v>10887864.323098186</v>
      </c>
    </row>
    <row r="135" spans="3:23" ht="12.75" customHeight="1" x14ac:dyDescent="0.2">
      <c r="C135" s="1" t="s">
        <v>10</v>
      </c>
      <c r="D135" s="1" t="s">
        <v>46</v>
      </c>
      <c r="F135" s="1" t="s">
        <v>51</v>
      </c>
      <c r="G135" s="2"/>
      <c r="H135" s="63"/>
      <c r="J135" s="2"/>
      <c r="P135" s="2"/>
      <c r="Q135" s="112">
        <f t="shared" ref="Q135:U140" si="16">Q100*business_case_dollars</f>
        <v>0</v>
      </c>
      <c r="R135" s="112">
        <f t="shared" si="16"/>
        <v>0</v>
      </c>
      <c r="S135" s="112">
        <f t="shared" si="16"/>
        <v>0</v>
      </c>
      <c r="T135" s="112">
        <f t="shared" si="16"/>
        <v>0</v>
      </c>
      <c r="U135" s="112">
        <f t="shared" si="16"/>
        <v>0</v>
      </c>
      <c r="V135" s="67">
        <f>SUM(Q135:U135)</f>
        <v>0</v>
      </c>
    </row>
    <row r="136" spans="3:23" ht="12.75" customHeight="1" x14ac:dyDescent="0.2">
      <c r="C136" s="1" t="s">
        <v>11</v>
      </c>
      <c r="D136" s="1" t="s">
        <v>46</v>
      </c>
      <c r="F136" s="1" t="s">
        <v>51</v>
      </c>
      <c r="G136" s="2"/>
      <c r="H136" s="63"/>
      <c r="J136" s="2"/>
      <c r="P136" s="2"/>
      <c r="Q136" s="6">
        <f t="shared" si="16"/>
        <v>0</v>
      </c>
      <c r="R136" s="6">
        <f t="shared" si="16"/>
        <v>0</v>
      </c>
      <c r="S136" s="6">
        <f t="shared" si="16"/>
        <v>0</v>
      </c>
      <c r="T136" s="6">
        <f t="shared" si="16"/>
        <v>0</v>
      </c>
      <c r="U136" s="6">
        <f t="shared" si="16"/>
        <v>0</v>
      </c>
      <c r="V136" s="67">
        <f t="shared" ref="V136:V140" si="17">SUM(Q136:U136)</f>
        <v>0</v>
      </c>
    </row>
    <row r="137" spans="3:23" ht="12.75" customHeight="1" x14ac:dyDescent="0.2">
      <c r="C137" s="1" t="s">
        <v>12</v>
      </c>
      <c r="D137" s="1" t="s">
        <v>46</v>
      </c>
      <c r="F137" s="1" t="s">
        <v>51</v>
      </c>
      <c r="G137" s="2"/>
      <c r="H137" s="63"/>
      <c r="J137" s="2"/>
      <c r="P137" s="2"/>
      <c r="Q137" s="6">
        <f t="shared" si="16"/>
        <v>0</v>
      </c>
      <c r="R137" s="6">
        <f t="shared" si="16"/>
        <v>0</v>
      </c>
      <c r="S137" s="6">
        <f t="shared" si="16"/>
        <v>0</v>
      </c>
      <c r="T137" s="6">
        <f t="shared" si="16"/>
        <v>0</v>
      </c>
      <c r="U137" s="6">
        <f t="shared" si="16"/>
        <v>0</v>
      </c>
      <c r="V137" s="67">
        <f t="shared" si="17"/>
        <v>0</v>
      </c>
    </row>
    <row r="138" spans="3:23" ht="12.75" customHeight="1" x14ac:dyDescent="0.2">
      <c r="C138" s="1" t="s">
        <v>10</v>
      </c>
      <c r="D138" s="1" t="s">
        <v>46</v>
      </c>
      <c r="F138" s="1" t="s">
        <v>47</v>
      </c>
      <c r="G138" s="2"/>
      <c r="H138" s="63"/>
      <c r="J138" s="2"/>
      <c r="P138" s="2"/>
      <c r="Q138" s="6">
        <f t="shared" si="16"/>
        <v>0</v>
      </c>
      <c r="R138" s="6">
        <f t="shared" si="16"/>
        <v>0</v>
      </c>
      <c r="S138" s="6">
        <f t="shared" si="16"/>
        <v>0</v>
      </c>
      <c r="T138" s="6">
        <f t="shared" si="16"/>
        <v>0</v>
      </c>
      <c r="U138" s="6">
        <f t="shared" si="16"/>
        <v>0</v>
      </c>
      <c r="V138" s="6">
        <f t="shared" si="17"/>
        <v>0</v>
      </c>
    </row>
    <row r="139" spans="3:23" ht="12.75" customHeight="1" x14ac:dyDescent="0.2">
      <c r="C139" s="1" t="s">
        <v>11</v>
      </c>
      <c r="D139" s="1" t="s">
        <v>46</v>
      </c>
      <c r="F139" s="1" t="s">
        <v>47</v>
      </c>
      <c r="G139" s="2"/>
      <c r="H139" s="63"/>
      <c r="J139" s="2"/>
      <c r="P139" s="2"/>
      <c r="Q139" s="6">
        <f t="shared" si="16"/>
        <v>0</v>
      </c>
      <c r="R139" s="6">
        <f t="shared" si="16"/>
        <v>0</v>
      </c>
      <c r="S139" s="6">
        <f t="shared" si="16"/>
        <v>0</v>
      </c>
      <c r="T139" s="6">
        <f t="shared" si="16"/>
        <v>0</v>
      </c>
      <c r="U139" s="6">
        <f t="shared" si="16"/>
        <v>0</v>
      </c>
      <c r="V139" s="6">
        <f t="shared" si="17"/>
        <v>0</v>
      </c>
    </row>
    <row r="140" spans="3:23" ht="12.75" customHeight="1" x14ac:dyDescent="0.2">
      <c r="C140" s="1" t="s">
        <v>12</v>
      </c>
      <c r="D140" s="1" t="s">
        <v>46</v>
      </c>
      <c r="F140" s="1" t="s">
        <v>47</v>
      </c>
      <c r="G140" s="2"/>
      <c r="H140" s="63"/>
      <c r="J140" s="2"/>
      <c r="P140" s="2"/>
      <c r="Q140" s="6">
        <f t="shared" si="16"/>
        <v>0</v>
      </c>
      <c r="R140" s="6">
        <f t="shared" si="16"/>
        <v>0</v>
      </c>
      <c r="S140" s="6">
        <f t="shared" si="16"/>
        <v>0</v>
      </c>
      <c r="T140" s="6">
        <f t="shared" si="16"/>
        <v>0</v>
      </c>
      <c r="U140" s="6">
        <f t="shared" si="16"/>
        <v>0</v>
      </c>
      <c r="V140" s="6">
        <f t="shared" si="17"/>
        <v>0</v>
      </c>
    </row>
    <row r="141" spans="3:23" ht="12.75" customHeight="1" x14ac:dyDescent="0.2">
      <c r="C141" s="21" t="s">
        <v>14</v>
      </c>
      <c r="D141" s="21" t="s">
        <v>46</v>
      </c>
      <c r="E141" s="99"/>
      <c r="F141" s="100"/>
      <c r="G141" s="101"/>
      <c r="H141" s="100"/>
      <c r="I141" s="102"/>
      <c r="J141" s="101"/>
      <c r="K141" s="99"/>
      <c r="L141" s="99"/>
      <c r="M141" s="99"/>
      <c r="N141" s="99"/>
      <c r="O141" s="99"/>
      <c r="P141" s="101"/>
      <c r="Q141" s="22">
        <f>SUM(Q135:Q140)</f>
        <v>0</v>
      </c>
      <c r="R141" s="22">
        <f t="shared" ref="R141:V141" si="18">SUM(R135:R140)</f>
        <v>0</v>
      </c>
      <c r="S141" s="22">
        <f t="shared" si="18"/>
        <v>0</v>
      </c>
      <c r="T141" s="22">
        <f t="shared" si="18"/>
        <v>0</v>
      </c>
      <c r="U141" s="22">
        <f t="shared" si="18"/>
        <v>0</v>
      </c>
      <c r="V141" s="22">
        <f t="shared" si="18"/>
        <v>0</v>
      </c>
    </row>
    <row r="142" spans="3:23" ht="12.75" customHeight="1" x14ac:dyDescent="0.2">
      <c r="G142" s="2"/>
      <c r="H142" s="63"/>
      <c r="J142" s="2"/>
      <c r="P142" s="2"/>
      <c r="Q142" s="6"/>
      <c r="R142" s="6"/>
      <c r="S142" s="6"/>
      <c r="T142" s="6"/>
      <c r="U142" s="6"/>
      <c r="V142" s="67"/>
    </row>
    <row r="143" spans="3:23" x14ac:dyDescent="0.2">
      <c r="C143" s="7" t="str">
        <f>"Total Expenditure ($ "&amp;Assumptions!$C$35&amp;")"</f>
        <v>Total Expenditure ($ June 2026)</v>
      </c>
      <c r="D143" s="7" t="s">
        <v>80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4625044.0584686417</v>
      </c>
      <c r="R143" s="8">
        <f t="shared" ref="R143:U143" si="19">R134+R141</f>
        <v>816037.96847555868</v>
      </c>
      <c r="S143" s="8">
        <f t="shared" si="19"/>
        <v>2175389.6935720602</v>
      </c>
      <c r="T143" s="8">
        <f t="shared" si="19"/>
        <v>1707875.8177633348</v>
      </c>
      <c r="U143" s="8">
        <f t="shared" si="19"/>
        <v>1563516.7848185897</v>
      </c>
      <c r="V143" s="68">
        <f t="shared" si="14"/>
        <v>10887864.323098185</v>
      </c>
    </row>
    <row r="144" spans="3:23" x14ac:dyDescent="0.2">
      <c r="G144" s="2"/>
      <c r="J144" s="2"/>
      <c r="P144" s="2"/>
      <c r="Q144" s="43">
        <f>SUM(Q10:Q89)*business_case_dollars-Q143</f>
        <v>0</v>
      </c>
      <c r="R144" s="43">
        <f>SUM(R10:R89)*business_case_dollars-R143</f>
        <v>0</v>
      </c>
      <c r="S144" s="43">
        <f>SUM(S10:S89)*business_case_dollars-S143</f>
        <v>0</v>
      </c>
      <c r="T144" s="43">
        <f>SUM(T10:T89)*business_case_dollars-T143</f>
        <v>0</v>
      </c>
      <c r="U144" s="43">
        <f>SUM(U10:U89)*business_case_dollars-U143</f>
        <v>0</v>
      </c>
      <c r="V144" s="43">
        <f>SUM(Q10:U89)*business_case_dollars-V143</f>
        <v>0</v>
      </c>
      <c r="W144" s="43">
        <f>SUM(Q144:V144)</f>
        <v>0</v>
      </c>
    </row>
    <row r="145" spans="3:23" x14ac:dyDescent="0.2">
      <c r="C145" s="51" t="str">
        <f>"NPV ($ "&amp;Assumptions!$C$35&amp;")"</f>
        <v>NPV ($ June 2026)</v>
      </c>
      <c r="D145" s="52">
        <f>NPV(Real_Discount_rate,Q143:U143)</f>
        <v>9997252.9299794398</v>
      </c>
      <c r="G145" s="2"/>
      <c r="J145" s="2"/>
      <c r="P145" s="2"/>
      <c r="Q145" s="49"/>
      <c r="R145" s="49"/>
      <c r="S145" s="49"/>
      <c r="T145" s="49"/>
      <c r="U145" s="49"/>
    </row>
    <row r="148" spans="3:23" x14ac:dyDescent="0.2">
      <c r="C148" s="4" t="s">
        <v>75</v>
      </c>
      <c r="F148" s="3"/>
      <c r="G148" s="2"/>
      <c r="J148" s="2"/>
      <c r="P148" s="2"/>
      <c r="Q148" s="64" t="s">
        <v>5</v>
      </c>
      <c r="R148" s="64" t="s">
        <v>6</v>
      </c>
      <c r="S148" s="64" t="s">
        <v>7</v>
      </c>
      <c r="T148" s="64" t="s">
        <v>8</v>
      </c>
      <c r="U148" s="64" t="s">
        <v>9</v>
      </c>
      <c r="V148" s="109" t="s">
        <v>0</v>
      </c>
    </row>
    <row r="149" spans="3:23" x14ac:dyDescent="0.2">
      <c r="C149" s="24"/>
      <c r="D149" s="24" t="s">
        <v>50</v>
      </c>
      <c r="E149" s="24"/>
      <c r="F149" s="24" t="s">
        <v>51</v>
      </c>
      <c r="G149" s="2"/>
      <c r="H149" s="61"/>
      <c r="I149" s="62"/>
      <c r="J149" s="2"/>
      <c r="K149" s="24"/>
      <c r="L149" s="24"/>
      <c r="M149" s="24"/>
      <c r="N149" s="24"/>
      <c r="O149" s="24"/>
      <c r="P149" s="2"/>
      <c r="Q149" s="25">
        <f t="shared" ref="Q149:U150" si="20">Q115*business_case_dollars</f>
        <v>4625044.0584686426</v>
      </c>
      <c r="R149" s="25">
        <f t="shared" si="20"/>
        <v>816037.96847555868</v>
      </c>
      <c r="S149" s="25">
        <f t="shared" si="20"/>
        <v>2175389.6935720602</v>
      </c>
      <c r="T149" s="25">
        <f t="shared" si="20"/>
        <v>1707875.8177633346</v>
      </c>
      <c r="U149" s="25">
        <f t="shared" si="20"/>
        <v>1563516.7848185895</v>
      </c>
      <c r="V149" s="67">
        <f t="shared" ref="V149:V150" si="21">SUM(Q149:U149)</f>
        <v>10887864.323098186</v>
      </c>
    </row>
    <row r="150" spans="3:23" x14ac:dyDescent="0.2">
      <c r="D150" s="1" t="s">
        <v>46</v>
      </c>
      <c r="F150" s="1" t="s">
        <v>51</v>
      </c>
      <c r="G150" s="2"/>
      <c r="J150" s="2"/>
      <c r="P150" s="2"/>
      <c r="Q150" s="108">
        <f t="shared" si="20"/>
        <v>0</v>
      </c>
      <c r="R150" s="108">
        <f t="shared" si="20"/>
        <v>0</v>
      </c>
      <c r="S150" s="108">
        <f t="shared" si="20"/>
        <v>0</v>
      </c>
      <c r="T150" s="108">
        <f t="shared" si="20"/>
        <v>0</v>
      </c>
      <c r="U150" s="108">
        <f t="shared" si="20"/>
        <v>0</v>
      </c>
      <c r="V150" s="67">
        <f t="shared" si="21"/>
        <v>0</v>
      </c>
    </row>
    <row r="151" spans="3:23" x14ac:dyDescent="0.2">
      <c r="C151" s="21" t="s">
        <v>77</v>
      </c>
      <c r="D151" s="21"/>
      <c r="E151" s="99"/>
      <c r="F151" s="100"/>
      <c r="G151" s="2"/>
      <c r="H151" s="100"/>
      <c r="I151" s="102"/>
      <c r="J151" s="101"/>
      <c r="K151" s="99"/>
      <c r="L151" s="99"/>
      <c r="M151" s="99"/>
      <c r="N151" s="99"/>
      <c r="O151" s="99"/>
      <c r="P151" s="2"/>
      <c r="Q151" s="22">
        <f>SUM(Q149:Q150)</f>
        <v>4625044.0584686426</v>
      </c>
      <c r="R151" s="22">
        <f t="shared" ref="R151:V151" si="22">SUM(R149:R150)</f>
        <v>816037.96847555868</v>
      </c>
      <c r="S151" s="22">
        <f t="shared" si="22"/>
        <v>2175389.6935720602</v>
      </c>
      <c r="T151" s="22">
        <f t="shared" si="22"/>
        <v>1707875.8177633346</v>
      </c>
      <c r="U151" s="22">
        <f t="shared" si="22"/>
        <v>1563516.7848185895</v>
      </c>
      <c r="V151" s="22">
        <f t="shared" si="22"/>
        <v>10887864.323098186</v>
      </c>
    </row>
    <row r="152" spans="3:23" x14ac:dyDescent="0.2">
      <c r="C152" s="4"/>
      <c r="D152" s="1" t="s">
        <v>50</v>
      </c>
      <c r="F152" s="1" t="s">
        <v>47</v>
      </c>
      <c r="G152" s="2"/>
      <c r="H152" s="63"/>
      <c r="J152" s="2"/>
      <c r="P152" s="2"/>
      <c r="Q152" s="6">
        <f t="shared" ref="Q152:U153" si="23">Q118*business_case_dollars</f>
        <v>0</v>
      </c>
      <c r="R152" s="6">
        <f t="shared" si="23"/>
        <v>0</v>
      </c>
      <c r="S152" s="6">
        <f t="shared" si="23"/>
        <v>0</v>
      </c>
      <c r="T152" s="6">
        <f t="shared" si="23"/>
        <v>0</v>
      </c>
      <c r="U152" s="6">
        <f t="shared" si="23"/>
        <v>0</v>
      </c>
      <c r="V152" s="67">
        <f t="shared" ref="V152:V153" si="24">SUM(Q152:U152)</f>
        <v>0</v>
      </c>
    </row>
    <row r="153" spans="3:23" x14ac:dyDescent="0.2">
      <c r="C153" s="4"/>
      <c r="D153" s="1" t="s">
        <v>46</v>
      </c>
      <c r="F153" s="1" t="s">
        <v>47</v>
      </c>
      <c r="G153" s="2"/>
      <c r="H153" s="63"/>
      <c r="J153" s="2"/>
      <c r="P153" s="2"/>
      <c r="Q153" s="6">
        <f t="shared" si="23"/>
        <v>0</v>
      </c>
      <c r="R153" s="6">
        <f t="shared" si="23"/>
        <v>0</v>
      </c>
      <c r="S153" s="6">
        <f t="shared" si="23"/>
        <v>0</v>
      </c>
      <c r="T153" s="6">
        <f t="shared" si="23"/>
        <v>0</v>
      </c>
      <c r="U153" s="6">
        <f t="shared" si="23"/>
        <v>0</v>
      </c>
      <c r="V153" s="67">
        <f t="shared" si="24"/>
        <v>0</v>
      </c>
    </row>
    <row r="154" spans="3:23" x14ac:dyDescent="0.2">
      <c r="C154" s="21" t="s">
        <v>78</v>
      </c>
      <c r="D154" s="21"/>
      <c r="E154" s="99"/>
      <c r="F154" s="100"/>
      <c r="G154" s="2"/>
      <c r="H154" s="100"/>
      <c r="I154" s="102"/>
      <c r="J154" s="101"/>
      <c r="K154" s="99"/>
      <c r="L154" s="99"/>
      <c r="M154" s="99"/>
      <c r="N154" s="99"/>
      <c r="O154" s="99"/>
      <c r="P154" s="2"/>
      <c r="Q154" s="22">
        <f>SUM(Q152:Q153)</f>
        <v>0</v>
      </c>
      <c r="R154" s="22">
        <f t="shared" ref="R154:V154" si="25">SUM(R152:R153)</f>
        <v>0</v>
      </c>
      <c r="S154" s="22">
        <f t="shared" si="25"/>
        <v>0</v>
      </c>
      <c r="T154" s="22">
        <f t="shared" si="25"/>
        <v>0</v>
      </c>
      <c r="U154" s="22">
        <f t="shared" si="25"/>
        <v>0</v>
      </c>
      <c r="V154" s="22">
        <f t="shared" si="25"/>
        <v>0</v>
      </c>
    </row>
    <row r="155" spans="3:23" x14ac:dyDescent="0.2">
      <c r="C155" s="4"/>
      <c r="D155" s="4"/>
      <c r="F155" s="63"/>
      <c r="G155" s="2"/>
      <c r="H155" s="63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4625044.0584686426</v>
      </c>
      <c r="R156" s="8">
        <f t="shared" ref="R156:U156" si="26">R151+R154</f>
        <v>816037.96847555868</v>
      </c>
      <c r="S156" s="8">
        <f t="shared" si="26"/>
        <v>2175389.6935720602</v>
      </c>
      <c r="T156" s="8">
        <f t="shared" si="26"/>
        <v>1707875.8177633346</v>
      </c>
      <c r="U156" s="8">
        <f t="shared" si="26"/>
        <v>1563516.7848185895</v>
      </c>
      <c r="V156" s="68">
        <f t="shared" ref="V156" si="27">SUM(Q156:U156)</f>
        <v>10887864.323098186</v>
      </c>
    </row>
    <row r="157" spans="3:23" x14ac:dyDescent="0.2">
      <c r="C157" s="42" t="s">
        <v>76</v>
      </c>
      <c r="D157" s="42"/>
      <c r="E157" s="42"/>
      <c r="F157" s="42"/>
      <c r="G157" s="2"/>
      <c r="H157" s="42"/>
      <c r="I157" s="42"/>
      <c r="J157" s="2"/>
      <c r="K157" s="42"/>
      <c r="L157" s="42"/>
      <c r="M157" s="42"/>
      <c r="N157" s="42"/>
      <c r="O157" s="42"/>
      <c r="P157" s="2"/>
      <c r="Q157" s="43">
        <f>Q156-SUM(Q$10:Q$89)*business_case_dollars</f>
        <v>0</v>
      </c>
      <c r="R157" s="43">
        <f>R156-SUM(R$10:R$89)*business_case_dollars</f>
        <v>0</v>
      </c>
      <c r="S157" s="43">
        <f>S156-SUM(S$10:S$89)*business_case_dollars</f>
        <v>0</v>
      </c>
      <c r="T157" s="43">
        <f>T156-SUM(T$10:T$89)*business_case_dollars</f>
        <v>0</v>
      </c>
      <c r="U157" s="43">
        <f>U156-SUM(U$10:U$89)*business_case_dollars</f>
        <v>0</v>
      </c>
      <c r="V157" s="43">
        <f>V156-SUM(Q$10:U$89)*business_case_dollars</f>
        <v>0</v>
      </c>
      <c r="W157" s="43">
        <f>SUM(Q157:V157)</f>
        <v>0</v>
      </c>
    </row>
  </sheetData>
  <conditionalFormatting sqref="H10:H89">
    <cfRule type="expression" dxfId="21" priority="11">
      <formula>$E10="Contracts"</formula>
    </cfRule>
    <cfRule type="expression" dxfId="20" priority="12">
      <formula>$E10="Materials"</formula>
    </cfRule>
    <cfRule type="expression" dxfId="19" priority="13">
      <formula>$E10="Labour"</formula>
    </cfRule>
  </conditionalFormatting>
  <conditionalFormatting sqref="Q109:V109">
    <cfRule type="expression" dxfId="18" priority="7">
      <formula>ABS(Q109)&gt;0.001</formula>
    </cfRule>
  </conditionalFormatting>
  <conditionalFormatting sqref="Q123:V126">
    <cfRule type="expression" dxfId="17" priority="4">
      <formula>ABS(Q123)&gt;0.001</formula>
    </cfRule>
  </conditionalFormatting>
  <conditionalFormatting sqref="Q144:V144">
    <cfRule type="expression" dxfId="16" priority="8">
      <formula>ABS(Q144)&gt;0.001</formula>
    </cfRule>
  </conditionalFormatting>
  <conditionalFormatting sqref="Q157:V157">
    <cfRule type="expression" dxfId="15" priority="1">
      <formula>ABS(Q157)&gt;0.001</formula>
    </cfRule>
  </conditionalFormatting>
  <conditionalFormatting sqref="W109">
    <cfRule type="expression" dxfId="14" priority="17">
      <formula>ABS(W109)&gt;0.001</formula>
    </cfRule>
  </conditionalFormatting>
  <conditionalFormatting sqref="W123:W126">
    <cfRule type="expression" dxfId="13" priority="5">
      <formula>ABS(W123)&gt;0.001</formula>
    </cfRule>
  </conditionalFormatting>
  <conditionalFormatting sqref="W144">
    <cfRule type="expression" dxfId="12" priority="9">
      <formula>ABS(W144)&gt;0.001</formula>
    </cfRule>
  </conditionalFormatting>
  <conditionalFormatting sqref="W157">
    <cfRule type="expression" dxfId="11" priority="2">
      <formula>ABS(W157)&gt;0.001</formula>
    </cfRule>
  </conditionalFormatting>
  <dataValidations count="3">
    <dataValidation type="list" allowBlank="1" showInputMessage="1" showErrorMessage="1" sqref="F10:F89" xr:uid="{62F3F087-87F3-4E5A-B0D6-C76D92ABBAEF}">
      <formula1>"Recurrent, Non recurrent"</formula1>
    </dataValidation>
    <dataValidation type="list" allowBlank="1" showInputMessage="1" showErrorMessage="1" sqref="D10:D89" xr:uid="{2827424A-175C-47A9-8376-819542451550}">
      <formula1>"Capex, Opex"</formula1>
    </dataValidation>
    <dataValidation type="list" allowBlank="1" showInputMessage="1" showErrorMessage="1" sqref="E10:E89" xr:uid="{B6D77B07-EFAE-4B85-BB1E-63380949B0D0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A95B1-4B3C-46F4-9203-34B6BE8E696F}">
  <dimension ref="A1:Z157"/>
  <sheetViews>
    <sheetView showGridLines="0" zoomScale="80" zoomScaleNormal="80" workbookViewId="0">
      <pane ySplit="9" topLeftCell="A114" activePane="bottomLeft" state="frozen"/>
      <selection activeCell="G69" sqref="G69"/>
      <selection pane="bottomLeft" activeCell="Q134" sqref="Q134"/>
    </sheetView>
  </sheetViews>
  <sheetFormatPr defaultColWidth="9.140625" defaultRowHeight="12.75" x14ac:dyDescent="0.2"/>
  <cols>
    <col min="1" max="1" width="2.28515625" style="1" customWidth="1"/>
    <col min="2" max="2" width="1.5703125" style="1" customWidth="1"/>
    <col min="3" max="3" width="67.7109375" style="1" customWidth="1"/>
    <col min="4" max="4" width="12.7109375" style="1" customWidth="1"/>
    <col min="5" max="5" width="11.140625" style="1" customWidth="1"/>
    <col min="6" max="6" width="14.140625" style="1" customWidth="1"/>
    <col min="7" max="7" width="2.85546875" style="1" customWidth="1"/>
    <col min="8" max="8" width="12.140625" style="1" customWidth="1"/>
    <col min="9" max="9" width="12.7109375" style="9" customWidth="1"/>
    <col min="10" max="10" width="2.85546875" style="1" customWidth="1"/>
    <col min="11" max="15" width="12.140625" style="1" customWidth="1"/>
    <col min="16" max="16" width="2.85546875" style="1" customWidth="1"/>
    <col min="17" max="21" width="12.140625" style="1" customWidth="1"/>
    <col min="22" max="22" width="13" style="1" customWidth="1"/>
    <col min="23" max="16384" width="9.140625" style="1"/>
  </cols>
  <sheetData>
    <row r="1" spans="1:26" ht="21" x14ac:dyDescent="0.35">
      <c r="A1" s="58" t="str">
        <f>Project_name</f>
        <v>Enterprise management systems</v>
      </c>
      <c r="B1" s="14"/>
      <c r="C1" s="11"/>
      <c r="D1" s="11"/>
      <c r="E1" s="11"/>
      <c r="F1" s="11"/>
      <c r="G1" s="11"/>
      <c r="H1" s="11"/>
      <c r="I1" s="12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</row>
    <row r="2" spans="1:26" ht="15.75" x14ac:dyDescent="0.25">
      <c r="A2" s="55" t="str">
        <f>Business</f>
        <v>UE</v>
      </c>
      <c r="B2" s="13"/>
      <c r="C2" s="11"/>
      <c r="D2" s="11"/>
      <c r="E2" s="11"/>
      <c r="F2" s="11"/>
      <c r="G2" s="11"/>
      <c r="H2" s="11"/>
      <c r="I2" s="12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6" s="31" customFormat="1" ht="15.75" x14ac:dyDescent="0.25">
      <c r="A3" s="29" t="s">
        <v>16</v>
      </c>
      <c r="B3" s="29"/>
      <c r="C3" s="29"/>
      <c r="D3" s="29"/>
      <c r="E3" s="29"/>
      <c r="F3" s="29"/>
      <c r="G3" s="29"/>
      <c r="H3" s="29"/>
      <c r="I3" s="30"/>
      <c r="J3" s="29"/>
      <c r="K3" s="29"/>
      <c r="L3" s="29"/>
      <c r="M3" s="29"/>
      <c r="N3" s="29"/>
      <c r="O3" s="29"/>
      <c r="P3" s="29"/>
      <c r="Q3" s="13"/>
      <c r="R3" s="11"/>
      <c r="S3" s="11"/>
      <c r="T3" s="11"/>
      <c r="U3" s="11"/>
      <c r="W3" s="45" t="b">
        <f>SUM(W7:W90)=0</f>
        <v>1</v>
      </c>
    </row>
    <row r="4" spans="1:26" ht="12.75" customHeight="1" x14ac:dyDescent="0.25">
      <c r="B4" s="15"/>
      <c r="C4" s="16"/>
      <c r="D4" s="16"/>
      <c r="E4" s="16"/>
      <c r="F4" s="16"/>
      <c r="G4" s="16"/>
      <c r="H4" s="16"/>
      <c r="I4" s="17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</row>
    <row r="5" spans="1:26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6"/>
      <c r="I5" s="17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</row>
    <row r="6" spans="1:26" ht="12.75" customHeight="1" x14ac:dyDescent="0.2">
      <c r="A6" s="4"/>
      <c r="G6" s="16"/>
    </row>
    <row r="7" spans="1:26" ht="12.75" customHeight="1" x14ac:dyDescent="0.2">
      <c r="A7" s="4"/>
      <c r="C7" s="47" t="s">
        <v>39</v>
      </c>
      <c r="D7" s="60" t="s">
        <v>40</v>
      </c>
      <c r="E7" s="60" t="s">
        <v>41</v>
      </c>
      <c r="F7" s="107" t="s">
        <v>42</v>
      </c>
      <c r="G7" s="16"/>
      <c r="H7" s="19" t="s">
        <v>10</v>
      </c>
      <c r="I7" s="19" t="s">
        <v>43</v>
      </c>
      <c r="K7" s="19" t="s">
        <v>44</v>
      </c>
      <c r="L7" s="20"/>
      <c r="M7" s="20"/>
      <c r="N7" s="20"/>
      <c r="O7" s="20"/>
      <c r="Q7" s="19" t="s">
        <v>45</v>
      </c>
      <c r="R7" s="20"/>
      <c r="S7" s="20"/>
      <c r="T7" s="20"/>
      <c r="U7" s="20"/>
    </row>
    <row r="8" spans="1:26" ht="12.75" customHeight="1" x14ac:dyDescent="0.2">
      <c r="A8" s="4"/>
      <c r="B8" s="4"/>
      <c r="C8" s="97"/>
      <c r="D8" s="97" t="s">
        <v>46</v>
      </c>
      <c r="E8" s="97"/>
      <c r="F8" s="97" t="s">
        <v>47</v>
      </c>
      <c r="G8" s="16"/>
      <c r="H8" s="106" t="s">
        <v>48</v>
      </c>
      <c r="I8" s="97"/>
      <c r="K8" s="48" t="s">
        <v>5</v>
      </c>
      <c r="L8" s="48" t="s">
        <v>6</v>
      </c>
      <c r="M8" s="48" t="s">
        <v>7</v>
      </c>
      <c r="N8" s="48" t="s">
        <v>8</v>
      </c>
      <c r="O8" s="48" t="s">
        <v>9</v>
      </c>
      <c r="Q8" s="48" t="s">
        <v>5</v>
      </c>
      <c r="R8" s="48" t="s">
        <v>6</v>
      </c>
      <c r="S8" s="48" t="s">
        <v>7</v>
      </c>
      <c r="T8" s="48" t="s">
        <v>8</v>
      </c>
      <c r="U8" s="48" t="s">
        <v>9</v>
      </c>
    </row>
    <row r="9" spans="1:26" ht="12.75" customHeight="1" x14ac:dyDescent="0.2">
      <c r="G9" s="16"/>
    </row>
    <row r="10" spans="1:26" ht="12.75" customHeight="1" x14ac:dyDescent="0.2">
      <c r="A10" s="4"/>
      <c r="C10" s="76" t="s">
        <v>49</v>
      </c>
      <c r="D10" s="77" t="s">
        <v>50</v>
      </c>
      <c r="E10" s="77" t="s">
        <v>10</v>
      </c>
      <c r="F10" s="75" t="s">
        <v>51</v>
      </c>
      <c r="G10" s="2"/>
      <c r="H10" s="59">
        <f>IF($E10="Labour",Assumptions!$B$14,)</f>
        <v>145.77740895836223</v>
      </c>
      <c r="I10" s="9" t="str">
        <f>IF($E10="Labour","Hours","$")</f>
        <v>Hours</v>
      </c>
      <c r="J10" s="2"/>
      <c r="K10" s="78">
        <f>60*63.2/100</f>
        <v>37.92</v>
      </c>
      <c r="L10" s="78">
        <f>60*63.2/100</f>
        <v>37.92</v>
      </c>
      <c r="M10" s="78">
        <f>60*63.2/100</f>
        <v>37.92</v>
      </c>
      <c r="N10" s="78">
        <f>60*63.2/100</f>
        <v>37.92</v>
      </c>
      <c r="O10" s="78">
        <f>60*63.2/100</f>
        <v>37.92</v>
      </c>
      <c r="P10" s="2"/>
      <c r="Q10" s="5">
        <f>IF($E10="Labour",$H10*K10,K10)</f>
        <v>5527.8793477010959</v>
      </c>
      <c r="R10" s="5">
        <f>IF($E10="Labour",$H10*L10,L10)</f>
        <v>5527.8793477010959</v>
      </c>
      <c r="S10" s="5">
        <f>IF($E10="Labour",$H10*M10,M10)</f>
        <v>5527.8793477010959</v>
      </c>
      <c r="T10" s="5">
        <f>IF($E10="Labour",$H10*N10,N10)</f>
        <v>5527.8793477010959</v>
      </c>
      <c r="U10" s="5">
        <f>IF($E10="Labour",$H10*O10,O10)</f>
        <v>5527.8793477010959</v>
      </c>
    </row>
    <row r="11" spans="1:26" ht="12.75" customHeight="1" x14ac:dyDescent="0.2">
      <c r="A11" s="4"/>
      <c r="C11" s="76" t="s">
        <v>49</v>
      </c>
      <c r="D11" s="77" t="s">
        <v>50</v>
      </c>
      <c r="E11" s="77" t="s">
        <v>11</v>
      </c>
      <c r="F11" s="75" t="s">
        <v>51</v>
      </c>
      <c r="G11" s="2"/>
      <c r="H11" s="59">
        <f>IF($E11="Labour",Assumptions!$B$14,)</f>
        <v>0</v>
      </c>
      <c r="I11" s="9" t="str">
        <f t="shared" ref="I11:I89" si="0">IF($E11="Labour","Hours","$")</f>
        <v>$</v>
      </c>
      <c r="J11" s="2"/>
      <c r="K11" s="78"/>
      <c r="L11" s="78"/>
      <c r="M11" s="78"/>
      <c r="N11" s="78"/>
      <c r="O11" s="78"/>
      <c r="P11" s="2"/>
      <c r="Q11" s="5">
        <f>IF($E11="Labour",$H11*K11,K11)</f>
        <v>0</v>
      </c>
      <c r="R11" s="5">
        <f>IF($E11="Labour",$H11*L11,L11)</f>
        <v>0</v>
      </c>
      <c r="S11" s="5">
        <f>IF($E11="Labour",$H11*M11,M11)</f>
        <v>0</v>
      </c>
      <c r="T11" s="5">
        <f>IF($E11="Labour",$H11*N11,N11)</f>
        <v>0</v>
      </c>
      <c r="U11" s="5">
        <f>IF($E11="Labour",$H11*O11,O11)</f>
        <v>0</v>
      </c>
    </row>
    <row r="12" spans="1:26" ht="12.75" customHeight="1" x14ac:dyDescent="0.2">
      <c r="A12" s="4"/>
      <c r="C12" s="76" t="s">
        <v>49</v>
      </c>
      <c r="D12" s="77" t="s">
        <v>50</v>
      </c>
      <c r="E12" s="77" t="s">
        <v>12</v>
      </c>
      <c r="F12" s="75" t="s">
        <v>51</v>
      </c>
      <c r="G12" s="2"/>
      <c r="H12" s="59">
        <f>IF($E12="Labour",Assumptions!$B$14,)</f>
        <v>0</v>
      </c>
      <c r="I12" s="9" t="str">
        <f t="shared" si="0"/>
        <v>$</v>
      </c>
      <c r="J12" s="2"/>
      <c r="K12" s="78">
        <f>6000*63.2/100</f>
        <v>3792</v>
      </c>
      <c r="L12" s="78">
        <f>6000*63.2/100</f>
        <v>3792</v>
      </c>
      <c r="M12" s="78">
        <f>6000*63.2/100</f>
        <v>3792</v>
      </c>
      <c r="N12" s="78">
        <f>6000*63.2/100</f>
        <v>3792</v>
      </c>
      <c r="O12" s="78">
        <f>6000*63.2/100</f>
        <v>3792</v>
      </c>
      <c r="P12" s="2"/>
      <c r="Q12" s="5">
        <f>IF($E12="Labour",$H12*K12,K12)</f>
        <v>3792</v>
      </c>
      <c r="R12" s="5">
        <f>IF($E12="Labour",$H12*L12,L12)</f>
        <v>3792</v>
      </c>
      <c r="S12" s="5">
        <f>IF($E12="Labour",$H12*M12,M12)</f>
        <v>3792</v>
      </c>
      <c r="T12" s="5">
        <f>IF($E12="Labour",$H12*N12,N12)</f>
        <v>3792</v>
      </c>
      <c r="U12" s="5">
        <f>IF($E12="Labour",$H12*O12,O12)</f>
        <v>3792</v>
      </c>
    </row>
    <row r="13" spans="1:26" ht="12.75" customHeight="1" x14ac:dyDescent="0.25">
      <c r="A13" s="4"/>
      <c r="C13" s="76" t="s">
        <v>52</v>
      </c>
      <c r="D13" s="77" t="s">
        <v>50</v>
      </c>
      <c r="E13" s="77" t="s">
        <v>10</v>
      </c>
      <c r="F13" s="75" t="s">
        <v>51</v>
      </c>
      <c r="G13" s="2"/>
      <c r="H13" s="59">
        <f>IF($E13="Labour",Assumptions!$B$14,)</f>
        <v>145.77740895836223</v>
      </c>
      <c r="I13" s="9" t="str">
        <f t="shared" si="0"/>
        <v>Hours</v>
      </c>
      <c r="J13" s="2"/>
      <c r="K13" s="78">
        <f>900*50/100</f>
        <v>450</v>
      </c>
      <c r="L13" s="78"/>
      <c r="M13" s="78">
        <f>900*50/100</f>
        <v>450</v>
      </c>
      <c r="N13" s="78"/>
      <c r="O13" s="78"/>
      <c r="P13" s="2"/>
      <c r="Q13" s="5">
        <f>IF($E13="Labour",$H13*K13,K13)</f>
        <v>65599.834031263003</v>
      </c>
      <c r="R13" s="5">
        <f>IF($E13="Labour",$H13*L13,L13)</f>
        <v>0</v>
      </c>
      <c r="S13" s="5">
        <f>IF($E13="Labour",$H13*M13,M13)</f>
        <v>65599.834031263003</v>
      </c>
      <c r="T13" s="5">
        <f>IF($E13="Labour",$H13*N13,N13)</f>
        <v>0</v>
      </c>
      <c r="U13" s="5">
        <f>IF($E13="Labour",$H13*O13,O13)</f>
        <v>0</v>
      </c>
      <c r="Z13"/>
    </row>
    <row r="14" spans="1:26" ht="12.75" customHeight="1" x14ac:dyDescent="0.25">
      <c r="A14" s="4"/>
      <c r="C14" s="76" t="s">
        <v>52</v>
      </c>
      <c r="D14" s="77" t="s">
        <v>50</v>
      </c>
      <c r="E14" s="77" t="s">
        <v>11</v>
      </c>
      <c r="F14" s="75" t="s">
        <v>51</v>
      </c>
      <c r="G14" s="2"/>
      <c r="H14" s="59">
        <f>IF($E14="Labour",Assumptions!$B$14,)</f>
        <v>0</v>
      </c>
      <c r="I14" s="9" t="str">
        <f t="shared" si="0"/>
        <v>$</v>
      </c>
      <c r="J14" s="2"/>
      <c r="K14" s="78">
        <f>100000*50/100</f>
        <v>50000</v>
      </c>
      <c r="L14" s="78"/>
      <c r="M14" s="78">
        <f>100000*50/100</f>
        <v>50000</v>
      </c>
      <c r="N14" s="78"/>
      <c r="O14" s="78"/>
      <c r="P14" s="2"/>
      <c r="Q14" s="5">
        <f>IF($E14="Labour",$H14*K14,K14)</f>
        <v>50000</v>
      </c>
      <c r="R14" s="5">
        <f>IF($E14="Labour",$H14*L14,L14)</f>
        <v>0</v>
      </c>
      <c r="S14" s="5">
        <f>IF($E14="Labour",$H14*M14,M14)</f>
        <v>50000</v>
      </c>
      <c r="T14" s="5">
        <f>IF($E14="Labour",$H14*N14,N14)</f>
        <v>0</v>
      </c>
      <c r="U14" s="5">
        <f>IF($E14="Labour",$H14*O14,O14)</f>
        <v>0</v>
      </c>
      <c r="Z14"/>
    </row>
    <row r="15" spans="1:26" ht="12.75" customHeight="1" x14ac:dyDescent="0.25">
      <c r="A15" s="4"/>
      <c r="C15" s="76" t="s">
        <v>52</v>
      </c>
      <c r="D15" s="77" t="s">
        <v>50</v>
      </c>
      <c r="E15" s="77" t="s">
        <v>12</v>
      </c>
      <c r="F15" s="75" t="s">
        <v>51</v>
      </c>
      <c r="G15" s="2"/>
      <c r="H15" s="59">
        <f>IF($E15="Labour",Assumptions!$B$14,)</f>
        <v>0</v>
      </c>
      <c r="I15" s="9" t="str">
        <f t="shared" si="0"/>
        <v>$</v>
      </c>
      <c r="J15" s="2"/>
      <c r="K15" s="78">
        <f>480000*50/100</f>
        <v>240000</v>
      </c>
      <c r="L15" s="78"/>
      <c r="M15" s="78">
        <f>480000*50/100</f>
        <v>240000</v>
      </c>
      <c r="N15" s="78"/>
      <c r="O15" s="78"/>
      <c r="P15" s="2"/>
      <c r="Q15" s="5">
        <f>IF($E15="Labour",$H15*K15,K15)</f>
        <v>240000</v>
      </c>
      <c r="R15" s="5">
        <f>IF($E15="Labour",$H15*L15,L15)</f>
        <v>0</v>
      </c>
      <c r="S15" s="5">
        <f>IF($E15="Labour",$H15*M15,M15)</f>
        <v>240000</v>
      </c>
      <c r="T15" s="5">
        <f>IF($E15="Labour",$H15*N15,N15)</f>
        <v>0</v>
      </c>
      <c r="U15" s="5">
        <f>IF($E15="Labour",$H15*O15,O15)</f>
        <v>0</v>
      </c>
      <c r="Z15"/>
    </row>
    <row r="16" spans="1:26" ht="12.75" customHeight="1" x14ac:dyDescent="0.25">
      <c r="A16" s="4"/>
      <c r="C16" s="76" t="s">
        <v>54</v>
      </c>
      <c r="D16" s="77" t="s">
        <v>50</v>
      </c>
      <c r="E16" s="77" t="s">
        <v>10</v>
      </c>
      <c r="F16" s="75" t="s">
        <v>51</v>
      </c>
      <c r="G16" s="2"/>
      <c r="H16" s="59">
        <f>IF($E16="Labour",Assumptions!$B$14,)</f>
        <v>145.77740895836223</v>
      </c>
      <c r="I16" s="9" t="str">
        <f t="shared" si="0"/>
        <v>Hours</v>
      </c>
      <c r="J16" s="2"/>
      <c r="K16" s="78">
        <f>391*63.2/100</f>
        <v>247.11199999999999</v>
      </c>
      <c r="L16" s="78"/>
      <c r="M16" s="78">
        <f>391*63.2/100</f>
        <v>247.11199999999999</v>
      </c>
      <c r="N16" s="78"/>
      <c r="O16" s="78"/>
      <c r="P16" s="2"/>
      <c r="Q16" s="5">
        <f>IF($E16="Labour",$H16*K16,K16)</f>
        <v>36023.347082518805</v>
      </c>
      <c r="R16" s="5">
        <f>IF($E16="Labour",$H16*L16,L16)</f>
        <v>0</v>
      </c>
      <c r="S16" s="5">
        <f>IF($E16="Labour",$H16*M16,M16)</f>
        <v>36023.347082518805</v>
      </c>
      <c r="T16" s="5">
        <f>IF($E16="Labour",$H16*N16,N16)</f>
        <v>0</v>
      </c>
      <c r="U16" s="5">
        <f>IF($E16="Labour",$H16*O16,O16)</f>
        <v>0</v>
      </c>
      <c r="Z16"/>
    </row>
    <row r="17" spans="1:26" ht="12.75" customHeight="1" x14ac:dyDescent="0.25">
      <c r="A17" s="4"/>
      <c r="C17" s="76" t="s">
        <v>54</v>
      </c>
      <c r="D17" s="77" t="s">
        <v>50</v>
      </c>
      <c r="E17" s="77" t="s">
        <v>11</v>
      </c>
      <c r="F17" s="75" t="s">
        <v>51</v>
      </c>
      <c r="G17" s="2"/>
      <c r="H17" s="59">
        <f>IF($E17="Labour",Assumptions!$B$14,)</f>
        <v>0</v>
      </c>
      <c r="I17" s="9" t="str">
        <f t="shared" si="0"/>
        <v>$</v>
      </c>
      <c r="J17" s="2"/>
      <c r="K17" s="78"/>
      <c r="L17" s="78"/>
      <c r="M17" s="78"/>
      <c r="N17" s="78"/>
      <c r="O17" s="78"/>
      <c r="P17" s="2"/>
      <c r="Q17" s="5">
        <f>IF($E17="Labour",$H17*K17,K17)</f>
        <v>0</v>
      </c>
      <c r="R17" s="5">
        <f>IF($E17="Labour",$H17*L17,L17)</f>
        <v>0</v>
      </c>
      <c r="S17" s="5">
        <f>IF($E17="Labour",$H17*M17,M17)</f>
        <v>0</v>
      </c>
      <c r="T17" s="5">
        <f>IF($E17="Labour",$H17*N17,N17)</f>
        <v>0</v>
      </c>
      <c r="U17" s="5">
        <f>IF($E17="Labour",$H17*O17,O17)</f>
        <v>0</v>
      </c>
      <c r="Z17"/>
    </row>
    <row r="18" spans="1:26" ht="12.75" customHeight="1" x14ac:dyDescent="0.25">
      <c r="A18" s="4"/>
      <c r="C18" s="76" t="s">
        <v>54</v>
      </c>
      <c r="D18" s="77" t="s">
        <v>50</v>
      </c>
      <c r="E18" s="77" t="s">
        <v>12</v>
      </c>
      <c r="F18" s="75" t="s">
        <v>51</v>
      </c>
      <c r="G18" s="2"/>
      <c r="H18" s="59">
        <f>IF($E18="Labour",Assumptions!$B$14,)</f>
        <v>0</v>
      </c>
      <c r="I18" s="9" t="str">
        <f t="shared" si="0"/>
        <v>$</v>
      </c>
      <c r="J18" s="2"/>
      <c r="K18" s="78">
        <f>132000*63.2/100</f>
        <v>83424</v>
      </c>
      <c r="L18" s="78"/>
      <c r="M18" s="78">
        <f>132000*63.2/100</f>
        <v>83424</v>
      </c>
      <c r="N18" s="78"/>
      <c r="O18" s="78"/>
      <c r="P18" s="2"/>
      <c r="Q18" s="5">
        <f>IF($E18="Labour",$H18*K18,K18)</f>
        <v>83424</v>
      </c>
      <c r="R18" s="5">
        <f>IF($E18="Labour",$H18*L18,L18)</f>
        <v>0</v>
      </c>
      <c r="S18" s="5">
        <f>IF($E18="Labour",$H18*M18,M18)</f>
        <v>83424</v>
      </c>
      <c r="T18" s="5">
        <f>IF($E18="Labour",$H18*N18,N18)</f>
        <v>0</v>
      </c>
      <c r="U18" s="5">
        <f>IF($E18="Labour",$H18*O18,O18)</f>
        <v>0</v>
      </c>
      <c r="Z18"/>
    </row>
    <row r="19" spans="1:26" ht="12.75" customHeight="1" x14ac:dyDescent="0.25">
      <c r="A19" s="4"/>
      <c r="C19" s="76" t="s">
        <v>55</v>
      </c>
      <c r="D19" s="77" t="s">
        <v>50</v>
      </c>
      <c r="E19" s="77" t="s">
        <v>10</v>
      </c>
      <c r="F19" s="75" t="s">
        <v>51</v>
      </c>
      <c r="G19" s="2"/>
      <c r="H19" s="59">
        <f>IF($E19="Labour",Assumptions!$B$14,)</f>
        <v>145.77740895836223</v>
      </c>
      <c r="I19" s="9" t="str">
        <f t="shared" si="0"/>
        <v>Hours</v>
      </c>
      <c r="J19" s="2"/>
      <c r="K19" s="78">
        <f>2146*63.2/100</f>
        <v>1356.2720000000002</v>
      </c>
      <c r="L19" s="78"/>
      <c r="M19" s="78"/>
      <c r="N19" s="78"/>
      <c r="O19" s="78"/>
      <c r="P19" s="2"/>
      <c r="Q19" s="5">
        <f>IF($E19="Labour",$H19*K19,K19)</f>
        <v>197713.81800277589</v>
      </c>
      <c r="R19" s="5">
        <f>IF($E19="Labour",$H19*L19,L19)</f>
        <v>0</v>
      </c>
      <c r="S19" s="5">
        <f>IF($E19="Labour",$H19*M19,M19)</f>
        <v>0</v>
      </c>
      <c r="T19" s="5">
        <f>IF($E19="Labour",$H19*N19,N19)</f>
        <v>0</v>
      </c>
      <c r="U19" s="5">
        <f>IF($E19="Labour",$H19*O19,O19)</f>
        <v>0</v>
      </c>
      <c r="Z19"/>
    </row>
    <row r="20" spans="1:26" ht="12.75" customHeight="1" x14ac:dyDescent="0.25">
      <c r="A20" s="4"/>
      <c r="C20" s="76" t="s">
        <v>55</v>
      </c>
      <c r="D20" s="77" t="s">
        <v>50</v>
      </c>
      <c r="E20" s="77" t="s">
        <v>11</v>
      </c>
      <c r="F20" s="75" t="s">
        <v>51</v>
      </c>
      <c r="G20" s="2"/>
      <c r="H20" s="59">
        <f>IF($E20="Labour",Assumptions!$B$14,)</f>
        <v>0</v>
      </c>
      <c r="I20" s="9" t="str">
        <f t="shared" si="0"/>
        <v>$</v>
      </c>
      <c r="J20" s="2"/>
      <c r="K20" s="78">
        <f>330000*63.2/100</f>
        <v>208560</v>
      </c>
      <c r="L20" s="78"/>
      <c r="M20" s="78"/>
      <c r="N20" s="78"/>
      <c r="O20" s="78"/>
      <c r="P20" s="2"/>
      <c r="Q20" s="5">
        <f>IF($E20="Labour",$H20*K20,K20)</f>
        <v>208560</v>
      </c>
      <c r="R20" s="5">
        <f>IF($E20="Labour",$H20*L20,L20)</f>
        <v>0</v>
      </c>
      <c r="S20" s="5">
        <f>IF($E20="Labour",$H20*M20,M20)</f>
        <v>0</v>
      </c>
      <c r="T20" s="5">
        <f>IF($E20="Labour",$H20*N20,N20)</f>
        <v>0</v>
      </c>
      <c r="U20" s="5">
        <f>IF($E20="Labour",$H20*O20,O20)</f>
        <v>0</v>
      </c>
      <c r="Z20"/>
    </row>
    <row r="21" spans="1:26" ht="12.75" customHeight="1" x14ac:dyDescent="0.25">
      <c r="A21" s="4"/>
      <c r="C21" s="76" t="s">
        <v>55</v>
      </c>
      <c r="D21" s="77" t="s">
        <v>50</v>
      </c>
      <c r="E21" s="77" t="s">
        <v>12</v>
      </c>
      <c r="F21" s="75" t="s">
        <v>51</v>
      </c>
      <c r="G21" s="2"/>
      <c r="H21" s="59">
        <f>IF($E21="Labour",Assumptions!$B$14,)</f>
        <v>0</v>
      </c>
      <c r="I21" s="9" t="str">
        <f t="shared" si="0"/>
        <v>$</v>
      </c>
      <c r="J21" s="2"/>
      <c r="K21" s="78">
        <f>430000*63.2/100</f>
        <v>271760</v>
      </c>
      <c r="L21" s="78">
        <f>70000*63.2/100</f>
        <v>44240</v>
      </c>
      <c r="M21" s="78"/>
      <c r="N21" s="78"/>
      <c r="O21" s="78"/>
      <c r="P21" s="2"/>
      <c r="Q21" s="5">
        <f>IF($E21="Labour",$H21*K21,K21)</f>
        <v>271760</v>
      </c>
      <c r="R21" s="5">
        <f>IF($E21="Labour",$H21*L21,L21)</f>
        <v>44240</v>
      </c>
      <c r="S21" s="5">
        <f>IF($E21="Labour",$H21*M21,M21)</f>
        <v>0</v>
      </c>
      <c r="T21" s="5">
        <f>IF($E21="Labour",$H21*N21,N21)</f>
        <v>0</v>
      </c>
      <c r="U21" s="5">
        <f>IF($E21="Labour",$H21*O21,O21)</f>
        <v>0</v>
      </c>
      <c r="Z21"/>
    </row>
    <row r="22" spans="1:26" ht="12.75" customHeight="1" x14ac:dyDescent="0.25">
      <c r="A22" s="4"/>
      <c r="C22" s="76" t="s">
        <v>56</v>
      </c>
      <c r="D22" s="77" t="s">
        <v>50</v>
      </c>
      <c r="E22" s="77" t="s">
        <v>10</v>
      </c>
      <c r="F22" s="75" t="s">
        <v>51</v>
      </c>
      <c r="G22" s="2"/>
      <c r="H22" s="59">
        <f>IF($E22="Labour",Assumptions!$B$14,)</f>
        <v>145.77740895836223</v>
      </c>
      <c r="I22" s="9" t="str">
        <f t="shared" si="0"/>
        <v>Hours</v>
      </c>
      <c r="J22" s="2"/>
      <c r="K22" s="78">
        <f>600*63.2/100</f>
        <v>379.2</v>
      </c>
      <c r="L22" s="78">
        <f>600*63.2/100</f>
        <v>379.2</v>
      </c>
      <c r="M22" s="78">
        <f>600*63.2/100</f>
        <v>379.2</v>
      </c>
      <c r="N22" s="78">
        <f>600*63.2/100</f>
        <v>379.2</v>
      </c>
      <c r="O22" s="78">
        <f>600*63.2/100</f>
        <v>379.2</v>
      </c>
      <c r="P22" s="2"/>
      <c r="Q22" s="5">
        <f>IF($E22="Labour",$H22*K22,K22)</f>
        <v>55278.793477010957</v>
      </c>
      <c r="R22" s="5">
        <f>IF($E22="Labour",$H22*L22,L22)</f>
        <v>55278.793477010957</v>
      </c>
      <c r="S22" s="5">
        <f>IF($E22="Labour",$H22*M22,M22)</f>
        <v>55278.793477010957</v>
      </c>
      <c r="T22" s="5">
        <f>IF($E22="Labour",$H22*N22,N22)</f>
        <v>55278.793477010957</v>
      </c>
      <c r="U22" s="5">
        <f>IF($E22="Labour",$H22*O22,O22)</f>
        <v>55278.793477010957</v>
      </c>
      <c r="Z22"/>
    </row>
    <row r="23" spans="1:26" ht="12.75" customHeight="1" x14ac:dyDescent="0.25">
      <c r="A23" s="4"/>
      <c r="C23" s="76" t="s">
        <v>56</v>
      </c>
      <c r="D23" s="77" t="s">
        <v>50</v>
      </c>
      <c r="E23" s="77" t="s">
        <v>11</v>
      </c>
      <c r="F23" s="75" t="s">
        <v>51</v>
      </c>
      <c r="G23" s="2"/>
      <c r="H23" s="59">
        <f>IF($E23="Labour",Assumptions!$B$14,)</f>
        <v>0</v>
      </c>
      <c r="I23" s="9" t="str">
        <f t="shared" si="0"/>
        <v>$</v>
      </c>
      <c r="J23" s="2"/>
      <c r="K23" s="78"/>
      <c r="L23" s="78"/>
      <c r="M23" s="78"/>
      <c r="N23" s="78"/>
      <c r="O23" s="78"/>
      <c r="P23" s="2"/>
      <c r="Q23" s="5">
        <f>IF($E23="Labour",$H23*K23,K23)</f>
        <v>0</v>
      </c>
      <c r="R23" s="5">
        <f>IF($E23="Labour",$H23*L23,L23)</f>
        <v>0</v>
      </c>
      <c r="S23" s="5">
        <f>IF($E23="Labour",$H23*M23,M23)</f>
        <v>0</v>
      </c>
      <c r="T23" s="5">
        <f>IF($E23="Labour",$H23*N23,N23)</f>
        <v>0</v>
      </c>
      <c r="U23" s="5">
        <f>IF($E23="Labour",$H23*O23,O23)</f>
        <v>0</v>
      </c>
      <c r="Z23"/>
    </row>
    <row r="24" spans="1:26" ht="12.75" customHeight="1" x14ac:dyDescent="0.25">
      <c r="A24" s="4"/>
      <c r="C24" s="76" t="s">
        <v>56</v>
      </c>
      <c r="D24" s="77" t="s">
        <v>50</v>
      </c>
      <c r="E24" s="77" t="s">
        <v>12</v>
      </c>
      <c r="F24" s="75" t="s">
        <v>51</v>
      </c>
      <c r="G24" s="2"/>
      <c r="H24" s="59">
        <f>IF($E24="Labour",Assumptions!$B$14,)</f>
        <v>0</v>
      </c>
      <c r="I24" s="9" t="str">
        <f t="shared" si="0"/>
        <v>$</v>
      </c>
      <c r="J24" s="2"/>
      <c r="K24" s="78">
        <f>150000*63.2/100</f>
        <v>94800</v>
      </c>
      <c r="L24" s="78">
        <f>150000*63.2/100</f>
        <v>94800</v>
      </c>
      <c r="M24" s="78">
        <f>150000*63.2/100</f>
        <v>94800</v>
      </c>
      <c r="N24" s="78">
        <f>150000*63.2/100</f>
        <v>94800</v>
      </c>
      <c r="O24" s="78">
        <f>150000*63.2/100</f>
        <v>94800</v>
      </c>
      <c r="P24" s="2"/>
      <c r="Q24" s="5">
        <f>IF($E24="Labour",$H24*K24,K24)</f>
        <v>94800</v>
      </c>
      <c r="R24" s="5">
        <f>IF($E24="Labour",$H24*L24,L24)</f>
        <v>94800</v>
      </c>
      <c r="S24" s="5">
        <f>IF($E24="Labour",$H24*M24,M24)</f>
        <v>94800</v>
      </c>
      <c r="T24" s="5">
        <f>IF($E24="Labour",$H24*N24,N24)</f>
        <v>94800</v>
      </c>
      <c r="U24" s="5">
        <f>IF($E24="Labour",$H24*O24,O24)</f>
        <v>94800</v>
      </c>
      <c r="Z24"/>
    </row>
    <row r="25" spans="1:26" ht="12.75" customHeight="1" x14ac:dyDescent="0.25">
      <c r="A25" s="4"/>
      <c r="C25" s="76" t="s">
        <v>57</v>
      </c>
      <c r="D25" s="77" t="s">
        <v>50</v>
      </c>
      <c r="E25" s="77" t="s">
        <v>10</v>
      </c>
      <c r="F25" s="75" t="s">
        <v>51</v>
      </c>
      <c r="G25" s="2"/>
      <c r="H25" s="59">
        <f>IF($E25="Labour",Assumptions!$B$14,)</f>
        <v>145.77740895836223</v>
      </c>
      <c r="I25" s="9" t="str">
        <f t="shared" si="0"/>
        <v>Hours</v>
      </c>
      <c r="J25" s="2"/>
      <c r="K25" s="78">
        <f>1200*0/100</f>
        <v>0</v>
      </c>
      <c r="L25" s="78"/>
      <c r="M25" s="78">
        <f>1200*100/100</f>
        <v>1200</v>
      </c>
      <c r="N25" s="78"/>
      <c r="O25" s="78">
        <f>2100*100/100</f>
        <v>2100</v>
      </c>
      <c r="P25" s="2"/>
      <c r="Q25" s="5">
        <f>IF($E25="Labour",$H25*K25,K25)</f>
        <v>0</v>
      </c>
      <c r="R25" s="5">
        <f>IF($E25="Labour",$H25*L25,L25)</f>
        <v>0</v>
      </c>
      <c r="S25" s="5">
        <f>IF($E25="Labour",$H25*M25,M25)</f>
        <v>174932.89075003468</v>
      </c>
      <c r="T25" s="5">
        <f>IF($E25="Labour",$H25*N25,N25)</f>
        <v>0</v>
      </c>
      <c r="U25" s="5">
        <f>IF($E25="Labour",$H25*O25,O25)</f>
        <v>306132.55881256069</v>
      </c>
      <c r="Z25"/>
    </row>
    <row r="26" spans="1:26" ht="12.75" customHeight="1" x14ac:dyDescent="0.25">
      <c r="A26" s="4"/>
      <c r="C26" s="76" t="s">
        <v>57</v>
      </c>
      <c r="D26" s="77" t="s">
        <v>50</v>
      </c>
      <c r="E26" s="77" t="s">
        <v>11</v>
      </c>
      <c r="F26" s="75" t="s">
        <v>51</v>
      </c>
      <c r="G26" s="2"/>
      <c r="H26" s="59">
        <f>IF($E26="Labour",Assumptions!$B$14,)</f>
        <v>0</v>
      </c>
      <c r="I26" s="9" t="str">
        <f t="shared" si="0"/>
        <v>$</v>
      </c>
      <c r="J26" s="2"/>
      <c r="K26" s="78"/>
      <c r="L26" s="78"/>
      <c r="M26" s="78"/>
      <c r="N26" s="78"/>
      <c r="O26" s="78"/>
      <c r="P26" s="2"/>
      <c r="Q26" s="5">
        <f>IF($E26="Labour",$H26*K26,K26)</f>
        <v>0</v>
      </c>
      <c r="R26" s="5">
        <f>IF($E26="Labour",$H26*L26,L26)</f>
        <v>0</v>
      </c>
      <c r="S26" s="5">
        <f>IF($E26="Labour",$H26*M26,M26)</f>
        <v>0</v>
      </c>
      <c r="T26" s="5">
        <f>IF($E26="Labour",$H26*N26,N26)</f>
        <v>0</v>
      </c>
      <c r="U26" s="5">
        <f>IF($E26="Labour",$H26*O26,O26)</f>
        <v>0</v>
      </c>
      <c r="Z26"/>
    </row>
    <row r="27" spans="1:26" ht="12.75" customHeight="1" x14ac:dyDescent="0.25">
      <c r="A27" s="4"/>
      <c r="C27" s="76" t="s">
        <v>57</v>
      </c>
      <c r="D27" s="77" t="s">
        <v>50</v>
      </c>
      <c r="E27" s="77" t="s">
        <v>12</v>
      </c>
      <c r="F27" s="75" t="s">
        <v>51</v>
      </c>
      <c r="G27" s="2"/>
      <c r="H27" s="59">
        <f>IF($E27="Labour",Assumptions!$B$14,)</f>
        <v>0</v>
      </c>
      <c r="I27" s="9" t="str">
        <f t="shared" si="0"/>
        <v>$</v>
      </c>
      <c r="J27" s="2"/>
      <c r="K27" s="78">
        <f>180000*0/100</f>
        <v>0</v>
      </c>
      <c r="L27" s="78"/>
      <c r="M27" s="78">
        <f>180000*100/100</f>
        <v>180000</v>
      </c>
      <c r="N27" s="78"/>
      <c r="O27" s="78">
        <f>300000*100/100</f>
        <v>300000</v>
      </c>
      <c r="P27" s="2"/>
      <c r="Q27" s="5">
        <f>IF($E27="Labour",$H27*K27,K27)</f>
        <v>0</v>
      </c>
      <c r="R27" s="5">
        <f>IF($E27="Labour",$H27*L27,L27)</f>
        <v>0</v>
      </c>
      <c r="S27" s="5">
        <f>IF($E27="Labour",$H27*M27,M27)</f>
        <v>180000</v>
      </c>
      <c r="T27" s="5">
        <f>IF($E27="Labour",$H27*N27,N27)</f>
        <v>0</v>
      </c>
      <c r="U27" s="5">
        <f>IF($E27="Labour",$H27*O27,O27)</f>
        <v>300000</v>
      </c>
      <c r="Z27"/>
    </row>
    <row r="28" spans="1:26" ht="12.75" customHeight="1" x14ac:dyDescent="0.25">
      <c r="A28" s="4"/>
      <c r="C28" s="76" t="s">
        <v>58</v>
      </c>
      <c r="D28" s="77" t="s">
        <v>50</v>
      </c>
      <c r="E28" s="77" t="s">
        <v>10</v>
      </c>
      <c r="F28" s="75" t="s">
        <v>51</v>
      </c>
      <c r="G28" s="2"/>
      <c r="H28" s="59">
        <f>IF($E28="Labour",Assumptions!$B$14,)</f>
        <v>145.77740895836223</v>
      </c>
      <c r="I28" s="9" t="str">
        <f t="shared" si="0"/>
        <v>Hours</v>
      </c>
      <c r="J28" s="2"/>
      <c r="K28" s="78">
        <f>3986*50/100</f>
        <v>1993</v>
      </c>
      <c r="L28" s="78"/>
      <c r="M28" s="78"/>
      <c r="N28" s="78">
        <f>3986*50/100</f>
        <v>1993</v>
      </c>
      <c r="O28" s="78"/>
      <c r="P28" s="2"/>
      <c r="Q28" s="5">
        <f>IF($E28="Labour",$H28*K28,K28)</f>
        <v>290534.37605401594</v>
      </c>
      <c r="R28" s="5">
        <f>IF($E28="Labour",$H28*L28,L28)</f>
        <v>0</v>
      </c>
      <c r="S28" s="5">
        <f>IF($E28="Labour",$H28*M28,M28)</f>
        <v>0</v>
      </c>
      <c r="T28" s="5">
        <f>IF($E28="Labour",$H28*N28,N28)</f>
        <v>290534.37605401594</v>
      </c>
      <c r="U28" s="5">
        <f>IF($E28="Labour",$H28*O28,O28)</f>
        <v>0</v>
      </c>
      <c r="Z28"/>
    </row>
    <row r="29" spans="1:26" ht="12.75" customHeight="1" x14ac:dyDescent="0.25">
      <c r="A29" s="4"/>
      <c r="C29" s="76" t="s">
        <v>58</v>
      </c>
      <c r="D29" s="77" t="s">
        <v>50</v>
      </c>
      <c r="E29" s="77" t="s">
        <v>11</v>
      </c>
      <c r="F29" s="75" t="s">
        <v>51</v>
      </c>
      <c r="G29" s="2"/>
      <c r="H29" s="59">
        <f>IF($E29="Labour",Assumptions!$B$14,)</f>
        <v>0</v>
      </c>
      <c r="I29" s="9" t="str">
        <f t="shared" si="0"/>
        <v>$</v>
      </c>
      <c r="J29" s="2"/>
      <c r="K29" s="78">
        <f>160000*50/100</f>
        <v>80000</v>
      </c>
      <c r="L29" s="78"/>
      <c r="M29" s="78"/>
      <c r="N29" s="78">
        <f>160000*50/100</f>
        <v>80000</v>
      </c>
      <c r="O29" s="78"/>
      <c r="P29" s="2"/>
      <c r="Q29" s="5">
        <f>IF($E29="Labour",$H29*K29,K29)</f>
        <v>80000</v>
      </c>
      <c r="R29" s="5">
        <f>IF($E29="Labour",$H29*L29,L29)</f>
        <v>0</v>
      </c>
      <c r="S29" s="5">
        <f>IF($E29="Labour",$H29*M29,M29)</f>
        <v>0</v>
      </c>
      <c r="T29" s="5">
        <f>IF($E29="Labour",$H29*N29,N29)</f>
        <v>80000</v>
      </c>
      <c r="U29" s="5">
        <f>IF($E29="Labour",$H29*O29,O29)</f>
        <v>0</v>
      </c>
      <c r="Z29"/>
    </row>
    <row r="30" spans="1:26" ht="12.75" customHeight="1" x14ac:dyDescent="0.25">
      <c r="A30" s="4"/>
      <c r="C30" s="76" t="s">
        <v>58</v>
      </c>
      <c r="D30" s="77" t="s">
        <v>50</v>
      </c>
      <c r="E30" s="77" t="s">
        <v>12</v>
      </c>
      <c r="F30" s="75" t="s">
        <v>51</v>
      </c>
      <c r="G30" s="2"/>
      <c r="H30" s="59">
        <f>IF($E30="Labour",Assumptions!$B$14,)</f>
        <v>0</v>
      </c>
      <c r="I30" s="9" t="str">
        <f t="shared" si="0"/>
        <v>$</v>
      </c>
      <c r="J30" s="2"/>
      <c r="K30" s="78"/>
      <c r="L30" s="78"/>
      <c r="M30" s="78"/>
      <c r="N30" s="78"/>
      <c r="O30" s="78"/>
      <c r="P30" s="2"/>
      <c r="Q30" s="5">
        <f>IF($E30="Labour",$H30*K30,K30)</f>
        <v>0</v>
      </c>
      <c r="R30" s="5">
        <f>IF($E30="Labour",$H30*L30,L30)</f>
        <v>0</v>
      </c>
      <c r="S30" s="5">
        <f>IF($E30="Labour",$H30*M30,M30)</f>
        <v>0</v>
      </c>
      <c r="T30" s="5">
        <f>IF($E30="Labour",$H30*N30,N30)</f>
        <v>0</v>
      </c>
      <c r="U30" s="5">
        <f>IF($E30="Labour",$H30*O30,O30)</f>
        <v>0</v>
      </c>
      <c r="Z30"/>
    </row>
    <row r="31" spans="1:26" ht="12.75" customHeight="1" x14ac:dyDescent="0.25">
      <c r="A31" s="4"/>
      <c r="C31" s="76" t="s">
        <v>59</v>
      </c>
      <c r="D31" s="77" t="s">
        <v>50</v>
      </c>
      <c r="E31" s="77" t="s">
        <v>10</v>
      </c>
      <c r="F31" s="75" t="s">
        <v>51</v>
      </c>
      <c r="G31" s="2"/>
      <c r="H31" s="59">
        <f>IF($E31="Labour",Assumptions!$B$14,)</f>
        <v>145.77740895836223</v>
      </c>
      <c r="I31" s="9" t="str">
        <f t="shared" si="0"/>
        <v>Hours</v>
      </c>
      <c r="J31" s="2"/>
      <c r="K31" s="78">
        <f>2640*63.2/100</f>
        <v>1668.48</v>
      </c>
      <c r="L31" s="78"/>
      <c r="M31" s="78"/>
      <c r="N31" s="78">
        <f>2640*63.2/100</f>
        <v>1668.48</v>
      </c>
      <c r="O31" s="78"/>
      <c r="P31" s="2"/>
      <c r="Q31" s="5">
        <f>IF($E31="Labour",$H31*K31,K31)</f>
        <v>243226.69129884822</v>
      </c>
      <c r="R31" s="5">
        <f>IF($E31="Labour",$H31*L31,L31)</f>
        <v>0</v>
      </c>
      <c r="S31" s="5">
        <f>IF($E31="Labour",$H31*M31,M31)</f>
        <v>0</v>
      </c>
      <c r="T31" s="5">
        <f>IF($E31="Labour",$H31*N31,N31)</f>
        <v>243226.69129884822</v>
      </c>
      <c r="U31" s="5">
        <f>IF($E31="Labour",$H31*O31,O31)</f>
        <v>0</v>
      </c>
      <c r="Z31"/>
    </row>
    <row r="32" spans="1:26" ht="12.75" customHeight="1" x14ac:dyDescent="0.25">
      <c r="A32" s="4"/>
      <c r="C32" s="76" t="s">
        <v>59</v>
      </c>
      <c r="D32" s="77" t="s">
        <v>50</v>
      </c>
      <c r="E32" s="77" t="s">
        <v>11</v>
      </c>
      <c r="F32" s="75" t="s">
        <v>51</v>
      </c>
      <c r="G32" s="2"/>
      <c r="H32" s="59">
        <f>IF($E32="Labour",Assumptions!$B$14,)</f>
        <v>0</v>
      </c>
      <c r="I32" s="9" t="str">
        <f t="shared" si="0"/>
        <v>$</v>
      </c>
      <c r="J32" s="2"/>
      <c r="K32" s="78">
        <f>30000*63.2/100</f>
        <v>18960</v>
      </c>
      <c r="L32" s="78"/>
      <c r="M32" s="78"/>
      <c r="N32" s="78">
        <f>30000*63.2/100</f>
        <v>18960</v>
      </c>
      <c r="O32" s="78"/>
      <c r="P32" s="2"/>
      <c r="Q32" s="5">
        <f>IF($E32="Labour",$H32*K32,K32)</f>
        <v>18960</v>
      </c>
      <c r="R32" s="5">
        <f>IF($E32="Labour",$H32*L32,L32)</f>
        <v>0</v>
      </c>
      <c r="S32" s="5">
        <f>IF($E32="Labour",$H32*M32,M32)</f>
        <v>0</v>
      </c>
      <c r="T32" s="5">
        <f>IF($E32="Labour",$H32*N32,N32)</f>
        <v>18960</v>
      </c>
      <c r="U32" s="5">
        <f>IF($E32="Labour",$H32*O32,O32)</f>
        <v>0</v>
      </c>
      <c r="Z32"/>
    </row>
    <row r="33" spans="1:26" ht="12.75" customHeight="1" x14ac:dyDescent="0.25">
      <c r="A33" s="4"/>
      <c r="C33" s="76" t="s">
        <v>59</v>
      </c>
      <c r="D33" s="77" t="s">
        <v>50</v>
      </c>
      <c r="E33" s="77" t="s">
        <v>12</v>
      </c>
      <c r="F33" s="75" t="s">
        <v>51</v>
      </c>
      <c r="G33" s="2"/>
      <c r="H33" s="59">
        <f>IF($E33="Labour",Assumptions!$B$14,)</f>
        <v>0</v>
      </c>
      <c r="I33" s="9" t="str">
        <f t="shared" si="0"/>
        <v>$</v>
      </c>
      <c r="J33" s="2"/>
      <c r="K33" s="78">
        <f>888000*63.2/100</f>
        <v>561216</v>
      </c>
      <c r="L33" s="78"/>
      <c r="M33" s="78"/>
      <c r="N33" s="78">
        <f>888000*63.2/100</f>
        <v>561216</v>
      </c>
      <c r="O33" s="78"/>
      <c r="P33" s="2"/>
      <c r="Q33" s="5">
        <f>IF($E33="Labour",$H33*K33,K33)</f>
        <v>561216</v>
      </c>
      <c r="R33" s="5">
        <f>IF($E33="Labour",$H33*L33,L33)</f>
        <v>0</v>
      </c>
      <c r="S33" s="5">
        <f>IF($E33="Labour",$H33*M33,M33)</f>
        <v>0</v>
      </c>
      <c r="T33" s="5">
        <f>IF($E33="Labour",$H33*N33,N33)</f>
        <v>561216</v>
      </c>
      <c r="U33" s="5">
        <f>IF($E33="Labour",$H33*O33,O33)</f>
        <v>0</v>
      </c>
      <c r="Z33"/>
    </row>
    <row r="34" spans="1:26" ht="12.75" customHeight="1" x14ac:dyDescent="0.25">
      <c r="A34" s="4"/>
      <c r="C34" s="76" t="s">
        <v>60</v>
      </c>
      <c r="D34" s="77" t="s">
        <v>50</v>
      </c>
      <c r="E34" s="77" t="s">
        <v>10</v>
      </c>
      <c r="F34" s="75" t="s">
        <v>51</v>
      </c>
      <c r="G34" s="2"/>
      <c r="H34" s="59">
        <f>IF($E34="Labour",Assumptions!$B$14,)</f>
        <v>145.77740895836223</v>
      </c>
      <c r="I34" s="9" t="str">
        <f t="shared" si="0"/>
        <v>Hours</v>
      </c>
      <c r="J34" s="2"/>
      <c r="K34" s="78">
        <f>76756/H34</f>
        <v>526.52877114809667</v>
      </c>
      <c r="L34" s="78"/>
      <c r="M34" s="78">
        <f>76756/H34</f>
        <v>526.52877114809667</v>
      </c>
      <c r="N34" s="78"/>
      <c r="O34" s="78">
        <f>76756/H34</f>
        <v>526.52877114809667</v>
      </c>
      <c r="P34" s="2"/>
      <c r="Q34" s="5">
        <f>IF($E34="Labour",$H34*K34,K34)</f>
        <v>76756</v>
      </c>
      <c r="R34" s="5">
        <f>IF($E34="Labour",$H34*L34,L34)</f>
        <v>0</v>
      </c>
      <c r="S34" s="5">
        <f>IF($E34="Labour",$H34*M34,M34)</f>
        <v>76756</v>
      </c>
      <c r="T34" s="5">
        <f>IF($E34="Labour",$H34*N34,N34)</f>
        <v>0</v>
      </c>
      <c r="U34" s="5">
        <f>IF($E34="Labour",$H34*O34,O34)</f>
        <v>76756</v>
      </c>
      <c r="Z34"/>
    </row>
    <row r="35" spans="1:26" ht="12.75" customHeight="1" x14ac:dyDescent="0.25">
      <c r="A35" s="4"/>
      <c r="C35" s="76" t="s">
        <v>60</v>
      </c>
      <c r="D35" s="77" t="s">
        <v>50</v>
      </c>
      <c r="E35" s="77" t="s">
        <v>11</v>
      </c>
      <c r="F35" s="75" t="s">
        <v>51</v>
      </c>
      <c r="G35" s="2"/>
      <c r="H35" s="59">
        <f>IF($E35="Labour",Assumptions!$B$14,)</f>
        <v>0</v>
      </c>
      <c r="I35" s="9" t="str">
        <f t="shared" si="0"/>
        <v>$</v>
      </c>
      <c r="J35" s="2"/>
      <c r="K35" s="78" t="s">
        <v>81</v>
      </c>
      <c r="L35" s="78"/>
      <c r="M35" s="78" t="s">
        <v>81</v>
      </c>
      <c r="N35" s="78"/>
      <c r="O35" s="78" t="s">
        <v>81</v>
      </c>
      <c r="P35" s="2"/>
      <c r="Q35" s="5" t="str">
        <f>IF($E35="Labour",$H35*K35,K35)</f>
        <v>-</v>
      </c>
      <c r="R35" s="5">
        <f>IF($E35="Labour",$H35*L35,L35)</f>
        <v>0</v>
      </c>
      <c r="S35" s="5" t="str">
        <f>IF($E35="Labour",$H35*M35,M35)</f>
        <v>-</v>
      </c>
      <c r="T35" s="5">
        <f>IF($E35="Labour",$H35*N35,N35)</f>
        <v>0</v>
      </c>
      <c r="U35" s="5" t="str">
        <f>IF($E35="Labour",$H35*O35,O35)</f>
        <v>-</v>
      </c>
      <c r="Z35"/>
    </row>
    <row r="36" spans="1:26" ht="12.75" customHeight="1" x14ac:dyDescent="0.25">
      <c r="A36" s="4"/>
      <c r="C36" s="76" t="s">
        <v>60</v>
      </c>
      <c r="D36" s="77" t="s">
        <v>50</v>
      </c>
      <c r="E36" s="77" t="s">
        <v>12</v>
      </c>
      <c r="F36" s="75" t="s">
        <v>51</v>
      </c>
      <c r="G36" s="2"/>
      <c r="H36" s="59">
        <f>IF($E36="Labour",Assumptions!$B$14,)</f>
        <v>0</v>
      </c>
      <c r="I36" s="9" t="str">
        <f t="shared" si="0"/>
        <v>$</v>
      </c>
      <c r="J36" s="2"/>
      <c r="K36" s="78">
        <v>41330</v>
      </c>
      <c r="L36" s="78"/>
      <c r="M36" s="78">
        <v>41330</v>
      </c>
      <c r="N36" s="78"/>
      <c r="O36" s="78">
        <v>41330</v>
      </c>
      <c r="P36" s="2"/>
      <c r="Q36" s="5">
        <f>IF($E36="Labour",$H36*K36,K36)</f>
        <v>41330</v>
      </c>
      <c r="R36" s="5">
        <f>IF($E36="Labour",$H36*L36,L36)</f>
        <v>0</v>
      </c>
      <c r="S36" s="5">
        <f>IF($E36="Labour",$H36*M36,M36)</f>
        <v>41330</v>
      </c>
      <c r="T36" s="5">
        <f>IF($E36="Labour",$H36*N36,N36)</f>
        <v>0</v>
      </c>
      <c r="U36" s="5">
        <f>IF($E36="Labour",$H36*O36,O36)</f>
        <v>41330</v>
      </c>
      <c r="Z36"/>
    </row>
    <row r="37" spans="1:26" ht="12.75" customHeight="1" x14ac:dyDescent="0.25">
      <c r="A37" s="4"/>
      <c r="C37" s="76" t="s">
        <v>61</v>
      </c>
      <c r="D37" s="77" t="s">
        <v>50</v>
      </c>
      <c r="E37" s="77" t="s">
        <v>10</v>
      </c>
      <c r="F37" s="75" t="s">
        <v>51</v>
      </c>
      <c r="G37" s="2"/>
      <c r="H37" s="59">
        <f>IF($E37="Labour",Assumptions!$B$14,)</f>
        <v>145.77740895836223</v>
      </c>
      <c r="I37" s="9" t="str">
        <f t="shared" si="0"/>
        <v>Hours</v>
      </c>
      <c r="J37" s="2"/>
      <c r="K37" s="78">
        <f>3000*100/100</f>
        <v>3000</v>
      </c>
      <c r="L37" s="78">
        <f>3000*100/100</f>
        <v>3000</v>
      </c>
      <c r="M37" s="78">
        <f>3000*100/100</f>
        <v>3000</v>
      </c>
      <c r="N37" s="78">
        <f>3000*100/100</f>
        <v>3000</v>
      </c>
      <c r="O37" s="78">
        <f>3000*100/100</f>
        <v>3000</v>
      </c>
      <c r="P37" s="2"/>
      <c r="Q37" s="5">
        <f>IF($E37="Labour",$H37*K37,K37)</f>
        <v>437332.22687508666</v>
      </c>
      <c r="R37" s="5">
        <f>IF($E37="Labour",$H37*L37,L37)</f>
        <v>437332.22687508666</v>
      </c>
      <c r="S37" s="5">
        <f>IF($E37="Labour",$H37*M37,M37)</f>
        <v>437332.22687508666</v>
      </c>
      <c r="T37" s="5">
        <f>IF($E37="Labour",$H37*N37,N37)</f>
        <v>437332.22687508666</v>
      </c>
      <c r="U37" s="5">
        <f>IF($E37="Labour",$H37*O37,O37)</f>
        <v>437332.22687508666</v>
      </c>
      <c r="Z37"/>
    </row>
    <row r="38" spans="1:26" ht="12.75" customHeight="1" x14ac:dyDescent="0.25">
      <c r="A38" s="4"/>
      <c r="C38" s="76" t="s">
        <v>61</v>
      </c>
      <c r="D38" s="77" t="s">
        <v>50</v>
      </c>
      <c r="E38" s="77" t="s">
        <v>11</v>
      </c>
      <c r="F38" s="75" t="s">
        <v>51</v>
      </c>
      <c r="G38" s="2"/>
      <c r="H38" s="59">
        <f>IF($E38="Labour",Assumptions!$B$14,)</f>
        <v>0</v>
      </c>
      <c r="I38" s="9" t="str">
        <f t="shared" si="0"/>
        <v>$</v>
      </c>
      <c r="J38" s="2"/>
      <c r="K38" s="78"/>
      <c r="L38" s="78"/>
      <c r="M38" s="78"/>
      <c r="N38" s="78"/>
      <c r="O38" s="78"/>
      <c r="P38" s="2"/>
      <c r="Q38" s="5">
        <f>IF($E38="Labour",$H38*K38,K38)</f>
        <v>0</v>
      </c>
      <c r="R38" s="5">
        <f>IF($E38="Labour",$H38*L38,L38)</f>
        <v>0</v>
      </c>
      <c r="S38" s="5">
        <f>IF($E38="Labour",$H38*M38,M38)</f>
        <v>0</v>
      </c>
      <c r="T38" s="5">
        <f>IF($E38="Labour",$H38*N38,N38)</f>
        <v>0</v>
      </c>
      <c r="U38" s="5">
        <f>IF($E38="Labour",$H38*O38,O38)</f>
        <v>0</v>
      </c>
      <c r="Z38"/>
    </row>
    <row r="39" spans="1:26" ht="12.75" customHeight="1" x14ac:dyDescent="0.25">
      <c r="A39" s="4"/>
      <c r="C39" s="76" t="s">
        <v>61</v>
      </c>
      <c r="D39" s="77" t="s">
        <v>50</v>
      </c>
      <c r="E39" s="77" t="s">
        <v>12</v>
      </c>
      <c r="F39" s="75" t="s">
        <v>51</v>
      </c>
      <c r="G39" s="2"/>
      <c r="H39" s="59">
        <f>IF($E39="Labour",Assumptions!$B$14,)</f>
        <v>0</v>
      </c>
      <c r="I39" s="9" t="str">
        <f t="shared" si="0"/>
        <v>$</v>
      </c>
      <c r="J39" s="2"/>
      <c r="K39" s="78">
        <f>756000*100/100</f>
        <v>756000</v>
      </c>
      <c r="L39" s="78">
        <f>756000*100/100</f>
        <v>756000</v>
      </c>
      <c r="M39" s="78">
        <f>756000*100/100</f>
        <v>756000</v>
      </c>
      <c r="N39" s="78">
        <f>756000*100/100</f>
        <v>756000</v>
      </c>
      <c r="O39" s="78">
        <f>756000*100/100</f>
        <v>756000</v>
      </c>
      <c r="P39" s="2"/>
      <c r="Q39" s="5">
        <f>IF($E39="Labour",$H39*K39,K39)</f>
        <v>756000</v>
      </c>
      <c r="R39" s="5">
        <f>IF($E39="Labour",$H39*L39,L39)</f>
        <v>756000</v>
      </c>
      <c r="S39" s="5">
        <f>IF($E39="Labour",$H39*M39,M39)</f>
        <v>756000</v>
      </c>
      <c r="T39" s="5">
        <f>IF($E39="Labour",$H39*N39,N39)</f>
        <v>756000</v>
      </c>
      <c r="U39" s="5">
        <f>IF($E39="Labour",$H39*O39,O39)</f>
        <v>756000</v>
      </c>
      <c r="Z39"/>
    </row>
    <row r="40" spans="1:26" ht="12.75" customHeight="1" x14ac:dyDescent="0.25">
      <c r="A40" s="4"/>
      <c r="C40" s="76" t="s">
        <v>62</v>
      </c>
      <c r="D40" s="77" t="s">
        <v>50</v>
      </c>
      <c r="E40" s="77" t="s">
        <v>10</v>
      </c>
      <c r="F40" s="75" t="s">
        <v>51</v>
      </c>
      <c r="G40" s="2"/>
      <c r="H40" s="59">
        <f>IF($E40="Labour",Assumptions!$B$14,)</f>
        <v>145.77740895836223</v>
      </c>
      <c r="I40" s="9" t="str">
        <f t="shared" si="0"/>
        <v>Hours</v>
      </c>
      <c r="J40" s="2"/>
      <c r="K40" s="78">
        <f>660*63.2/100</f>
        <v>417.12</v>
      </c>
      <c r="L40" s="78">
        <f>660*63.2/100</f>
        <v>417.12</v>
      </c>
      <c r="M40" s="78">
        <f>660*63.2/100</f>
        <v>417.12</v>
      </c>
      <c r="N40" s="78">
        <f>660*63.2/100</f>
        <v>417.12</v>
      </c>
      <c r="O40" s="78">
        <f>660*63.2/100</f>
        <v>417.12</v>
      </c>
      <c r="P40" s="2"/>
      <c r="Q40" s="5">
        <f>IF($E40="Labour",$H40*K40,K40)</f>
        <v>60806.672824712055</v>
      </c>
      <c r="R40" s="5">
        <f>IF($E40="Labour",$H40*L40,L40)</f>
        <v>60806.672824712055</v>
      </c>
      <c r="S40" s="5">
        <f>IF($E40="Labour",$H40*M40,M40)</f>
        <v>60806.672824712055</v>
      </c>
      <c r="T40" s="5">
        <f>IF($E40="Labour",$H40*N40,N40)</f>
        <v>60806.672824712055</v>
      </c>
      <c r="U40" s="5">
        <f>IF($E40="Labour",$H40*O40,O40)</f>
        <v>60806.672824712055</v>
      </c>
      <c r="Z40"/>
    </row>
    <row r="41" spans="1:26" ht="12.75" customHeight="1" x14ac:dyDescent="0.25">
      <c r="A41" s="4"/>
      <c r="C41" s="76" t="s">
        <v>62</v>
      </c>
      <c r="D41" s="77" t="s">
        <v>50</v>
      </c>
      <c r="E41" s="77" t="s">
        <v>11</v>
      </c>
      <c r="F41" s="75" t="s">
        <v>51</v>
      </c>
      <c r="G41" s="2"/>
      <c r="H41" s="59">
        <f>IF($E41="Labour",Assumptions!$B$14,)</f>
        <v>0</v>
      </c>
      <c r="I41" s="9" t="str">
        <f t="shared" si="0"/>
        <v>$</v>
      </c>
      <c r="J41" s="2"/>
      <c r="K41" s="78"/>
      <c r="L41" s="78"/>
      <c r="M41" s="78"/>
      <c r="N41" s="78"/>
      <c r="O41" s="78"/>
      <c r="P41" s="2"/>
      <c r="Q41" s="5">
        <f>IF($E41="Labour",$H41*K41,K41)</f>
        <v>0</v>
      </c>
      <c r="R41" s="5">
        <f>IF($E41="Labour",$H41*L41,L41)</f>
        <v>0</v>
      </c>
      <c r="S41" s="5">
        <f>IF($E41="Labour",$H41*M41,M41)</f>
        <v>0</v>
      </c>
      <c r="T41" s="5">
        <f>IF($E41="Labour",$H41*N41,N41)</f>
        <v>0</v>
      </c>
      <c r="U41" s="5">
        <f>IF($E41="Labour",$H41*O41,O41)</f>
        <v>0</v>
      </c>
      <c r="Z41"/>
    </row>
    <row r="42" spans="1:26" ht="12.75" customHeight="1" x14ac:dyDescent="0.25">
      <c r="A42" s="4"/>
      <c r="C42" s="76" t="s">
        <v>62</v>
      </c>
      <c r="D42" s="77" t="s">
        <v>50</v>
      </c>
      <c r="E42" s="77" t="s">
        <v>12</v>
      </c>
      <c r="F42" s="75" t="s">
        <v>51</v>
      </c>
      <c r="G42" s="2"/>
      <c r="H42" s="59">
        <f>IF($E42="Labour",Assumptions!$B$14,)</f>
        <v>0</v>
      </c>
      <c r="I42" s="9" t="str">
        <f t="shared" si="0"/>
        <v>$</v>
      </c>
      <c r="J42" s="2"/>
      <c r="K42" s="78">
        <f>24000*63.2/100</f>
        <v>15168</v>
      </c>
      <c r="L42" s="78">
        <f>24000*63.2/100</f>
        <v>15168</v>
      </c>
      <c r="M42" s="78">
        <f>24000*63.2/100</f>
        <v>15168</v>
      </c>
      <c r="N42" s="78">
        <f>24000*63.2/100</f>
        <v>15168</v>
      </c>
      <c r="O42" s="78">
        <f>24000*63.2/100</f>
        <v>15168</v>
      </c>
      <c r="P42" s="2"/>
      <c r="Q42" s="5">
        <f>IF($E42="Labour",$H42*K42,K42)</f>
        <v>15168</v>
      </c>
      <c r="R42" s="5">
        <f>IF($E42="Labour",$H42*L42,L42)</f>
        <v>15168</v>
      </c>
      <c r="S42" s="5">
        <f>IF($E42="Labour",$H42*M42,M42)</f>
        <v>15168</v>
      </c>
      <c r="T42" s="5">
        <f>IF($E42="Labour",$H42*N42,N42)</f>
        <v>15168</v>
      </c>
      <c r="U42" s="5">
        <f>IF($E42="Labour",$H42*O42,O42)</f>
        <v>15168</v>
      </c>
      <c r="Z42"/>
    </row>
    <row r="43" spans="1:26" ht="12.75" customHeight="1" x14ac:dyDescent="0.25">
      <c r="A43" s="4"/>
      <c r="C43" s="76" t="s">
        <v>109</v>
      </c>
      <c r="D43" s="77" t="s">
        <v>50</v>
      </c>
      <c r="E43" s="77" t="s">
        <v>10</v>
      </c>
      <c r="F43" s="75" t="s">
        <v>47</v>
      </c>
      <c r="G43" s="2"/>
      <c r="H43" s="59">
        <f>IF($E43="Labour",Assumptions!$B$14,)</f>
        <v>145.77740895836223</v>
      </c>
      <c r="I43" s="9" t="str">
        <f t="shared" si="0"/>
        <v>Hours</v>
      </c>
      <c r="J43" s="2"/>
      <c r="K43" s="78">
        <v>55</v>
      </c>
      <c r="L43" s="78"/>
      <c r="M43" s="78"/>
      <c r="N43" s="78"/>
      <c r="O43" s="78"/>
      <c r="P43" s="2"/>
      <c r="Q43" s="5">
        <f>IF($E43="Labour",$H43*K43,K43)</f>
        <v>8017.7574927099231</v>
      </c>
      <c r="R43" s="5">
        <f>IF($E43="Labour",$H43*L43,L43)</f>
        <v>0</v>
      </c>
      <c r="S43" s="5">
        <f>IF($E43="Labour",$H43*M43,M43)</f>
        <v>0</v>
      </c>
      <c r="T43" s="5">
        <f>IF($E43="Labour",$H43*N43,N43)</f>
        <v>0</v>
      </c>
      <c r="U43" s="5">
        <f>IF($E43="Labour",$H43*O43,O43)</f>
        <v>0</v>
      </c>
      <c r="Z43"/>
    </row>
    <row r="44" spans="1:26" ht="12.75" customHeight="1" x14ac:dyDescent="0.25">
      <c r="A44" s="4"/>
      <c r="C44" s="76" t="s">
        <v>110</v>
      </c>
      <c r="D44" s="77" t="s">
        <v>50</v>
      </c>
      <c r="E44" s="77" t="s">
        <v>10</v>
      </c>
      <c r="F44" s="75" t="s">
        <v>47</v>
      </c>
      <c r="G44" s="2"/>
      <c r="H44" s="59">
        <f>IF($E44="Labour",Assumptions!$B$14,)</f>
        <v>145.77740895836223</v>
      </c>
      <c r="I44" s="9" t="str">
        <f t="shared" si="0"/>
        <v>Hours</v>
      </c>
      <c r="J44" s="2"/>
      <c r="K44" s="78">
        <v>110</v>
      </c>
      <c r="L44" s="78"/>
      <c r="M44" s="78"/>
      <c r="N44" s="78"/>
      <c r="O44" s="78"/>
      <c r="P44" s="2"/>
      <c r="Q44" s="5">
        <f>IF($E44="Labour",$H44*K44,K44)</f>
        <v>16035.514985419846</v>
      </c>
      <c r="R44" s="5">
        <f>IF($E44="Labour",$H44*L44,L44)</f>
        <v>0</v>
      </c>
      <c r="S44" s="5">
        <f>IF($E44="Labour",$H44*M44,M44)</f>
        <v>0</v>
      </c>
      <c r="T44" s="5">
        <f>IF($E44="Labour",$H44*N44,N44)</f>
        <v>0</v>
      </c>
      <c r="U44" s="5">
        <f>IF($E44="Labour",$H44*O44,O44)</f>
        <v>0</v>
      </c>
      <c r="Z44"/>
    </row>
    <row r="45" spans="1:26" ht="12.75" customHeight="1" x14ac:dyDescent="0.25">
      <c r="A45" s="4"/>
      <c r="C45" s="76" t="s">
        <v>111</v>
      </c>
      <c r="D45" s="77" t="s">
        <v>50</v>
      </c>
      <c r="E45" s="77" t="s">
        <v>10</v>
      </c>
      <c r="F45" s="75" t="s">
        <v>47</v>
      </c>
      <c r="G45" s="2"/>
      <c r="H45" s="59">
        <f>IF($E45="Labour",Assumptions!$B$14,)</f>
        <v>145.77740895836223</v>
      </c>
      <c r="I45" s="9" t="str">
        <f t="shared" si="0"/>
        <v>Hours</v>
      </c>
      <c r="J45" s="2"/>
      <c r="K45" s="78"/>
      <c r="L45" s="78">
        <v>1840</v>
      </c>
      <c r="M45" s="78"/>
      <c r="N45" s="78"/>
      <c r="O45" s="78"/>
      <c r="P45" s="2"/>
      <c r="Q45" s="5">
        <f>IF($E45="Labour",$H45*K45,K45)</f>
        <v>0</v>
      </c>
      <c r="R45" s="5">
        <f>IF($E45="Labour",$H45*L45,L45)</f>
        <v>268230.43248338648</v>
      </c>
      <c r="S45" s="5">
        <f>IF($E45="Labour",$H45*M45,M45)</f>
        <v>0</v>
      </c>
      <c r="T45" s="5">
        <f>IF($E45="Labour",$H45*N45,N45)</f>
        <v>0</v>
      </c>
      <c r="U45" s="5">
        <f>IF($E45="Labour",$H45*O45,O45)</f>
        <v>0</v>
      </c>
      <c r="Z45"/>
    </row>
    <row r="46" spans="1:26" ht="12.75" customHeight="1" x14ac:dyDescent="0.25">
      <c r="A46" s="4"/>
      <c r="C46" s="76" t="s">
        <v>112</v>
      </c>
      <c r="D46" s="77" t="s">
        <v>50</v>
      </c>
      <c r="E46" s="77" t="s">
        <v>10</v>
      </c>
      <c r="F46" s="75" t="s">
        <v>51</v>
      </c>
      <c r="G46" s="2"/>
      <c r="H46" s="59">
        <f>IF($E46="Labour",Assumptions!$B$14,)</f>
        <v>145.77740895836223</v>
      </c>
      <c r="I46" s="9" t="str">
        <f t="shared" si="0"/>
        <v>Hours</v>
      </c>
      <c r="J46" s="2"/>
      <c r="K46" s="78"/>
      <c r="L46" s="78"/>
      <c r="M46" s="78"/>
      <c r="N46" s="78"/>
      <c r="O46" s="78">
        <v>442</v>
      </c>
      <c r="P46" s="2"/>
      <c r="Q46" s="5">
        <f>IF($E46="Labour",$H46*K46,K46)</f>
        <v>0</v>
      </c>
      <c r="R46" s="5">
        <f>IF($E46="Labour",$H46*L46,L46)</f>
        <v>0</v>
      </c>
      <c r="S46" s="5">
        <f>IF($E46="Labour",$H46*M46,M46)</f>
        <v>0</v>
      </c>
      <c r="T46" s="5">
        <f>IF($E46="Labour",$H46*N46,N46)</f>
        <v>0</v>
      </c>
      <c r="U46" s="5">
        <f>IF($E46="Labour",$H46*O46,O46)</f>
        <v>64433.614759596108</v>
      </c>
      <c r="Z46"/>
    </row>
    <row r="47" spans="1:26" ht="12.75" customHeight="1" x14ac:dyDescent="0.25">
      <c r="A47" s="4"/>
      <c r="C47" s="76" t="s">
        <v>83</v>
      </c>
      <c r="D47" s="77" t="s">
        <v>50</v>
      </c>
      <c r="E47" s="77" t="s">
        <v>10</v>
      </c>
      <c r="F47" s="75" t="s">
        <v>51</v>
      </c>
      <c r="G47" s="2"/>
      <c r="H47" s="59">
        <f>IF($E47="Labour",Assumptions!$B$14,)</f>
        <v>145.77740895836223</v>
      </c>
      <c r="I47" s="9" t="str">
        <f t="shared" si="0"/>
        <v>Hours</v>
      </c>
      <c r="J47" s="2"/>
      <c r="K47" s="78"/>
      <c r="L47" s="78">
        <v>1472</v>
      </c>
      <c r="M47" s="78">
        <v>5476</v>
      </c>
      <c r="N47" s="78"/>
      <c r="O47" s="78"/>
      <c r="P47" s="2"/>
      <c r="Q47" s="5">
        <f>IF($E47="Labour",$H47*K47,K47)</f>
        <v>0</v>
      </c>
      <c r="R47" s="5">
        <f>IF($E47="Labour",$H47*L47,L47)</f>
        <v>214584.3459867092</v>
      </c>
      <c r="S47" s="5">
        <f>IF($E47="Labour",$H47*M47,M47)</f>
        <v>798277.09145599161</v>
      </c>
      <c r="T47" s="5">
        <f>IF($E47="Labour",$H47*N47,N47)</f>
        <v>0</v>
      </c>
      <c r="U47" s="5">
        <f>IF($E47="Labour",$H47*O47,O47)</f>
        <v>0</v>
      </c>
      <c r="Z47"/>
    </row>
    <row r="48" spans="1:26" ht="12.75" customHeight="1" x14ac:dyDescent="0.25">
      <c r="A48" s="4"/>
      <c r="C48" s="76" t="s">
        <v>84</v>
      </c>
      <c r="D48" s="77" t="s">
        <v>50</v>
      </c>
      <c r="E48" s="77" t="s">
        <v>10</v>
      </c>
      <c r="F48" s="75" t="s">
        <v>51</v>
      </c>
      <c r="G48" s="2"/>
      <c r="H48" s="59">
        <f>IF($E48="Labour",Assumptions!$B$14,)</f>
        <v>145.77740895836223</v>
      </c>
      <c r="I48" s="9" t="str">
        <f t="shared" si="0"/>
        <v>Hours</v>
      </c>
      <c r="J48" s="2"/>
      <c r="K48" s="78"/>
      <c r="L48" s="78"/>
      <c r="M48" s="78">
        <v>736</v>
      </c>
      <c r="N48" s="78"/>
      <c r="O48" s="78"/>
      <c r="P48" s="2"/>
      <c r="Q48" s="5">
        <f>IF($E48="Labour",$H48*K48,K48)</f>
        <v>0</v>
      </c>
      <c r="R48" s="5">
        <f>IF($E48="Labour",$H48*L48,L48)</f>
        <v>0</v>
      </c>
      <c r="S48" s="5">
        <f>IF($E48="Labour",$H48*M48,M48)</f>
        <v>107292.1729933546</v>
      </c>
      <c r="T48" s="5">
        <f>IF($E48="Labour",$H48*N48,N48)</f>
        <v>0</v>
      </c>
      <c r="U48" s="5">
        <f>IF($E48="Labour",$H48*O48,O48)</f>
        <v>0</v>
      </c>
      <c r="Z48"/>
    </row>
    <row r="49" spans="1:26" ht="12.75" customHeight="1" x14ac:dyDescent="0.25">
      <c r="A49" s="4"/>
      <c r="C49" s="76" t="s">
        <v>85</v>
      </c>
      <c r="D49" s="77" t="s">
        <v>50</v>
      </c>
      <c r="E49" s="77" t="s">
        <v>10</v>
      </c>
      <c r="F49" s="75" t="s">
        <v>51</v>
      </c>
      <c r="G49" s="2"/>
      <c r="H49" s="59">
        <f>IF($E49="Labour",Assumptions!$B$14,)</f>
        <v>145.77740895836223</v>
      </c>
      <c r="I49" s="9" t="str">
        <f t="shared" si="0"/>
        <v>Hours</v>
      </c>
      <c r="J49" s="2"/>
      <c r="K49" s="78"/>
      <c r="L49" s="78"/>
      <c r="M49" s="78"/>
      <c r="N49" s="78">
        <f>31500/$H49</f>
        <v>216.08286376524367</v>
      </c>
      <c r="O49" s="78">
        <f>31500/$H49</f>
        <v>216.08286376524367</v>
      </c>
      <c r="P49" s="2"/>
      <c r="Q49" s="5">
        <f>IF($E49="Labour",$H49*K49,K49)</f>
        <v>0</v>
      </c>
      <c r="R49" s="5">
        <f>IF($E49="Labour",$H49*L49,L49)</f>
        <v>0</v>
      </c>
      <c r="S49" s="5">
        <f>IF($E49="Labour",$H49*M49,M49)</f>
        <v>0</v>
      </c>
      <c r="T49" s="5">
        <f>IF($E49="Labour",$H49*N49,N49)</f>
        <v>31500</v>
      </c>
      <c r="U49" s="5">
        <f>IF($E49="Labour",$H49*O49,O49)</f>
        <v>31500</v>
      </c>
      <c r="Z49"/>
    </row>
    <row r="50" spans="1:26" ht="12.75" customHeight="1" x14ac:dyDescent="0.25">
      <c r="A50" s="4"/>
      <c r="C50" s="76" t="s">
        <v>86</v>
      </c>
      <c r="D50" s="77" t="s">
        <v>50</v>
      </c>
      <c r="E50" s="77" t="s">
        <v>10</v>
      </c>
      <c r="F50" s="75" t="s">
        <v>51</v>
      </c>
      <c r="G50" s="2"/>
      <c r="H50" s="59">
        <f>IF($E50="Labour",Assumptions!$B$14,)</f>
        <v>145.77740895836223</v>
      </c>
      <c r="I50" s="9" t="str">
        <f t="shared" si="0"/>
        <v>Hours</v>
      </c>
      <c r="J50" s="2"/>
      <c r="K50" s="78"/>
      <c r="L50" s="78"/>
      <c r="M50" s="78"/>
      <c r="N50" s="78">
        <f>63000/$H50</f>
        <v>432.16572753048735</v>
      </c>
      <c r="O50" s="78">
        <f>63000/$H50</f>
        <v>432.16572753048735</v>
      </c>
      <c r="P50" s="2"/>
      <c r="Q50" s="5">
        <f>IF($E50="Labour",$H50*K50,K50)</f>
        <v>0</v>
      </c>
      <c r="R50" s="5">
        <f>IF($E50="Labour",$H50*L50,L50)</f>
        <v>0</v>
      </c>
      <c r="S50" s="5">
        <f>IF($E50="Labour",$H50*M50,M50)</f>
        <v>0</v>
      </c>
      <c r="T50" s="5">
        <f>IF($E50="Labour",$H50*N50,N50)</f>
        <v>63000</v>
      </c>
      <c r="U50" s="5">
        <f>IF($E50="Labour",$H50*O50,O50)</f>
        <v>63000</v>
      </c>
      <c r="Z50"/>
    </row>
    <row r="51" spans="1:26" ht="12.75" customHeight="1" x14ac:dyDescent="0.25">
      <c r="A51" s="4"/>
      <c r="C51" s="76" t="s">
        <v>87</v>
      </c>
      <c r="D51" s="77" t="s">
        <v>50</v>
      </c>
      <c r="E51" s="77" t="s">
        <v>10</v>
      </c>
      <c r="F51" s="75" t="s">
        <v>51</v>
      </c>
      <c r="G51" s="2"/>
      <c r="H51" s="59">
        <f>IF($E51="Labour",Assumptions!$B$14,)</f>
        <v>145.77740895836223</v>
      </c>
      <c r="I51" s="9" t="str">
        <f t="shared" si="0"/>
        <v>Hours</v>
      </c>
      <c r="J51" s="2"/>
      <c r="K51" s="78"/>
      <c r="L51" s="78"/>
      <c r="M51" s="78"/>
      <c r="N51" s="78">
        <f>122500/$H51</f>
        <v>840.32224797594768</v>
      </c>
      <c r="O51" s="78">
        <f>122500/$H51</f>
        <v>840.32224797594768</v>
      </c>
      <c r="P51" s="2"/>
      <c r="Q51" s="5">
        <f>IF($E51="Labour",$H51*K51,K51)</f>
        <v>0</v>
      </c>
      <c r="R51" s="5">
        <f>IF($E51="Labour",$H51*L51,L51)</f>
        <v>0</v>
      </c>
      <c r="S51" s="5">
        <f>IF($E51="Labour",$H51*M51,M51)</f>
        <v>0</v>
      </c>
      <c r="T51" s="5">
        <f>IF($E51="Labour",$H51*N51,N51)</f>
        <v>122500</v>
      </c>
      <c r="U51" s="5">
        <f>IF($E51="Labour",$H51*O51,O51)</f>
        <v>122500</v>
      </c>
      <c r="Z51"/>
    </row>
    <row r="52" spans="1:26" ht="12.75" customHeight="1" x14ac:dyDescent="0.25">
      <c r="A52" s="4"/>
      <c r="C52" s="76" t="s">
        <v>88</v>
      </c>
      <c r="D52" s="77" t="s">
        <v>50</v>
      </c>
      <c r="E52" s="77" t="s">
        <v>10</v>
      </c>
      <c r="F52" s="75" t="s">
        <v>51</v>
      </c>
      <c r="G52" s="2"/>
      <c r="H52" s="59">
        <f>IF($E52="Labour",Assumptions!$B$14,)</f>
        <v>145.77740895836223</v>
      </c>
      <c r="I52" s="9" t="str">
        <f t="shared" si="0"/>
        <v>Hours</v>
      </c>
      <c r="J52" s="2"/>
      <c r="K52" s="78"/>
      <c r="L52" s="78"/>
      <c r="M52" s="78"/>
      <c r="N52" s="78">
        <f>77000/$H52</f>
        <v>528.20255587059569</v>
      </c>
      <c r="O52" s="78">
        <f>77000/$H52</f>
        <v>528.20255587059569</v>
      </c>
      <c r="P52" s="2"/>
      <c r="Q52" s="5">
        <f>IF($E52="Labour",$H52*K52,K52)</f>
        <v>0</v>
      </c>
      <c r="R52" s="5">
        <f>IF($E52="Labour",$H52*L52,L52)</f>
        <v>0</v>
      </c>
      <c r="S52" s="5">
        <f>IF($E52="Labour",$H52*M52,M52)</f>
        <v>0</v>
      </c>
      <c r="T52" s="5">
        <f>IF($E52="Labour",$H52*N52,N52)</f>
        <v>77000</v>
      </c>
      <c r="U52" s="5">
        <f>IF($E52="Labour",$H52*O52,O52)</f>
        <v>77000</v>
      </c>
      <c r="Z52"/>
    </row>
    <row r="53" spans="1:26" ht="12.75" customHeight="1" x14ac:dyDescent="0.25">
      <c r="A53" s="4"/>
      <c r="C53" s="76" t="s">
        <v>89</v>
      </c>
      <c r="D53" s="77" t="s">
        <v>50</v>
      </c>
      <c r="E53" s="77" t="s">
        <v>10</v>
      </c>
      <c r="F53" s="75" t="s">
        <v>51</v>
      </c>
      <c r="G53" s="2"/>
      <c r="H53" s="59">
        <f>IF($E53="Labour",Assumptions!$B$14,)</f>
        <v>145.77740895836223</v>
      </c>
      <c r="I53" s="9" t="str">
        <f t="shared" si="0"/>
        <v>Hours</v>
      </c>
      <c r="J53" s="2"/>
      <c r="K53" s="78"/>
      <c r="L53" s="78"/>
      <c r="M53" s="78"/>
      <c r="N53" s="78">
        <f>28000/$H53</f>
        <v>192.0736566802166</v>
      </c>
      <c r="O53" s="78">
        <f>28000/$H53</f>
        <v>192.0736566802166</v>
      </c>
      <c r="P53" s="2"/>
      <c r="Q53" s="5">
        <f>IF($E53="Labour",$H53*K53,K53)</f>
        <v>0</v>
      </c>
      <c r="R53" s="5">
        <f>IF($E53="Labour",$H53*L53,L53)</f>
        <v>0</v>
      </c>
      <c r="S53" s="5">
        <f>IF($E53="Labour",$H53*M53,M53)</f>
        <v>0</v>
      </c>
      <c r="T53" s="5">
        <f>IF($E53="Labour",$H53*N53,N53)</f>
        <v>28000</v>
      </c>
      <c r="U53" s="5">
        <f>IF($E53="Labour",$H53*O53,O53)</f>
        <v>28000</v>
      </c>
      <c r="Z53"/>
    </row>
    <row r="54" spans="1:26" ht="12.75" customHeight="1" x14ac:dyDescent="0.25">
      <c r="A54" s="4"/>
      <c r="C54" s="76" t="s">
        <v>90</v>
      </c>
      <c r="D54" s="77" t="s">
        <v>50</v>
      </c>
      <c r="E54" s="77" t="s">
        <v>10</v>
      </c>
      <c r="F54" s="75" t="s">
        <v>51</v>
      </c>
      <c r="G54" s="2"/>
      <c r="H54" s="59">
        <f>IF($E54="Labour",Assumptions!$B$14,)</f>
        <v>145.77740895836223</v>
      </c>
      <c r="I54" s="9" t="str">
        <f t="shared" si="0"/>
        <v>Hours</v>
      </c>
      <c r="J54" s="2"/>
      <c r="K54" s="78"/>
      <c r="L54" s="78"/>
      <c r="M54" s="78"/>
      <c r="N54" s="78">
        <f>28000/$H54</f>
        <v>192.0736566802166</v>
      </c>
      <c r="O54" s="78">
        <f>28000/$H54</f>
        <v>192.0736566802166</v>
      </c>
      <c r="P54" s="2"/>
      <c r="Q54" s="5">
        <f>IF($E54="Labour",$H54*K54,K54)</f>
        <v>0</v>
      </c>
      <c r="R54" s="5">
        <f>IF($E54="Labour",$H54*L54,L54)</f>
        <v>0</v>
      </c>
      <c r="S54" s="5">
        <f>IF($E54="Labour",$H54*M54,M54)</f>
        <v>0</v>
      </c>
      <c r="T54" s="5">
        <f>IF($E54="Labour",$H54*N54,N54)</f>
        <v>28000</v>
      </c>
      <c r="U54" s="5">
        <f>IF($E54="Labour",$H54*O54,O54)</f>
        <v>28000</v>
      </c>
      <c r="Z54"/>
    </row>
    <row r="55" spans="1:26" ht="12.75" customHeight="1" x14ac:dyDescent="0.25">
      <c r="A55" s="4"/>
      <c r="C55" s="76" t="s">
        <v>91</v>
      </c>
      <c r="D55" s="77" t="s">
        <v>50</v>
      </c>
      <c r="E55" s="77" t="s">
        <v>10</v>
      </c>
      <c r="F55" s="75" t="s">
        <v>51</v>
      </c>
      <c r="G55" s="2"/>
      <c r="H55" s="59">
        <f>IF($E55="Labour",Assumptions!$B$14,)</f>
        <v>145.77740895836223</v>
      </c>
      <c r="I55" s="9" t="str">
        <f t="shared" si="0"/>
        <v>Hours</v>
      </c>
      <c r="J55" s="2"/>
      <c r="K55" s="78">
        <f>18000/$H55</f>
        <v>123.47592215156781</v>
      </c>
      <c r="L55" s="78"/>
      <c r="M55" s="78"/>
      <c r="N55" s="78"/>
      <c r="O55" s="78"/>
      <c r="P55" s="2"/>
      <c r="Q55" s="5">
        <f>IF($E55="Labour",$H55*K55,K55)</f>
        <v>18000</v>
      </c>
      <c r="R55" s="5">
        <f>IF($E55="Labour",$H55*L55,L55)</f>
        <v>0</v>
      </c>
      <c r="S55" s="5">
        <f>IF($E55="Labour",$H55*M55,M55)</f>
        <v>0</v>
      </c>
      <c r="T55" s="5">
        <f>IF($E55="Labour",$H55*N55,N55)</f>
        <v>0</v>
      </c>
      <c r="U55" s="5">
        <f>IF($E55="Labour",$H55*O55,O55)</f>
        <v>0</v>
      </c>
      <c r="Z55"/>
    </row>
    <row r="56" spans="1:26" ht="12.75" customHeight="1" x14ac:dyDescent="0.25">
      <c r="A56" s="4"/>
      <c r="C56" s="76" t="s">
        <v>92</v>
      </c>
      <c r="D56" s="77" t="s">
        <v>50</v>
      </c>
      <c r="E56" s="77" t="s">
        <v>10</v>
      </c>
      <c r="F56" s="75" t="s">
        <v>51</v>
      </c>
      <c r="G56" s="2"/>
      <c r="H56" s="59">
        <f>IF($E56="Labour",Assumptions!$B$14,)</f>
        <v>145.77740895836223</v>
      </c>
      <c r="I56" s="9" t="str">
        <f t="shared" si="0"/>
        <v>Hours</v>
      </c>
      <c r="J56" s="2"/>
      <c r="K56" s="78">
        <f>36000/$H56</f>
        <v>246.95184430313563</v>
      </c>
      <c r="L56" s="78"/>
      <c r="M56" s="78"/>
      <c r="N56" s="78"/>
      <c r="O56" s="78"/>
      <c r="P56" s="2"/>
      <c r="Q56" s="5">
        <f>IF($E56="Labour",$H56*K56,K56)</f>
        <v>36000</v>
      </c>
      <c r="R56" s="5">
        <f>IF($E56="Labour",$H56*L56,L56)</f>
        <v>0</v>
      </c>
      <c r="S56" s="5">
        <f>IF($E56="Labour",$H56*M56,M56)</f>
        <v>0</v>
      </c>
      <c r="T56" s="5">
        <f>IF($E56="Labour",$H56*N56,N56)</f>
        <v>0</v>
      </c>
      <c r="U56" s="5">
        <f>IF($E56="Labour",$H56*O56,O56)</f>
        <v>0</v>
      </c>
      <c r="Z56"/>
    </row>
    <row r="57" spans="1:26" ht="12.75" customHeight="1" x14ac:dyDescent="0.25">
      <c r="A57" s="4"/>
      <c r="C57" s="76" t="s">
        <v>93</v>
      </c>
      <c r="D57" s="77" t="s">
        <v>50</v>
      </c>
      <c r="E57" s="77" t="s">
        <v>10</v>
      </c>
      <c r="F57" s="75" t="s">
        <v>51</v>
      </c>
      <c r="G57" s="2"/>
      <c r="H57" s="59">
        <f>IF($E57="Labour",Assumptions!$B$14,)</f>
        <v>145.77740895836223</v>
      </c>
      <c r="I57" s="9" t="str">
        <f t="shared" si="0"/>
        <v>Hours</v>
      </c>
      <c r="J57" s="2"/>
      <c r="K57" s="78">
        <f>70000/$H57</f>
        <v>480.18414170054155</v>
      </c>
      <c r="L57" s="78"/>
      <c r="M57" s="78"/>
      <c r="N57" s="78"/>
      <c r="O57" s="78"/>
      <c r="P57" s="2"/>
      <c r="Q57" s="5">
        <f>IF($E57="Labour",$H57*K57,K57)</f>
        <v>70000</v>
      </c>
      <c r="R57" s="5">
        <f>IF($E57="Labour",$H57*L57,L57)</f>
        <v>0</v>
      </c>
      <c r="S57" s="5">
        <f>IF($E57="Labour",$H57*M57,M57)</f>
        <v>0</v>
      </c>
      <c r="T57" s="5">
        <f>IF($E57="Labour",$H57*N57,N57)</f>
        <v>0</v>
      </c>
      <c r="U57" s="5">
        <f>IF($E57="Labour",$H57*O57,O57)</f>
        <v>0</v>
      </c>
      <c r="Z57"/>
    </row>
    <row r="58" spans="1:26" ht="12.75" customHeight="1" x14ac:dyDescent="0.25">
      <c r="A58" s="4"/>
      <c r="C58" s="76" t="s">
        <v>94</v>
      </c>
      <c r="D58" s="77" t="s">
        <v>50</v>
      </c>
      <c r="E58" s="77" t="s">
        <v>10</v>
      </c>
      <c r="F58" s="75" t="s">
        <v>51</v>
      </c>
      <c r="G58" s="2"/>
      <c r="H58" s="59">
        <f>IF($E58="Labour",Assumptions!$B$14,)</f>
        <v>145.77740895836223</v>
      </c>
      <c r="I58" s="9" t="str">
        <f t="shared" si="0"/>
        <v>Hours</v>
      </c>
      <c r="J58" s="2"/>
      <c r="K58" s="78">
        <f>44000/$H58</f>
        <v>301.83003192605469</v>
      </c>
      <c r="L58" s="78"/>
      <c r="M58" s="78"/>
      <c r="N58" s="78"/>
      <c r="O58" s="78"/>
      <c r="P58" s="2"/>
      <c r="Q58" s="5">
        <f>IF($E58="Labour",$H58*K58,K58)</f>
        <v>44000</v>
      </c>
      <c r="R58" s="5">
        <f>IF($E58="Labour",$H58*L58,L58)</f>
        <v>0</v>
      </c>
      <c r="S58" s="5">
        <f>IF($E58="Labour",$H58*M58,M58)</f>
        <v>0</v>
      </c>
      <c r="T58" s="5">
        <f>IF($E58="Labour",$H58*N58,N58)</f>
        <v>0</v>
      </c>
      <c r="U58" s="5">
        <f>IF($E58="Labour",$H58*O58,O58)</f>
        <v>0</v>
      </c>
      <c r="Z58"/>
    </row>
    <row r="59" spans="1:26" ht="12.75" customHeight="1" x14ac:dyDescent="0.25">
      <c r="A59" s="4"/>
      <c r="C59" s="76" t="s">
        <v>95</v>
      </c>
      <c r="D59" s="77" t="s">
        <v>50</v>
      </c>
      <c r="E59" s="77" t="s">
        <v>10</v>
      </c>
      <c r="F59" s="75" t="s">
        <v>51</v>
      </c>
      <c r="G59" s="2"/>
      <c r="H59" s="59">
        <f>IF($E59="Labour",Assumptions!$B$14,)</f>
        <v>145.77740895836223</v>
      </c>
      <c r="I59" s="9" t="str">
        <f t="shared" si="0"/>
        <v>Hours</v>
      </c>
      <c r="J59" s="2"/>
      <c r="K59" s="78">
        <f>16000/$H59</f>
        <v>109.75637524583806</v>
      </c>
      <c r="L59" s="78"/>
      <c r="M59" s="78"/>
      <c r="N59" s="78"/>
      <c r="O59" s="78"/>
      <c r="P59" s="2"/>
      <c r="Q59" s="5">
        <f>IF($E59="Labour",$H59*K59,K59)</f>
        <v>16000</v>
      </c>
      <c r="R59" s="5">
        <f>IF($E59="Labour",$H59*L59,L59)</f>
        <v>0</v>
      </c>
      <c r="S59" s="5">
        <f>IF($E59="Labour",$H59*M59,M59)</f>
        <v>0</v>
      </c>
      <c r="T59" s="5">
        <f>IF($E59="Labour",$H59*N59,N59)</f>
        <v>0</v>
      </c>
      <c r="U59" s="5">
        <f>IF($E59="Labour",$H59*O59,O59)</f>
        <v>0</v>
      </c>
      <c r="Z59"/>
    </row>
    <row r="60" spans="1:26" ht="12.75" customHeight="1" x14ac:dyDescent="0.25">
      <c r="A60" s="4"/>
      <c r="C60" s="76" t="s">
        <v>113</v>
      </c>
      <c r="D60" s="77" t="s">
        <v>50</v>
      </c>
      <c r="E60" s="77" t="s">
        <v>10</v>
      </c>
      <c r="F60" s="75" t="s">
        <v>51</v>
      </c>
      <c r="G60" s="2"/>
      <c r="H60" s="59">
        <f>IF($E60="Labour",Assumptions!$B$14,)</f>
        <v>145.77740895836223</v>
      </c>
      <c r="I60" s="9" t="str">
        <f t="shared" si="0"/>
        <v>Hours</v>
      </c>
      <c r="J60" s="2"/>
      <c r="K60" s="78">
        <f>16000/$H60</f>
        <v>109.75637524583806</v>
      </c>
      <c r="L60" s="78"/>
      <c r="M60" s="78"/>
      <c r="N60" s="78"/>
      <c r="O60" s="78"/>
      <c r="P60" s="2"/>
      <c r="Q60" s="5">
        <f>IF($E60="Labour",$H60*K60,K60)</f>
        <v>16000</v>
      </c>
      <c r="R60" s="5">
        <f>IF($E60="Labour",$H60*L60,L60)</f>
        <v>0</v>
      </c>
      <c r="S60" s="5">
        <f>IF($E60="Labour",$H60*M60,M60)</f>
        <v>0</v>
      </c>
      <c r="T60" s="5">
        <f>IF($E60="Labour",$H60*N60,N60)</f>
        <v>0</v>
      </c>
      <c r="U60" s="5">
        <f>IF($E60="Labour",$H60*O60,O60)</f>
        <v>0</v>
      </c>
      <c r="Z60"/>
    </row>
    <row r="61" spans="1:26" ht="12.75" customHeight="1" x14ac:dyDescent="0.25">
      <c r="A61" s="4"/>
      <c r="C61" s="76" t="s">
        <v>114</v>
      </c>
      <c r="D61" s="77" t="s">
        <v>50</v>
      </c>
      <c r="E61" s="77" t="s">
        <v>10</v>
      </c>
      <c r="F61" s="75" t="s">
        <v>47</v>
      </c>
      <c r="G61" s="2"/>
      <c r="H61" s="59">
        <f>IF($E61="Labour",Assumptions!$B$14,)</f>
        <v>145.77740895836223</v>
      </c>
      <c r="I61" s="9" t="str">
        <f t="shared" si="0"/>
        <v>Hours</v>
      </c>
      <c r="J61" s="2"/>
      <c r="K61" s="78"/>
      <c r="L61" s="78">
        <f>45000/$H61</f>
        <v>308.68980537891957</v>
      </c>
      <c r="M61" s="78"/>
      <c r="N61" s="78"/>
      <c r="O61" s="78"/>
      <c r="P61" s="2"/>
      <c r="Q61" s="5">
        <f>IF($E61="Labour",$H61*K61,K61)</f>
        <v>0</v>
      </c>
      <c r="R61" s="5">
        <f>IF($E61="Labour",$H61*L61,L61)</f>
        <v>45000</v>
      </c>
      <c r="S61" s="5">
        <f>IF($E61="Labour",$H61*M61,M61)</f>
        <v>0</v>
      </c>
      <c r="T61" s="5">
        <f>IF($E61="Labour",$H61*N61,N61)</f>
        <v>0</v>
      </c>
      <c r="U61" s="5">
        <f>IF($E61="Labour",$H61*O61,O61)</f>
        <v>0</v>
      </c>
      <c r="Z61"/>
    </row>
    <row r="62" spans="1:26" ht="12.75" customHeight="1" x14ac:dyDescent="0.25">
      <c r="A62" s="4"/>
      <c r="C62" s="76" t="s">
        <v>115</v>
      </c>
      <c r="D62" s="77" t="s">
        <v>50</v>
      </c>
      <c r="E62" s="77" t="s">
        <v>10</v>
      </c>
      <c r="F62" s="75" t="s">
        <v>47</v>
      </c>
      <c r="G62" s="2"/>
      <c r="H62" s="59">
        <f>IF($E62="Labour",Assumptions!$B$14,)</f>
        <v>145.77740895836223</v>
      </c>
      <c r="I62" s="9" t="str">
        <f t="shared" si="0"/>
        <v>Hours</v>
      </c>
      <c r="J62" s="2"/>
      <c r="K62" s="78"/>
      <c r="L62" s="78">
        <f>90000/$H62</f>
        <v>617.37961075783915</v>
      </c>
      <c r="M62" s="78"/>
      <c r="N62" s="78"/>
      <c r="O62" s="78"/>
      <c r="P62" s="2"/>
      <c r="Q62" s="5">
        <f>IF($E62="Labour",$H62*K62,K62)</f>
        <v>0</v>
      </c>
      <c r="R62" s="5">
        <f>IF($E62="Labour",$H62*L62,L62)</f>
        <v>90000</v>
      </c>
      <c r="S62" s="5">
        <f>IF($E62="Labour",$H62*M62,M62)</f>
        <v>0</v>
      </c>
      <c r="T62" s="5">
        <f>IF($E62="Labour",$H62*N62,N62)</f>
        <v>0</v>
      </c>
      <c r="U62" s="5">
        <f>IF($E62="Labour",$H62*O62,O62)</f>
        <v>0</v>
      </c>
      <c r="Z62"/>
    </row>
    <row r="63" spans="1:26" ht="12.75" customHeight="1" x14ac:dyDescent="0.25">
      <c r="A63" s="4"/>
      <c r="C63" s="76" t="s">
        <v>116</v>
      </c>
      <c r="D63" s="77" t="s">
        <v>50</v>
      </c>
      <c r="E63" s="77" t="s">
        <v>10</v>
      </c>
      <c r="F63" s="75" t="s">
        <v>47</v>
      </c>
      <c r="G63" s="2"/>
      <c r="H63" s="59">
        <f>IF($E63="Labour",Assumptions!$B$14,)</f>
        <v>145.77740895836223</v>
      </c>
      <c r="I63" s="9" t="str">
        <f t="shared" si="0"/>
        <v>Hours</v>
      </c>
      <c r="J63" s="2"/>
      <c r="K63" s="78"/>
      <c r="L63" s="78">
        <f>175000/$H63</f>
        <v>1200.4603542513537</v>
      </c>
      <c r="M63" s="78"/>
      <c r="N63" s="78"/>
      <c r="O63" s="78"/>
      <c r="P63" s="2"/>
      <c r="Q63" s="5">
        <f>IF($E63="Labour",$H63*K63,K63)</f>
        <v>0</v>
      </c>
      <c r="R63" s="5">
        <f>IF($E63="Labour",$H63*L63,L63)</f>
        <v>174999.99999999997</v>
      </c>
      <c r="S63" s="5">
        <f>IF($E63="Labour",$H63*M63,M63)</f>
        <v>0</v>
      </c>
      <c r="T63" s="5">
        <f>IF($E63="Labour",$H63*N63,N63)</f>
        <v>0</v>
      </c>
      <c r="U63" s="5">
        <f>IF($E63="Labour",$H63*O63,O63)</f>
        <v>0</v>
      </c>
      <c r="Z63"/>
    </row>
    <row r="64" spans="1:26" ht="12.75" customHeight="1" x14ac:dyDescent="0.2">
      <c r="A64" s="4"/>
      <c r="C64" s="76" t="s">
        <v>117</v>
      </c>
      <c r="D64" s="77" t="s">
        <v>50</v>
      </c>
      <c r="E64" s="77" t="s">
        <v>10</v>
      </c>
      <c r="F64" s="75" t="s">
        <v>47</v>
      </c>
      <c r="H64" s="59">
        <f>IF($E64="Labour",Assumptions!$B$14,)</f>
        <v>145.77740895836223</v>
      </c>
      <c r="I64" s="9" t="str">
        <f t="shared" si="0"/>
        <v>Hours</v>
      </c>
      <c r="K64" s="78"/>
      <c r="L64" s="78">
        <f>110000/$H64</f>
        <v>754.57507981513663</v>
      </c>
      <c r="M64" s="78"/>
      <c r="N64" s="78"/>
      <c r="O64" s="78"/>
      <c r="Q64" s="5">
        <f>IF($E64="Labour",$H64*K64,K64)</f>
        <v>0</v>
      </c>
      <c r="R64" s="5">
        <f>IF($E64="Labour",$H64*L64,L64)</f>
        <v>110000</v>
      </c>
      <c r="S64" s="5">
        <f>IF($E64="Labour",$H64*M64,M64)</f>
        <v>0</v>
      </c>
      <c r="T64" s="5">
        <f>IF($E64="Labour",$H64*N64,N64)</f>
        <v>0</v>
      </c>
      <c r="U64" s="5">
        <f>IF($E64="Labour",$H64*O64,O64)</f>
        <v>0</v>
      </c>
    </row>
    <row r="65" spans="1:21" ht="12.75" customHeight="1" x14ac:dyDescent="0.2">
      <c r="A65" s="4"/>
      <c r="C65" s="76" t="s">
        <v>118</v>
      </c>
      <c r="D65" s="77" t="s">
        <v>50</v>
      </c>
      <c r="E65" s="77" t="s">
        <v>10</v>
      </c>
      <c r="F65" s="75" t="s">
        <v>47</v>
      </c>
      <c r="H65" s="59">
        <f>IF($E65="Labour",Assumptions!$B$14,)</f>
        <v>145.77740895836223</v>
      </c>
      <c r="I65" s="9" t="str">
        <f t="shared" si="0"/>
        <v>Hours</v>
      </c>
      <c r="K65" s="78"/>
      <c r="L65" s="78">
        <f>40000/$H65</f>
        <v>274.39093811459514</v>
      </c>
      <c r="M65" s="78"/>
      <c r="N65" s="78"/>
      <c r="O65" s="78"/>
      <c r="Q65" s="5">
        <f>IF($E65="Labour",$H65*K65,K65)</f>
        <v>0</v>
      </c>
      <c r="R65" s="5">
        <f>IF($E65="Labour",$H65*L65,L65)</f>
        <v>40000</v>
      </c>
      <c r="S65" s="5">
        <f>IF($E65="Labour",$H65*M65,M65)</f>
        <v>0</v>
      </c>
      <c r="T65" s="5">
        <f>IF($E65="Labour",$H65*N65,N65)</f>
        <v>0</v>
      </c>
      <c r="U65" s="5">
        <f>IF($E65="Labour",$H65*O65,O65)</f>
        <v>0</v>
      </c>
    </row>
    <row r="66" spans="1:21" ht="12.75" customHeight="1" x14ac:dyDescent="0.2">
      <c r="A66" s="4"/>
      <c r="C66" s="76" t="s">
        <v>119</v>
      </c>
      <c r="D66" s="77" t="s">
        <v>50</v>
      </c>
      <c r="E66" s="77" t="s">
        <v>10</v>
      </c>
      <c r="F66" s="75" t="s">
        <v>47</v>
      </c>
      <c r="H66" s="59">
        <f>IF($E66="Labour",Assumptions!$B$14,)</f>
        <v>145.77740895836223</v>
      </c>
      <c r="I66" s="9" t="str">
        <f t="shared" si="0"/>
        <v>Hours</v>
      </c>
      <c r="K66" s="78"/>
      <c r="L66" s="78">
        <f>40000/$H66</f>
        <v>274.39093811459514</v>
      </c>
      <c r="M66" s="78"/>
      <c r="N66" s="78"/>
      <c r="O66" s="78"/>
      <c r="Q66" s="5">
        <f>IF($E66="Labour",$H66*K66,K66)</f>
        <v>0</v>
      </c>
      <c r="R66" s="5">
        <f>IF($E66="Labour",$H66*L66,L66)</f>
        <v>40000</v>
      </c>
      <c r="S66" s="5">
        <f>IF($E66="Labour",$H66*M66,M66)</f>
        <v>0</v>
      </c>
      <c r="T66" s="5">
        <f>IF($E66="Labour",$H66*N66,N66)</f>
        <v>0</v>
      </c>
      <c r="U66" s="5">
        <f>IF($E66="Labour",$H66*O66,O66)</f>
        <v>0</v>
      </c>
    </row>
    <row r="67" spans="1:21" ht="12.75" customHeight="1" x14ac:dyDescent="0.2">
      <c r="A67" s="4"/>
      <c r="C67" s="76" t="s">
        <v>120</v>
      </c>
      <c r="D67" s="77" t="s">
        <v>50</v>
      </c>
      <c r="E67" s="77" t="s">
        <v>10</v>
      </c>
      <c r="F67" s="75" t="s">
        <v>47</v>
      </c>
      <c r="H67" s="59">
        <f>IF($E67="Labour",Assumptions!$B$14,)</f>
        <v>145.77740895836223</v>
      </c>
      <c r="I67" s="9" t="str">
        <f t="shared" si="0"/>
        <v>Hours</v>
      </c>
      <c r="K67" s="78"/>
      <c r="L67" s="78"/>
      <c r="M67" s="78">
        <f>36000/H67</f>
        <v>246.95184430313563</v>
      </c>
      <c r="N67" s="78"/>
      <c r="O67" s="78"/>
      <c r="Q67" s="5">
        <f>IF($E67="Labour",$H67*K67,K67)</f>
        <v>0</v>
      </c>
      <c r="R67" s="5">
        <f>IF($E67="Labour",$H67*L67,L67)</f>
        <v>0</v>
      </c>
      <c r="S67" s="5">
        <f>IF($E67="Labour",$H67*M67,M67)</f>
        <v>36000</v>
      </c>
      <c r="T67" s="5">
        <f>IF($E67="Labour",$H67*N67,N67)</f>
        <v>0</v>
      </c>
      <c r="U67" s="5">
        <f>IF($E67="Labour",$H67*O67,O67)</f>
        <v>0</v>
      </c>
    </row>
    <row r="68" spans="1:21" ht="12.75" customHeight="1" x14ac:dyDescent="0.2">
      <c r="A68" s="4"/>
      <c r="C68" s="76" t="s">
        <v>121</v>
      </c>
      <c r="D68" s="77" t="s">
        <v>50</v>
      </c>
      <c r="E68" s="77" t="s">
        <v>10</v>
      </c>
      <c r="F68" s="75" t="s">
        <v>47</v>
      </c>
      <c r="H68" s="59">
        <f>IF($E68="Labour",Assumptions!$B$14,)</f>
        <v>145.77740895836223</v>
      </c>
      <c r="I68" s="9" t="str">
        <f t="shared" si="0"/>
        <v>Hours</v>
      </c>
      <c r="K68" s="78"/>
      <c r="L68" s="78"/>
      <c r="M68" s="78">
        <f>72000/H68</f>
        <v>493.90368860627126</v>
      </c>
      <c r="N68" s="78"/>
      <c r="O68" s="78"/>
      <c r="Q68" s="5">
        <f>IF($E68="Labour",$H68*K68,K68)</f>
        <v>0</v>
      </c>
      <c r="R68" s="5">
        <f>IF($E68="Labour",$H68*L68,L68)</f>
        <v>0</v>
      </c>
      <c r="S68" s="5">
        <f>IF($E68="Labour",$H68*M68,M68)</f>
        <v>72000</v>
      </c>
      <c r="T68" s="5">
        <f>IF($E68="Labour",$H68*N68,N68)</f>
        <v>0</v>
      </c>
      <c r="U68" s="5">
        <f>IF($E68="Labour",$H68*O68,O68)</f>
        <v>0</v>
      </c>
    </row>
    <row r="69" spans="1:21" ht="12.75" customHeight="1" x14ac:dyDescent="0.2">
      <c r="A69" s="4"/>
      <c r="C69" s="76" t="s">
        <v>122</v>
      </c>
      <c r="D69" s="77" t="s">
        <v>50</v>
      </c>
      <c r="E69" s="77" t="s">
        <v>10</v>
      </c>
      <c r="F69" s="75" t="s">
        <v>47</v>
      </c>
      <c r="H69" s="59">
        <f>IF($E69="Labour",Assumptions!$B$14,)</f>
        <v>145.77740895836223</v>
      </c>
      <c r="I69" s="9" t="str">
        <f t="shared" si="0"/>
        <v>Hours</v>
      </c>
      <c r="K69" s="78"/>
      <c r="L69" s="78"/>
      <c r="M69" s="78">
        <f>140000/H69</f>
        <v>960.36828340108309</v>
      </c>
      <c r="N69" s="78"/>
      <c r="O69" s="78"/>
      <c r="Q69" s="5">
        <f>IF($E69="Labour",$H69*K69,K69)</f>
        <v>0</v>
      </c>
      <c r="R69" s="5">
        <f>IF($E69="Labour",$H69*L69,L69)</f>
        <v>0</v>
      </c>
      <c r="S69" s="5">
        <f>IF($E69="Labour",$H69*M69,M69)</f>
        <v>140000</v>
      </c>
      <c r="T69" s="5">
        <f>IF($E69="Labour",$H69*N69,N69)</f>
        <v>0</v>
      </c>
      <c r="U69" s="5">
        <f>IF($E69="Labour",$H69*O69,O69)</f>
        <v>0</v>
      </c>
    </row>
    <row r="70" spans="1:21" ht="12.75" customHeight="1" x14ac:dyDescent="0.2">
      <c r="A70" s="4"/>
      <c r="C70" s="76" t="s">
        <v>123</v>
      </c>
      <c r="D70" s="77" t="s">
        <v>50</v>
      </c>
      <c r="E70" s="77" t="s">
        <v>10</v>
      </c>
      <c r="F70" s="75" t="s">
        <v>47</v>
      </c>
      <c r="H70" s="59">
        <f>IF($E70="Labour",Assumptions!$B$14,)</f>
        <v>145.77740895836223</v>
      </c>
      <c r="I70" s="9" t="str">
        <f t="shared" si="0"/>
        <v>Hours</v>
      </c>
      <c r="K70" s="78"/>
      <c r="L70" s="78"/>
      <c r="M70" s="78">
        <f>88000/H70</f>
        <v>603.66006385210937</v>
      </c>
      <c r="N70" s="78"/>
      <c r="O70" s="78"/>
      <c r="Q70" s="5">
        <f>IF($E70="Labour",$H70*K70,K70)</f>
        <v>0</v>
      </c>
      <c r="R70" s="5">
        <f>IF($E70="Labour",$H70*L70,L70)</f>
        <v>0</v>
      </c>
      <c r="S70" s="5">
        <f>IF($E70="Labour",$H70*M70,M70)</f>
        <v>88000</v>
      </c>
      <c r="T70" s="5">
        <f>IF($E70="Labour",$H70*N70,N70)</f>
        <v>0</v>
      </c>
      <c r="U70" s="5">
        <f>IF($E70="Labour",$H70*O70,O70)</f>
        <v>0</v>
      </c>
    </row>
    <row r="71" spans="1:21" ht="12.75" customHeight="1" x14ac:dyDescent="0.2">
      <c r="A71" s="4"/>
      <c r="C71" s="76" t="s">
        <v>124</v>
      </c>
      <c r="D71" s="77" t="s">
        <v>50</v>
      </c>
      <c r="E71" s="77" t="s">
        <v>10</v>
      </c>
      <c r="F71" s="75" t="s">
        <v>47</v>
      </c>
      <c r="H71" s="59">
        <f>IF($E71="Labour",Assumptions!$B$14,)</f>
        <v>145.77740895836223</v>
      </c>
      <c r="I71" s="9" t="str">
        <f t="shared" si="0"/>
        <v>Hours</v>
      </c>
      <c r="K71" s="78"/>
      <c r="L71" s="78"/>
      <c r="M71" s="78">
        <f>32000/H71</f>
        <v>219.51275049167612</v>
      </c>
      <c r="N71" s="78"/>
      <c r="O71" s="78"/>
      <c r="Q71" s="5">
        <f>IF($E71="Labour",$H71*K71,K71)</f>
        <v>0</v>
      </c>
      <c r="R71" s="5">
        <f>IF($E71="Labour",$H71*L71,L71)</f>
        <v>0</v>
      </c>
      <c r="S71" s="5">
        <f>IF($E71="Labour",$H71*M71,M71)</f>
        <v>32000</v>
      </c>
      <c r="T71" s="5">
        <f>IF($E71="Labour",$H71*N71,N71)</f>
        <v>0</v>
      </c>
      <c r="U71" s="5">
        <f>IF($E71="Labour",$H71*O71,O71)</f>
        <v>0</v>
      </c>
    </row>
    <row r="72" spans="1:21" ht="12.75" customHeight="1" x14ac:dyDescent="0.2">
      <c r="A72" s="4"/>
      <c r="C72" s="76" t="s">
        <v>125</v>
      </c>
      <c r="D72" s="77" t="s">
        <v>50</v>
      </c>
      <c r="E72" s="77" t="s">
        <v>10</v>
      </c>
      <c r="F72" s="75" t="s">
        <v>47</v>
      </c>
      <c r="H72" s="59">
        <f>IF($E72="Labour",Assumptions!$B$14,)</f>
        <v>145.77740895836223</v>
      </c>
      <c r="I72" s="9" t="str">
        <f t="shared" si="0"/>
        <v>Hours</v>
      </c>
      <c r="K72" s="78"/>
      <c r="L72" s="78"/>
      <c r="M72" s="78">
        <f>32000/H72</f>
        <v>219.51275049167612</v>
      </c>
      <c r="N72" s="78"/>
      <c r="O72" s="78"/>
      <c r="Q72" s="5">
        <f>IF($E72="Labour",$H72*K72,K72)</f>
        <v>0</v>
      </c>
      <c r="R72" s="5">
        <f>IF($E72="Labour",$H72*L72,L72)</f>
        <v>0</v>
      </c>
      <c r="S72" s="5">
        <f>IF($E72="Labour",$H72*M72,M72)</f>
        <v>32000</v>
      </c>
      <c r="T72" s="5">
        <f>IF($E72="Labour",$H72*N72,N72)</f>
        <v>0</v>
      </c>
      <c r="U72" s="5">
        <f>IF($E72="Labour",$H72*O72,O72)</f>
        <v>0</v>
      </c>
    </row>
    <row r="73" spans="1:21" ht="12.75" customHeight="1" x14ac:dyDescent="0.2">
      <c r="A73" s="4"/>
      <c r="C73" s="76" t="s">
        <v>97</v>
      </c>
      <c r="D73" s="77" t="s">
        <v>50</v>
      </c>
      <c r="E73" s="77" t="s">
        <v>10</v>
      </c>
      <c r="F73" s="75" t="s">
        <v>51</v>
      </c>
      <c r="H73" s="59">
        <f>IF($E73="Labour",Assumptions!$B$14,)</f>
        <v>145.77740895836223</v>
      </c>
      <c r="I73" s="9" t="str">
        <f t="shared" si="0"/>
        <v>Hours</v>
      </c>
      <c r="K73" s="78">
        <f>28.8*8*36.8%*75%*2</f>
        <v>127.1808</v>
      </c>
      <c r="L73" s="78">
        <f t="shared" ref="L73:O73" si="1">28.8*8*36.8%*75%*2</f>
        <v>127.1808</v>
      </c>
      <c r="M73" s="78">
        <f t="shared" si="1"/>
        <v>127.1808</v>
      </c>
      <c r="N73" s="78">
        <f t="shared" si="1"/>
        <v>127.1808</v>
      </c>
      <c r="O73" s="78">
        <f t="shared" si="1"/>
        <v>127.1808</v>
      </c>
      <c r="Q73" s="5">
        <f>IF($E73="Labour",$H73*K73,K73)</f>
        <v>18540.087493251674</v>
      </c>
      <c r="R73" s="5">
        <f>IF($E73="Labour",$H73*L73,L73)</f>
        <v>18540.087493251674</v>
      </c>
      <c r="S73" s="5">
        <f>IF($E73="Labour",$H73*M73,M73)</f>
        <v>18540.087493251674</v>
      </c>
      <c r="T73" s="5">
        <f>IF($E73="Labour",$H73*N73,N73)</f>
        <v>18540.087493251674</v>
      </c>
      <c r="U73" s="5">
        <f>IF($E73="Labour",$H73*O73,O73)</f>
        <v>18540.087493251674</v>
      </c>
    </row>
    <row r="74" spans="1:21" ht="12.75" customHeight="1" x14ac:dyDescent="0.2">
      <c r="A74" s="4"/>
      <c r="C74" s="76" t="s">
        <v>98</v>
      </c>
      <c r="D74" s="77" t="s">
        <v>50</v>
      </c>
      <c r="E74" s="77" t="s">
        <v>11</v>
      </c>
      <c r="F74" s="75" t="s">
        <v>51</v>
      </c>
      <c r="H74" s="59">
        <f>IF($E74="Labour",Assumptions!$B$14,)</f>
        <v>0</v>
      </c>
      <c r="I74" s="9" t="str">
        <f t="shared" si="0"/>
        <v>$</v>
      </c>
      <c r="K74" s="78">
        <f>3600*50*36.8%</f>
        <v>66240</v>
      </c>
      <c r="L74" s="78">
        <f>3900*50*36.8%</f>
        <v>71760</v>
      </c>
      <c r="M74" s="78">
        <f>4200*50*36.8%</f>
        <v>77280</v>
      </c>
      <c r="N74" s="78">
        <f>4500*50*36.8%</f>
        <v>82800</v>
      </c>
      <c r="O74" s="78">
        <f>4800*50*36.8%</f>
        <v>88320</v>
      </c>
      <c r="Q74" s="5">
        <f>IF($E74="Labour",$H74*K74,K74)</f>
        <v>66240</v>
      </c>
      <c r="R74" s="5">
        <f>IF($E74="Labour",$H74*L74,L74)</f>
        <v>71760</v>
      </c>
      <c r="S74" s="5">
        <f>IF($E74="Labour",$H74*M74,M74)</f>
        <v>77280</v>
      </c>
      <c r="T74" s="5">
        <f>IF($E74="Labour",$H74*N74,N74)</f>
        <v>82800</v>
      </c>
      <c r="U74" s="5">
        <f>IF($E74="Labour",$H74*O74,O74)</f>
        <v>88320</v>
      </c>
    </row>
    <row r="75" spans="1:21" ht="12.75" customHeight="1" x14ac:dyDescent="0.2">
      <c r="A75" s="4"/>
      <c r="C75" s="76" t="s">
        <v>99</v>
      </c>
      <c r="D75" s="77" t="s">
        <v>50</v>
      </c>
      <c r="E75" s="77" t="s">
        <v>12</v>
      </c>
      <c r="F75" s="75" t="s">
        <v>51</v>
      </c>
      <c r="H75" s="59">
        <f>IF($E75="Labour",Assumptions!$B$14,)</f>
        <v>0</v>
      </c>
      <c r="I75" s="9" t="str">
        <f t="shared" si="0"/>
        <v>$</v>
      </c>
      <c r="K75" s="78"/>
      <c r="L75" s="78"/>
      <c r="M75" s="78"/>
      <c r="N75" s="78"/>
      <c r="O75" s="78"/>
      <c r="Q75" s="5">
        <f>IF($E75="Labour",$H75*K75,K75)</f>
        <v>0</v>
      </c>
      <c r="R75" s="5">
        <f>IF($E75="Labour",$H75*L75,L75)</f>
        <v>0</v>
      </c>
      <c r="S75" s="5">
        <f>IF($E75="Labour",$H75*M75,M75)</f>
        <v>0</v>
      </c>
      <c r="T75" s="5">
        <f>IF($E75="Labour",$H75*N75,N75)</f>
        <v>0</v>
      </c>
      <c r="U75" s="5">
        <f>IF($E75="Labour",$H75*O75,O75)</f>
        <v>0</v>
      </c>
    </row>
    <row r="76" spans="1:21" ht="12.75" customHeight="1" x14ac:dyDescent="0.2">
      <c r="A76" s="4"/>
      <c r="C76" s="76" t="s">
        <v>126</v>
      </c>
      <c r="D76" s="77" t="s">
        <v>50</v>
      </c>
      <c r="E76" s="77" t="s">
        <v>10</v>
      </c>
      <c r="F76" s="75" t="s">
        <v>51</v>
      </c>
      <c r="H76" s="59">
        <f>IF($E76="Labour",Assumptions!$B$14,)</f>
        <v>145.77740895836223</v>
      </c>
      <c r="I76" s="9" t="str">
        <f t="shared" si="0"/>
        <v>Hours</v>
      </c>
      <c r="K76" s="78">
        <f>261*2*8*36.8%</f>
        <v>1536.768</v>
      </c>
      <c r="L76" s="78">
        <f>261*2*8*36.8%</f>
        <v>1536.768</v>
      </c>
      <c r="M76" s="78">
        <f>260*2*8*36.8%</f>
        <v>1530.8799999999999</v>
      </c>
      <c r="N76" s="78">
        <f>261*2*8*36.8%</f>
        <v>1536.768</v>
      </c>
      <c r="O76" s="78">
        <f>261*2*8*36.8%</f>
        <v>1536.768</v>
      </c>
      <c r="Q76" s="5">
        <f>IF($E76="Labour",$H76*K76,K76)</f>
        <v>224026.05721012442</v>
      </c>
      <c r="R76" s="5">
        <f>IF($E76="Labour",$H76*L76,L76)</f>
        <v>224026.05721012442</v>
      </c>
      <c r="S76" s="5">
        <f>IF($E76="Labour",$H76*M76,M76)</f>
        <v>223167.71982617755</v>
      </c>
      <c r="T76" s="5">
        <f>IF($E76="Labour",$H76*N76,N76)</f>
        <v>224026.05721012442</v>
      </c>
      <c r="U76" s="5">
        <f>IF($E76="Labour",$H76*O76,O76)</f>
        <v>224026.05721012442</v>
      </c>
    </row>
    <row r="77" spans="1:21" ht="12.75" customHeight="1" x14ac:dyDescent="0.2">
      <c r="A77" s="4"/>
      <c r="C77" s="76" t="s">
        <v>127</v>
      </c>
      <c r="D77" s="77" t="s">
        <v>50</v>
      </c>
      <c r="E77" s="77" t="s">
        <v>12</v>
      </c>
      <c r="F77" s="75" t="s">
        <v>51</v>
      </c>
      <c r="H77" s="59">
        <f>IF($E77="Labour",Assumptions!$B$14,)</f>
        <v>0</v>
      </c>
      <c r="I77" s="9" t="str">
        <f t="shared" si="0"/>
        <v>$</v>
      </c>
      <c r="K77" s="78">
        <f>2500000*0.5</f>
        <v>1250000</v>
      </c>
      <c r="L77" s="78">
        <v>0</v>
      </c>
      <c r="M77" s="78">
        <v>0</v>
      </c>
      <c r="N77" s="78">
        <v>0</v>
      </c>
      <c r="O77" s="78">
        <v>0</v>
      </c>
      <c r="Q77" s="5">
        <f>IF($E77="Labour",$H77*K77,K77)</f>
        <v>1250000</v>
      </c>
      <c r="R77" s="5">
        <f>IF($E77="Labour",$H77*L77,L77)</f>
        <v>0</v>
      </c>
      <c r="S77" s="5">
        <f>IF($E77="Labour",$H77*M77,M77)</f>
        <v>0</v>
      </c>
      <c r="T77" s="5">
        <f>IF($E77="Labour",$H77*N77,N77)</f>
        <v>0</v>
      </c>
      <c r="U77" s="5">
        <f>IF($E77="Labour",$H77*O77,O77)</f>
        <v>0</v>
      </c>
    </row>
    <row r="78" spans="1:21" ht="12.75" customHeight="1" x14ac:dyDescent="0.2">
      <c r="A78" s="4"/>
      <c r="C78" s="76" t="s">
        <v>128</v>
      </c>
      <c r="D78" s="77" t="s">
        <v>50</v>
      </c>
      <c r="E78" s="77" t="s">
        <v>12</v>
      </c>
      <c r="F78" s="75" t="s">
        <v>51</v>
      </c>
      <c r="H78" s="59">
        <f>IF($E78="Labour",Assumptions!$B$14,)</f>
        <v>0</v>
      </c>
      <c r="I78" s="9" t="str">
        <f t="shared" si="0"/>
        <v>$</v>
      </c>
      <c r="K78" s="78">
        <f>150530/2</f>
        <v>75265</v>
      </c>
      <c r="L78" s="78">
        <f t="shared" ref="L78:O78" si="2">150530/2</f>
        <v>75265</v>
      </c>
      <c r="M78" s="78">
        <f t="shared" si="2"/>
        <v>75265</v>
      </c>
      <c r="N78" s="78">
        <f t="shared" si="2"/>
        <v>75265</v>
      </c>
      <c r="O78" s="78">
        <f t="shared" si="2"/>
        <v>75265</v>
      </c>
      <c r="Q78" s="5">
        <f>IF($E78="Labour",$H78*K78,K78)</f>
        <v>75265</v>
      </c>
      <c r="R78" s="5">
        <f>IF($E78="Labour",$H78*L78,L78)</f>
        <v>75265</v>
      </c>
      <c r="S78" s="5">
        <f>IF($E78="Labour",$H78*M78,M78)</f>
        <v>75265</v>
      </c>
      <c r="T78" s="5">
        <f>IF($E78="Labour",$H78*N78,N78)</f>
        <v>75265</v>
      </c>
      <c r="U78" s="5">
        <f>IF($E78="Labour",$H78*O78,O78)</f>
        <v>75265</v>
      </c>
    </row>
    <row r="79" spans="1:21" ht="12.75" customHeight="1" x14ac:dyDescent="0.2">
      <c r="A79" s="4"/>
      <c r="C79" s="76" t="s">
        <v>129</v>
      </c>
      <c r="D79" s="77" t="s">
        <v>50</v>
      </c>
      <c r="E79" s="77" t="s">
        <v>10</v>
      </c>
      <c r="F79" s="75" t="s">
        <v>51</v>
      </c>
      <c r="H79" s="59">
        <f>IF($E79="Labour",Assumptions!$B$14,)</f>
        <v>145.77740895836223</v>
      </c>
      <c r="I79" s="9" t="str">
        <f t="shared" si="0"/>
        <v>Hours</v>
      </c>
      <c r="K79" s="78">
        <f>480000/H79*0.5</f>
        <v>1646.345628687571</v>
      </c>
      <c r="L79" s="78">
        <v>0</v>
      </c>
      <c r="M79" s="78">
        <v>0</v>
      </c>
      <c r="N79" s="78">
        <v>0</v>
      </c>
      <c r="O79" s="78">
        <v>0</v>
      </c>
      <c r="Q79" s="5">
        <f>IF($E79="Labour",$H79*K79,K79)</f>
        <v>240000</v>
      </c>
      <c r="R79" s="5">
        <f>IF($E79="Labour",$H79*L79,L79)</f>
        <v>0</v>
      </c>
      <c r="S79" s="5">
        <f>IF($E79="Labour",$H79*M79,M79)</f>
        <v>0</v>
      </c>
      <c r="T79" s="5">
        <f>IF($E79="Labour",$H79*N79,N79)</f>
        <v>0</v>
      </c>
      <c r="U79" s="5">
        <f>IF($E79="Labour",$H79*O79,O79)</f>
        <v>0</v>
      </c>
    </row>
    <row r="80" spans="1:21" ht="12.75" customHeight="1" x14ac:dyDescent="0.2">
      <c r="A80" s="4"/>
      <c r="C80" s="76" t="s">
        <v>130</v>
      </c>
      <c r="D80" s="77" t="s">
        <v>50</v>
      </c>
      <c r="E80" s="77" t="s">
        <v>10</v>
      </c>
      <c r="F80" s="75" t="s">
        <v>51</v>
      </c>
      <c r="H80" s="59">
        <f>IF($E80="Labour",Assumptions!$B$14,)</f>
        <v>145.77740895836223</v>
      </c>
      <c r="I80" s="9" t="str">
        <f t="shared" si="0"/>
        <v>Hours</v>
      </c>
      <c r="K80" s="78">
        <f>760000/H80*0.5</f>
        <v>2606.7139120886541</v>
      </c>
      <c r="L80" s="78">
        <v>0</v>
      </c>
      <c r="M80" s="78">
        <v>0</v>
      </c>
      <c r="N80" s="78">
        <v>0</v>
      </c>
      <c r="O80" s="78">
        <v>0</v>
      </c>
      <c r="Q80" s="5">
        <f>IF($E80="Labour",$H80*K80,K80)</f>
        <v>380000</v>
      </c>
      <c r="R80" s="5">
        <f>IF($E80="Labour",$H80*L80,L80)</f>
        <v>0</v>
      </c>
      <c r="S80" s="5">
        <f>IF($E80="Labour",$H80*M80,M80)</f>
        <v>0</v>
      </c>
      <c r="T80" s="5">
        <f>IF($E80="Labour",$H80*N80,N80)</f>
        <v>0</v>
      </c>
      <c r="U80" s="5">
        <f>IF($E80="Labour",$H80*O80,O80)</f>
        <v>0</v>
      </c>
    </row>
    <row r="81" spans="1:26" ht="12.75" customHeight="1" x14ac:dyDescent="0.2">
      <c r="A81" s="4"/>
      <c r="C81" s="76" t="s">
        <v>131</v>
      </c>
      <c r="D81" s="77" t="s">
        <v>50</v>
      </c>
      <c r="E81" s="77" t="s">
        <v>10</v>
      </c>
      <c r="F81" s="75" t="s">
        <v>51</v>
      </c>
      <c r="H81" s="59">
        <f>IF($E81="Labour",Assumptions!$B$14,)</f>
        <v>145.77740895836223</v>
      </c>
      <c r="I81" s="9" t="str">
        <f t="shared" si="0"/>
        <v>Hours</v>
      </c>
      <c r="K81" s="78">
        <f>175000/H81*0.5</f>
        <v>600.23017712567685</v>
      </c>
      <c r="L81" s="78">
        <v>0</v>
      </c>
      <c r="M81" s="78">
        <v>0</v>
      </c>
      <c r="N81" s="78">
        <v>0</v>
      </c>
      <c r="O81" s="78">
        <v>0</v>
      </c>
      <c r="Q81" s="5">
        <f>IF($E81="Labour",$H81*K81,K81)</f>
        <v>87499.999999999985</v>
      </c>
      <c r="R81" s="5">
        <f>IF($E81="Labour",$H81*L81,L81)</f>
        <v>0</v>
      </c>
      <c r="S81" s="5">
        <f>IF($E81="Labour",$H81*M81,M81)</f>
        <v>0</v>
      </c>
      <c r="T81" s="5">
        <f>IF($E81="Labour",$H81*N81,N81)</f>
        <v>0</v>
      </c>
      <c r="U81" s="5">
        <f>IF($E81="Labour",$H81*O81,O81)</f>
        <v>0</v>
      </c>
    </row>
    <row r="82" spans="1:26" ht="12.75" customHeight="1" x14ac:dyDescent="0.2">
      <c r="A82" s="4"/>
      <c r="C82" s="76" t="s">
        <v>132</v>
      </c>
      <c r="D82" s="77" t="s">
        <v>50</v>
      </c>
      <c r="E82" s="77" t="s">
        <v>10</v>
      </c>
      <c r="F82" s="75" t="s">
        <v>51</v>
      </c>
      <c r="H82" s="59">
        <f>IF($E82="Labour",Assumptions!$B$14,)</f>
        <v>145.77740895836223</v>
      </c>
      <c r="I82" s="9" t="str">
        <f t="shared" si="0"/>
        <v>Hours</v>
      </c>
      <c r="K82" s="78">
        <f>240000/H82*0.5</f>
        <v>823.17281434378549</v>
      </c>
      <c r="L82" s="78">
        <v>0</v>
      </c>
      <c r="M82" s="78">
        <v>0</v>
      </c>
      <c r="N82" s="78">
        <v>0</v>
      </c>
      <c r="O82" s="78">
        <v>0</v>
      </c>
      <c r="Q82" s="5">
        <f>IF($E82="Labour",$H82*K82,K82)</f>
        <v>120000</v>
      </c>
      <c r="R82" s="5">
        <f>IF($E82="Labour",$H82*L82,L82)</f>
        <v>0</v>
      </c>
      <c r="S82" s="5">
        <f>IF($E82="Labour",$H82*M82,M82)</f>
        <v>0</v>
      </c>
      <c r="T82" s="5">
        <f>IF($E82="Labour",$H82*N82,N82)</f>
        <v>0</v>
      </c>
      <c r="U82" s="5">
        <f>IF($E82="Labour",$H82*O82,O82)</f>
        <v>0</v>
      </c>
    </row>
    <row r="83" spans="1:26" ht="12.75" customHeight="1" x14ac:dyDescent="0.2">
      <c r="A83" s="4"/>
      <c r="C83" s="76" t="s">
        <v>106</v>
      </c>
      <c r="D83" s="77" t="s">
        <v>50</v>
      </c>
      <c r="E83" s="77" t="s">
        <v>10</v>
      </c>
      <c r="F83" s="75" t="s">
        <v>51</v>
      </c>
      <c r="H83" s="59">
        <f>IF($E83="Labour",Assumptions!$B$14,)</f>
        <v>145.77740895836223</v>
      </c>
      <c r="I83" s="9" t="str">
        <f t="shared" si="0"/>
        <v>Hours</v>
      </c>
      <c r="K83" s="78">
        <f>127873/H83</f>
        <v>877.17981073819067</v>
      </c>
      <c r="L83" s="78"/>
      <c r="M83" s="78"/>
      <c r="N83" s="78"/>
      <c r="O83" s="78"/>
      <c r="Q83" s="5">
        <f>IF($E83="Labour",$H83*K83,K83)</f>
        <v>127873</v>
      </c>
      <c r="R83" s="5">
        <f>IF($E83="Labour",$H83*L83,L83)</f>
        <v>0</v>
      </c>
      <c r="S83" s="5">
        <f>IF($E83="Labour",$H83*M83,M83)</f>
        <v>0</v>
      </c>
      <c r="T83" s="5">
        <f>IF($E83="Labour",$H83*N83,N83)</f>
        <v>0</v>
      </c>
      <c r="U83" s="5">
        <f>IF($E83="Labour",$H83*O83,O83)</f>
        <v>0</v>
      </c>
    </row>
    <row r="84" spans="1:26" ht="12.75" customHeight="1" x14ac:dyDescent="0.2">
      <c r="A84" s="4"/>
      <c r="C84" s="76" t="s">
        <v>106</v>
      </c>
      <c r="D84" s="77" t="s">
        <v>50</v>
      </c>
      <c r="E84" s="77" t="s">
        <v>11</v>
      </c>
      <c r="F84" s="75" t="s">
        <v>51</v>
      </c>
      <c r="H84" s="59">
        <f>IF($E84="Labour",Assumptions!$B$14,)</f>
        <v>0</v>
      </c>
      <c r="I84" s="9" t="str">
        <f t="shared" si="0"/>
        <v>$</v>
      </c>
      <c r="K84" s="78">
        <v>50000</v>
      </c>
      <c r="L84" s="78"/>
      <c r="M84" s="78"/>
      <c r="N84" s="78"/>
      <c r="O84" s="78"/>
      <c r="Q84" s="5">
        <f>IF($E84="Labour",$H84*K84,K84)</f>
        <v>50000</v>
      </c>
      <c r="R84" s="5">
        <f>IF($E84="Labour",$H84*L84,L84)</f>
        <v>0</v>
      </c>
      <c r="S84" s="5">
        <f>IF($E84="Labour",$H84*M84,M84)</f>
        <v>0</v>
      </c>
      <c r="T84" s="5">
        <f>IF($E84="Labour",$H84*N84,N84)</f>
        <v>0</v>
      </c>
      <c r="U84" s="5">
        <f>IF($E84="Labour",$H84*O84,O84)</f>
        <v>0</v>
      </c>
    </row>
    <row r="85" spans="1:26" ht="12.75" customHeight="1" x14ac:dyDescent="0.2">
      <c r="A85" s="4"/>
      <c r="C85" s="76" t="s">
        <v>107</v>
      </c>
      <c r="D85" s="77" t="s">
        <v>50</v>
      </c>
      <c r="E85" s="77" t="s">
        <v>10</v>
      </c>
      <c r="F85" s="75" t="s">
        <v>51</v>
      </c>
      <c r="H85" s="59">
        <f>IF($E85="Labour",Assumptions!$B$14,)</f>
        <v>145.77740895836223</v>
      </c>
      <c r="I85" s="9" t="str">
        <f t="shared" si="0"/>
        <v>Hours</v>
      </c>
      <c r="K85" s="78">
        <f>127873/H85</f>
        <v>877.17981073819067</v>
      </c>
      <c r="L85" s="78"/>
      <c r="M85" s="78"/>
      <c r="N85" s="78"/>
      <c r="O85" s="78"/>
      <c r="Q85" s="5">
        <f>IF($E85="Labour",$H85*K85,K85)</f>
        <v>127873</v>
      </c>
      <c r="R85" s="5">
        <f>IF($E85="Labour",$H85*L85,L85)</f>
        <v>0</v>
      </c>
      <c r="S85" s="5">
        <f>IF($E85="Labour",$H85*M85,M85)</f>
        <v>0</v>
      </c>
      <c r="T85" s="5">
        <f>IF($E85="Labour",$H85*N85,N85)</f>
        <v>0</v>
      </c>
      <c r="U85" s="5">
        <f>IF($E85="Labour",$H85*O85,O85)</f>
        <v>0</v>
      </c>
    </row>
    <row r="86" spans="1:26" ht="12.75" customHeight="1" x14ac:dyDescent="0.2">
      <c r="A86" s="4"/>
      <c r="C86" s="76" t="s">
        <v>107</v>
      </c>
      <c r="D86" s="77" t="s">
        <v>50</v>
      </c>
      <c r="E86" s="77" t="s">
        <v>11</v>
      </c>
      <c r="F86" s="75" t="s">
        <v>51</v>
      </c>
      <c r="H86" s="59">
        <f>IF($E86="Labour",Assumptions!$B$14,)</f>
        <v>0</v>
      </c>
      <c r="I86" s="9" t="str">
        <f t="shared" si="0"/>
        <v>$</v>
      </c>
      <c r="K86" s="78">
        <v>500000</v>
      </c>
      <c r="L86" s="78"/>
      <c r="M86" s="78"/>
      <c r="N86" s="78"/>
      <c r="O86" s="78"/>
      <c r="Q86" s="5">
        <f>IF($E86="Labour",$H86*K86,K86)</f>
        <v>500000</v>
      </c>
      <c r="R86" s="5">
        <f>IF($E86="Labour",$H86*L86,L86)</f>
        <v>0</v>
      </c>
      <c r="S86" s="5">
        <f>IF($E86="Labour",$H86*M86,M86)</f>
        <v>0</v>
      </c>
      <c r="T86" s="5">
        <f>IF($E86="Labour",$H86*N86,N86)</f>
        <v>0</v>
      </c>
      <c r="U86" s="5">
        <f>IF($E86="Labour",$H86*O86,O86)</f>
        <v>0</v>
      </c>
    </row>
    <row r="87" spans="1:26" ht="12.75" customHeight="1" x14ac:dyDescent="0.2">
      <c r="A87" s="4"/>
      <c r="C87" s="76" t="s">
        <v>108</v>
      </c>
      <c r="D87" s="77" t="s">
        <v>50</v>
      </c>
      <c r="E87" s="77" t="s">
        <v>10</v>
      </c>
      <c r="F87" s="75" t="s">
        <v>51</v>
      </c>
      <c r="H87" s="59">
        <f>IF($E87="Labour",Assumptions!$B$14,)</f>
        <v>145.77740895836223</v>
      </c>
      <c r="I87" s="9" t="str">
        <f t="shared" si="0"/>
        <v>Hours</v>
      </c>
      <c r="K87" s="78">
        <f>58124/H87</f>
        <v>398.71747217431823</v>
      </c>
      <c r="L87" s="78"/>
      <c r="M87" s="78"/>
      <c r="N87" s="78"/>
      <c r="O87" s="78"/>
      <c r="Q87" s="5">
        <f>IF($E87="Labour",$H87*K87,K87)</f>
        <v>58124</v>
      </c>
      <c r="R87" s="5">
        <f>IF($E87="Labour",$H87*L87,L87)</f>
        <v>0</v>
      </c>
      <c r="S87" s="5">
        <f>IF($E87="Labour",$H87*M87,M87)</f>
        <v>0</v>
      </c>
      <c r="T87" s="5">
        <f>IF($E87="Labour",$H87*N87,N87)</f>
        <v>0</v>
      </c>
      <c r="U87" s="5">
        <f>IF($E87="Labour",$H87*O87,O87)</f>
        <v>0</v>
      </c>
    </row>
    <row r="88" spans="1:26" ht="12.75" customHeight="1" x14ac:dyDescent="0.2">
      <c r="A88" s="4"/>
      <c r="C88" s="76"/>
      <c r="D88" s="77"/>
      <c r="E88" s="77"/>
      <c r="F88" s="75"/>
      <c r="H88" s="59">
        <f>IF($E88="Labour",Assumptions!$B$14,)</f>
        <v>0</v>
      </c>
      <c r="I88" s="9" t="str">
        <f t="shared" si="0"/>
        <v>$</v>
      </c>
      <c r="K88" s="78"/>
      <c r="L88" s="78"/>
      <c r="M88" s="78"/>
      <c r="N88" s="78"/>
      <c r="O88" s="78"/>
      <c r="Q88" s="5">
        <f>IF($E88="Labour",$H88*K88,K88)</f>
        <v>0</v>
      </c>
      <c r="R88" s="5">
        <f>IF($E88="Labour",$H88*L88,L88)</f>
        <v>0</v>
      </c>
      <c r="S88" s="5">
        <f>IF($E88="Labour",$H88*M88,M88)</f>
        <v>0</v>
      </c>
      <c r="T88" s="5">
        <f>IF($E88="Labour",$H88*N88,N88)</f>
        <v>0</v>
      </c>
      <c r="U88" s="5">
        <f>IF($E88="Labour",$H88*O88,O88)</f>
        <v>0</v>
      </c>
    </row>
    <row r="89" spans="1:26" ht="12.75" customHeight="1" x14ac:dyDescent="0.2">
      <c r="A89" s="4"/>
      <c r="C89" s="76"/>
      <c r="D89" s="77"/>
      <c r="E89" s="77"/>
      <c r="F89" s="75"/>
      <c r="H89" s="59">
        <f>IF($E89="Labour",Assumptions!$B$14,)</f>
        <v>0</v>
      </c>
      <c r="I89" s="9" t="str">
        <f t="shared" si="0"/>
        <v>$</v>
      </c>
      <c r="K89" s="78"/>
      <c r="L89" s="78"/>
      <c r="M89" s="78"/>
      <c r="N89" s="78"/>
      <c r="O89" s="78"/>
      <c r="Q89" s="5">
        <f>IF($E89="Labour",$H89*K89,K89)</f>
        <v>0</v>
      </c>
      <c r="R89" s="5">
        <f>IF($E89="Labour",$H89*L89,L89)</f>
        <v>0</v>
      </c>
      <c r="S89" s="5">
        <f>IF($E89="Labour",$H89*M89,M89)</f>
        <v>0</v>
      </c>
      <c r="T89" s="5">
        <f>IF($E89="Labour",$H89*N89,N89)</f>
        <v>0</v>
      </c>
      <c r="U89" s="5">
        <f>IF($E89="Labour",$H89*O89,O89)</f>
        <v>0</v>
      </c>
      <c r="V89" s="104"/>
    </row>
    <row r="90" spans="1:26" ht="12.75" customHeight="1" x14ac:dyDescent="0.25">
      <c r="G90" s="2"/>
      <c r="J90" s="2"/>
      <c r="P90" s="2"/>
      <c r="Z90"/>
    </row>
    <row r="91" spans="1:26" ht="12.75" customHeight="1" x14ac:dyDescent="0.25">
      <c r="G91" s="2"/>
      <c r="J91" s="2"/>
      <c r="P91" s="2"/>
      <c r="Z91"/>
    </row>
    <row r="92" spans="1:26" ht="12.75" customHeight="1" x14ac:dyDescent="0.25">
      <c r="C92" s="3" t="s">
        <v>75</v>
      </c>
      <c r="G92" s="2"/>
      <c r="J92" s="2"/>
      <c r="P92" s="2"/>
      <c r="Q92" s="64" t="s">
        <v>5</v>
      </c>
      <c r="R92" s="64" t="s">
        <v>6</v>
      </c>
      <c r="S92" s="64" t="s">
        <v>7</v>
      </c>
      <c r="T92" s="64" t="s">
        <v>8</v>
      </c>
      <c r="U92" s="64" t="s">
        <v>9</v>
      </c>
      <c r="V92" s="64" t="s">
        <v>0</v>
      </c>
      <c r="Z92"/>
    </row>
    <row r="93" spans="1:26" ht="12.75" customHeight="1" x14ac:dyDescent="0.2">
      <c r="C93" s="24" t="s">
        <v>10</v>
      </c>
      <c r="D93" s="24" t="s">
        <v>50</v>
      </c>
      <c r="E93" s="24"/>
      <c r="F93" s="24" t="s">
        <v>51</v>
      </c>
      <c r="G93" s="2"/>
      <c r="H93" s="61"/>
      <c r="I93" s="62"/>
      <c r="J93" s="2"/>
      <c r="K93" s="24"/>
      <c r="L93" s="24"/>
      <c r="M93" s="24"/>
      <c r="N93" s="24"/>
      <c r="O93" s="24"/>
      <c r="P93" s="2"/>
      <c r="Q93" s="25">
        <f>SUMIFS(Q$10:Q$89,$E$10:$E$89,$C93,$D$10:$D$89,$D93,$F$10:$F$89,$F93)</f>
        <v>3052735.783697309</v>
      </c>
      <c r="R93" s="25">
        <f>SUMIFS(R$10:R$89,$E$10:$E$89,$C93,$D$10:$D$89,$D93,$F$10:$F$89,$F93)</f>
        <v>1016096.0632145961</v>
      </c>
      <c r="S93" s="25">
        <f>SUMIFS(S$10:S$89,$E$10:$E$89,$C93,$D$10:$D$89,$D93,$F$10:$F$89,$F93)</f>
        <v>2059534.7161571025</v>
      </c>
      <c r="T93" s="25">
        <f>SUMIFS(T$10:T$89,$E$10:$E$89,$C93,$D$10:$D$89,$D93,$F$10:$F$89,$F93)</f>
        <v>1685272.7845807511</v>
      </c>
      <c r="U93" s="25">
        <f>SUMIFS(U$10:U$89,$E$10:$E$89,$C93,$D$10:$D$89,$D93,$F$10:$F$89,$F93)</f>
        <v>1598833.8908000435</v>
      </c>
      <c r="V93" s="66">
        <f>SUM(Q93:U93)</f>
        <v>9412473.2384498026</v>
      </c>
    </row>
    <row r="94" spans="1:26" ht="12.75" customHeight="1" x14ac:dyDescent="0.2">
      <c r="C94" s="1" t="s">
        <v>11</v>
      </c>
      <c r="D94" s="1" t="s">
        <v>50</v>
      </c>
      <c r="F94" s="1" t="s">
        <v>51</v>
      </c>
      <c r="G94" s="2"/>
      <c r="H94" s="63"/>
      <c r="J94" s="2"/>
      <c r="P94" s="2"/>
      <c r="Q94" s="6">
        <f>SUMIFS(Q$10:Q$89,$E$10:$E$89,$C94,$D$10:$D$89,$D94,$F$10:$F$89,$F94)</f>
        <v>973760</v>
      </c>
      <c r="R94" s="6">
        <f>SUMIFS(R$10:R$89,$E$10:$E$89,$C94,$D$10:$D$89,$D94,$F$10:$F$89,$F94)</f>
        <v>71760</v>
      </c>
      <c r="S94" s="6">
        <f>SUMIFS(S$10:S$89,$E$10:$E$89,$C94,$D$10:$D$89,$D94,$F$10:$F$89,$F94)</f>
        <v>127280</v>
      </c>
      <c r="T94" s="6">
        <f>SUMIFS(T$10:T$89,$E$10:$E$89,$C94,$D$10:$D$89,$D94,$F$10:$F$89,$F94)</f>
        <v>181760</v>
      </c>
      <c r="U94" s="6">
        <f>SUMIFS(U$10:U$89,$E$10:$E$89,$C94,$D$10:$D$89,$D94,$F$10:$F$89,$F94)</f>
        <v>88320</v>
      </c>
      <c r="V94" s="67">
        <f t="shared" ref="V94:V108" si="3">SUM(Q94:U94)</f>
        <v>1442880</v>
      </c>
    </row>
    <row r="95" spans="1:26" ht="12.75" customHeight="1" x14ac:dyDescent="0.2">
      <c r="C95" s="1" t="s">
        <v>12</v>
      </c>
      <c r="D95" s="1" t="s">
        <v>50</v>
      </c>
      <c r="F95" s="1" t="s">
        <v>51</v>
      </c>
      <c r="G95" s="2"/>
      <c r="H95" s="63"/>
      <c r="J95" s="2"/>
      <c r="P95" s="2"/>
      <c r="Q95" s="6">
        <f>SUMIFS(Q$10:Q$89,$E$10:$E$89,$C95,$D$10:$D$89,$D95,$F$10:$F$89,$F95)</f>
        <v>3392755</v>
      </c>
      <c r="R95" s="6">
        <f>SUMIFS(R$10:R$89,$E$10:$E$89,$C95,$D$10:$D$89,$D95,$F$10:$F$89,$F95)</f>
        <v>989265</v>
      </c>
      <c r="S95" s="6">
        <f>SUMIFS(S$10:S$89,$E$10:$E$89,$C95,$D$10:$D$89,$D95,$F$10:$F$89,$F95)</f>
        <v>1489779</v>
      </c>
      <c r="T95" s="6">
        <f>SUMIFS(T$10:T$89,$E$10:$E$89,$C95,$D$10:$D$89,$D95,$F$10:$F$89,$F95)</f>
        <v>1506241</v>
      </c>
      <c r="U95" s="6">
        <f>SUMIFS(U$10:U$89,$E$10:$E$89,$C95,$D$10:$D$89,$D95,$F$10:$F$89,$F95)</f>
        <v>1286355</v>
      </c>
      <c r="V95" s="67">
        <f t="shared" si="3"/>
        <v>8664395</v>
      </c>
    </row>
    <row r="96" spans="1:26" ht="12.75" customHeight="1" x14ac:dyDescent="0.2">
      <c r="C96" s="1" t="s">
        <v>10</v>
      </c>
      <c r="D96" s="1" t="s">
        <v>50</v>
      </c>
      <c r="F96" s="1" t="s">
        <v>47</v>
      </c>
      <c r="G96" s="2"/>
      <c r="H96" s="63"/>
      <c r="J96" s="2"/>
      <c r="P96" s="2"/>
      <c r="Q96" s="6">
        <f>SUMIFS(Q$10:Q$89,$E$10:$E$89,$C96,$D$10:$D$89,$D96,$F$10:$F$89,$F96)</f>
        <v>24053.272478129769</v>
      </c>
      <c r="R96" s="6">
        <f>SUMIFS(R$10:R$89,$E$10:$E$89,$C96,$D$10:$D$89,$D96,$F$10:$F$89,$F96)</f>
        <v>768230.43248338648</v>
      </c>
      <c r="S96" s="6">
        <f>SUMIFS(S$10:S$89,$E$10:$E$89,$C96,$D$10:$D$89,$D96,$F$10:$F$89,$F96)</f>
        <v>400000</v>
      </c>
      <c r="T96" s="6">
        <f>SUMIFS(T$10:T$89,$E$10:$E$89,$C96,$D$10:$D$89,$D96,$F$10:$F$89,$F96)</f>
        <v>0</v>
      </c>
      <c r="U96" s="6">
        <f>SUMIFS(U$10:U$89,$E$10:$E$89,$C96,$D$10:$D$89,$D96,$F$10:$F$89,$F96)</f>
        <v>0</v>
      </c>
      <c r="V96" s="67">
        <f t="shared" si="3"/>
        <v>1192283.7049615162</v>
      </c>
    </row>
    <row r="97" spans="3:23" ht="12.75" customHeight="1" x14ac:dyDescent="0.2">
      <c r="C97" s="1" t="s">
        <v>11</v>
      </c>
      <c r="D97" s="1" t="s">
        <v>50</v>
      </c>
      <c r="F97" s="1" t="s">
        <v>47</v>
      </c>
      <c r="G97" s="2"/>
      <c r="H97" s="63"/>
      <c r="J97" s="2"/>
      <c r="P97" s="2"/>
      <c r="Q97" s="6">
        <f>SUMIFS(Q$10:Q$89,$E$10:$E$89,$C97,$D$10:$D$89,$D97,$F$10:$F$89,$F97)</f>
        <v>0</v>
      </c>
      <c r="R97" s="6">
        <f>SUMIFS(R$10:R$89,$E$10:$E$89,$C97,$D$10:$D$89,$D97,$F$10:$F$89,$F97)</f>
        <v>0</v>
      </c>
      <c r="S97" s="6">
        <f>SUMIFS(S$10:S$89,$E$10:$E$89,$C97,$D$10:$D$89,$D97,$F$10:$F$89,$F97)</f>
        <v>0</v>
      </c>
      <c r="T97" s="6">
        <f>SUMIFS(T$10:T$89,$E$10:$E$89,$C97,$D$10:$D$89,$D97,$F$10:$F$89,$F97)</f>
        <v>0</v>
      </c>
      <c r="U97" s="6">
        <f>SUMIFS(U$10:U$89,$E$10:$E$89,$C97,$D$10:$D$89,$D97,$F$10:$F$89,$F97)</f>
        <v>0</v>
      </c>
      <c r="V97" s="67">
        <f t="shared" si="3"/>
        <v>0</v>
      </c>
    </row>
    <row r="98" spans="3:23" ht="12.75" customHeight="1" x14ac:dyDescent="0.2">
      <c r="C98" s="1" t="s">
        <v>12</v>
      </c>
      <c r="D98" s="1" t="s">
        <v>50</v>
      </c>
      <c r="F98" s="1" t="s">
        <v>47</v>
      </c>
      <c r="G98" s="2"/>
      <c r="H98" s="63"/>
      <c r="J98" s="2"/>
      <c r="P98" s="2"/>
      <c r="Q98" s="6">
        <f>SUMIFS(Q$10:Q$89,$E$10:$E$89,$C98,$D$10:$D$89,$D98,$F$10:$F$89,$F98)</f>
        <v>0</v>
      </c>
      <c r="R98" s="6">
        <f>SUMIFS(R$10:R$89,$E$10:$E$89,$C98,$D$10:$D$89,$D98,$F$10:$F$89,$F98)</f>
        <v>0</v>
      </c>
      <c r="S98" s="6">
        <f>SUMIFS(S$10:S$89,$E$10:$E$89,$C98,$D$10:$D$89,$D98,$F$10:$F$89,$F98)</f>
        <v>0</v>
      </c>
      <c r="T98" s="6">
        <f>SUMIFS(T$10:T$89,$E$10:$E$89,$C98,$D$10:$D$89,$D98,$F$10:$F$89,$F98)</f>
        <v>0</v>
      </c>
      <c r="U98" s="6">
        <f>SUMIFS(U$10:U$89,$E$10:$E$89,$C98,$D$10:$D$89,$D98,$F$10:$F$89,$F98)</f>
        <v>0</v>
      </c>
      <c r="V98" s="67">
        <f t="shared" si="3"/>
        <v>0</v>
      </c>
    </row>
    <row r="99" spans="3:23" ht="12.75" customHeight="1" x14ac:dyDescent="0.2">
      <c r="C99" s="21" t="s">
        <v>13</v>
      </c>
      <c r="D99" s="21" t="s">
        <v>50</v>
      </c>
      <c r="E99" s="99"/>
      <c r="F99" s="100"/>
      <c r="G99" s="2"/>
      <c r="H99" s="100"/>
      <c r="I99" s="102"/>
      <c r="J99" s="101"/>
      <c r="K99" s="99"/>
      <c r="L99" s="99"/>
      <c r="M99" s="99"/>
      <c r="N99" s="99"/>
      <c r="O99" s="99"/>
      <c r="P99" s="2"/>
      <c r="Q99" s="22">
        <f>SUM(Q93:Q98)</f>
        <v>7443304.0561754387</v>
      </c>
      <c r="R99" s="22">
        <f t="shared" ref="R99:U99" si="4">SUM(R93:R98)</f>
        <v>2845351.4956979826</v>
      </c>
      <c r="S99" s="22">
        <f t="shared" si="4"/>
        <v>4076593.7161571025</v>
      </c>
      <c r="T99" s="22">
        <f t="shared" si="4"/>
        <v>3373273.7845807513</v>
      </c>
      <c r="U99" s="22">
        <f t="shared" si="4"/>
        <v>2973508.8908000435</v>
      </c>
      <c r="V99" s="22">
        <f>SUM(V93:V98)</f>
        <v>20712031.94341132</v>
      </c>
    </row>
    <row r="100" spans="3:23" ht="12.75" customHeight="1" x14ac:dyDescent="0.2">
      <c r="C100" s="1" t="s">
        <v>10</v>
      </c>
      <c r="D100" s="1" t="s">
        <v>46</v>
      </c>
      <c r="F100" s="1" t="s">
        <v>51</v>
      </c>
      <c r="G100" s="2"/>
      <c r="H100" s="63"/>
      <c r="J100" s="2"/>
      <c r="P100" s="2"/>
      <c r="Q100" s="6">
        <f>SUMIFS(Q$10:Q$89,$E$10:$E$89,$C100,$D$10:$D$89,$D100,$F$10:$F$89,$F100)</f>
        <v>0</v>
      </c>
      <c r="R100" s="6">
        <f>SUMIFS(R$10:R$89,$E$10:$E$89,$C100,$D$10:$D$89,$D100,$F$10:$F$89,$F100)</f>
        <v>0</v>
      </c>
      <c r="S100" s="6">
        <f>SUMIFS(S$10:S$89,$E$10:$E$89,$C100,$D$10:$D$89,$D100,$F$10:$F$89,$F100)</f>
        <v>0</v>
      </c>
      <c r="T100" s="6">
        <f>SUMIFS(T$10:T$89,$E$10:$E$89,$C100,$D$10:$D$89,$D100,$F$10:$F$89,$F100)</f>
        <v>0</v>
      </c>
      <c r="U100" s="6">
        <f>SUMIFS(U$10:U$89,$E$10:$E$89,$C100,$D$10:$D$89,$D100,$F$10:$F$89,$F100)</f>
        <v>0</v>
      </c>
      <c r="V100" s="67">
        <f t="shared" si="3"/>
        <v>0</v>
      </c>
    </row>
    <row r="101" spans="3:23" ht="12.75" customHeight="1" x14ac:dyDescent="0.2">
      <c r="C101" s="1" t="s">
        <v>11</v>
      </c>
      <c r="D101" s="1" t="s">
        <v>46</v>
      </c>
      <c r="F101" s="1" t="s">
        <v>51</v>
      </c>
      <c r="G101" s="2"/>
      <c r="H101" s="63"/>
      <c r="J101" s="2"/>
      <c r="P101" s="2"/>
      <c r="Q101" s="6">
        <f>SUMIFS(Q$10:Q$89,$E$10:$E$89,$C101,$D$10:$D$89,$D101,$F$10:$F$89,$F101)</f>
        <v>0</v>
      </c>
      <c r="R101" s="6">
        <f>SUMIFS(R$10:R$89,$E$10:$E$89,$C101,$D$10:$D$89,$D101,$F$10:$F$89,$F101)</f>
        <v>0</v>
      </c>
      <c r="S101" s="6">
        <f>SUMIFS(S$10:S$89,$E$10:$E$89,$C101,$D$10:$D$89,$D101,$F$10:$F$89,$F101)</f>
        <v>0</v>
      </c>
      <c r="T101" s="6">
        <f>SUMIFS(T$10:T$89,$E$10:$E$89,$C101,$D$10:$D$89,$D101,$F$10:$F$89,$F101)</f>
        <v>0</v>
      </c>
      <c r="U101" s="6">
        <f>SUMIFS(U$10:U$89,$E$10:$E$89,$C101,$D$10:$D$89,$D101,$F$10:$F$89,$F101)</f>
        <v>0</v>
      </c>
      <c r="V101" s="67">
        <f t="shared" si="3"/>
        <v>0</v>
      </c>
    </row>
    <row r="102" spans="3:23" ht="12.75" customHeight="1" x14ac:dyDescent="0.2">
      <c r="C102" s="1" t="s">
        <v>12</v>
      </c>
      <c r="D102" s="1" t="s">
        <v>46</v>
      </c>
      <c r="F102" s="1" t="s">
        <v>51</v>
      </c>
      <c r="G102" s="2"/>
      <c r="H102" s="63"/>
      <c r="J102" s="2"/>
      <c r="P102" s="2"/>
      <c r="Q102" s="6">
        <f>SUMIFS(Q$10:Q$89,$E$10:$E$89,$C102,$D$10:$D$89,$D102,$F$10:$F$89,$F102)</f>
        <v>0</v>
      </c>
      <c r="R102" s="6">
        <f>SUMIFS(R$10:R$89,$E$10:$E$89,$C102,$D$10:$D$89,$D102,$F$10:$F$89,$F102)</f>
        <v>0</v>
      </c>
      <c r="S102" s="6">
        <f>SUMIFS(S$10:S$89,$E$10:$E$89,$C102,$D$10:$D$89,$D102,$F$10:$F$89,$F102)</f>
        <v>0</v>
      </c>
      <c r="T102" s="6">
        <f>SUMIFS(T$10:T$89,$E$10:$E$89,$C102,$D$10:$D$89,$D102,$F$10:$F$89,$F102)</f>
        <v>0</v>
      </c>
      <c r="U102" s="6">
        <f>SUMIFS(U$10:U$89,$E$10:$E$89,$C102,$D$10:$D$89,$D102,$F$10:$F$89,$F102)</f>
        <v>0</v>
      </c>
      <c r="V102" s="67">
        <f t="shared" si="3"/>
        <v>0</v>
      </c>
    </row>
    <row r="103" spans="3:23" ht="12.75" customHeight="1" x14ac:dyDescent="0.2">
      <c r="C103" s="1" t="s">
        <v>10</v>
      </c>
      <c r="D103" s="1" t="s">
        <v>46</v>
      </c>
      <c r="F103" s="1" t="s">
        <v>47</v>
      </c>
      <c r="G103" s="2"/>
      <c r="H103" s="63"/>
      <c r="J103" s="2"/>
      <c r="P103" s="2"/>
      <c r="Q103" s="6">
        <f>SUMIFS(Q$10:Q$89,$E$10:$E$89,$C103,$D$10:$D$89,$D103,$F$10:$F$89,$F103)</f>
        <v>0</v>
      </c>
      <c r="R103" s="6">
        <f>SUMIFS(R$10:R$89,$E$10:$E$89,$C103,$D$10:$D$89,$D103,$F$10:$F$89,$F103)</f>
        <v>0</v>
      </c>
      <c r="S103" s="6">
        <f>SUMIFS(S$10:S$89,$E$10:$E$89,$C103,$D$10:$D$89,$D103,$F$10:$F$89,$F103)</f>
        <v>0</v>
      </c>
      <c r="T103" s="6">
        <f>SUMIFS(T$10:T$89,$E$10:$E$89,$C103,$D$10:$D$89,$D103,$F$10:$F$89,$F103)</f>
        <v>0</v>
      </c>
      <c r="U103" s="6">
        <f>SUMIFS(U$10:U$89,$E$10:$E$89,$C103,$D$10:$D$89,$D103,$F$10:$F$89,$F103)</f>
        <v>0</v>
      </c>
      <c r="V103" s="67">
        <f t="shared" si="3"/>
        <v>0</v>
      </c>
    </row>
    <row r="104" spans="3:23" ht="12.75" customHeight="1" x14ac:dyDescent="0.2">
      <c r="C104" s="1" t="s">
        <v>11</v>
      </c>
      <c r="D104" s="1" t="s">
        <v>46</v>
      </c>
      <c r="F104" s="1" t="s">
        <v>47</v>
      </c>
      <c r="G104" s="2"/>
      <c r="H104" s="63"/>
      <c r="J104" s="2"/>
      <c r="P104" s="2"/>
      <c r="Q104" s="6">
        <f>SUMIFS(Q$10:Q$89,$E$10:$E$89,$C104,$D$10:$D$89,$D104,$F$10:$F$89,$F104)</f>
        <v>0</v>
      </c>
      <c r="R104" s="6">
        <f>SUMIFS(R$10:R$89,$E$10:$E$89,$C104,$D$10:$D$89,$D104,$F$10:$F$89,$F104)</f>
        <v>0</v>
      </c>
      <c r="S104" s="6">
        <f>SUMIFS(S$10:S$89,$E$10:$E$89,$C104,$D$10:$D$89,$D104,$F$10:$F$89,$F104)</f>
        <v>0</v>
      </c>
      <c r="T104" s="6">
        <f>SUMIFS(T$10:T$89,$E$10:$E$89,$C104,$D$10:$D$89,$D104,$F$10:$F$89,$F104)</f>
        <v>0</v>
      </c>
      <c r="U104" s="6">
        <f>SUMIFS(U$10:U$89,$E$10:$E$89,$C104,$D$10:$D$89,$D104,$F$10:$F$89,$F104)</f>
        <v>0</v>
      </c>
      <c r="V104" s="67">
        <f t="shared" si="3"/>
        <v>0</v>
      </c>
    </row>
    <row r="105" spans="3:23" ht="12.75" customHeight="1" x14ac:dyDescent="0.2">
      <c r="C105" s="1" t="s">
        <v>12</v>
      </c>
      <c r="D105" s="1" t="s">
        <v>46</v>
      </c>
      <c r="F105" s="1" t="s">
        <v>47</v>
      </c>
      <c r="G105" s="2"/>
      <c r="H105" s="63"/>
      <c r="J105" s="2"/>
      <c r="P105" s="2"/>
      <c r="Q105" s="6">
        <f>SUMIFS(Q$10:Q$89,$E$10:$E$89,$C105,$D$10:$D$89,$D105,$F$10:$F$89,$F105)</f>
        <v>0</v>
      </c>
      <c r="R105" s="6">
        <f>SUMIFS(R$10:R$89,$E$10:$E$89,$C105,$D$10:$D$89,$D105,$F$10:$F$89,$F105)</f>
        <v>0</v>
      </c>
      <c r="S105" s="6">
        <f>SUMIFS(S$10:S$89,$E$10:$E$89,$C105,$D$10:$D$89,$D105,$F$10:$F$89,$F105)</f>
        <v>0</v>
      </c>
      <c r="T105" s="6">
        <f>SUMIFS(T$10:T$89,$E$10:$E$89,$C105,$D$10:$D$89,$D105,$F$10:$F$89,$F105)</f>
        <v>0</v>
      </c>
      <c r="U105" s="6">
        <f>SUMIFS(U$10:U$89,$E$10:$E$89,$C105,$D$10:$D$89,$D105,$F$10:$F$89,$F105)</f>
        <v>0</v>
      </c>
      <c r="V105" s="67">
        <f t="shared" si="3"/>
        <v>0</v>
      </c>
    </row>
    <row r="106" spans="3:23" ht="12.75" customHeight="1" x14ac:dyDescent="0.2">
      <c r="C106" s="21" t="s">
        <v>14</v>
      </c>
      <c r="D106" s="21" t="s">
        <v>46</v>
      </c>
      <c r="E106" s="99"/>
      <c r="F106" s="100"/>
      <c r="G106" s="2"/>
      <c r="H106" s="100"/>
      <c r="I106" s="102"/>
      <c r="J106" s="101"/>
      <c r="K106" s="99"/>
      <c r="L106" s="99"/>
      <c r="M106" s="99"/>
      <c r="N106" s="99"/>
      <c r="O106" s="99"/>
      <c r="P106" s="2"/>
      <c r="Q106" s="22">
        <f>SUM(Q100:Q105)</f>
        <v>0</v>
      </c>
      <c r="R106" s="22">
        <f t="shared" ref="R106:U106" si="5">SUM(R100:R105)</f>
        <v>0</v>
      </c>
      <c r="S106" s="22">
        <f t="shared" si="5"/>
        <v>0</v>
      </c>
      <c r="T106" s="22">
        <f t="shared" si="5"/>
        <v>0</v>
      </c>
      <c r="U106" s="22">
        <f t="shared" si="5"/>
        <v>0</v>
      </c>
      <c r="V106" s="22">
        <f>SUM(V100:V105)</f>
        <v>0</v>
      </c>
    </row>
    <row r="107" spans="3:23" ht="12.75" customHeight="1" x14ac:dyDescent="0.2">
      <c r="F107" s="63"/>
      <c r="G107" s="2"/>
      <c r="H107" s="63"/>
      <c r="J107" s="2"/>
      <c r="P107" s="2"/>
      <c r="Q107" s="6"/>
      <c r="R107" s="6"/>
      <c r="S107" s="6"/>
      <c r="T107" s="6"/>
      <c r="U107" s="6"/>
      <c r="V107" s="67"/>
    </row>
    <row r="108" spans="3:23" ht="12.75" customHeight="1" x14ac:dyDescent="0.2">
      <c r="C108" s="7" t="str">
        <f>"Total Expenditure ($ "&amp;Assumptions!$B$12&amp;")"</f>
        <v>Total Expenditure ($ June 2024)</v>
      </c>
      <c r="D108" s="7"/>
      <c r="E108" s="7"/>
      <c r="F108" s="7"/>
      <c r="G108" s="2"/>
      <c r="H108" s="7"/>
      <c r="I108" s="10"/>
      <c r="J108" s="2"/>
      <c r="K108" s="7"/>
      <c r="L108" s="7"/>
      <c r="M108" s="7"/>
      <c r="N108" s="7"/>
      <c r="O108" s="7"/>
      <c r="P108" s="2"/>
      <c r="Q108" s="8">
        <f>Q99+Q106</f>
        <v>7443304.0561754387</v>
      </c>
      <c r="R108" s="8">
        <f t="shared" ref="R108:U108" si="6">R99+R106</f>
        <v>2845351.4956979826</v>
      </c>
      <c r="S108" s="8">
        <f t="shared" si="6"/>
        <v>4076593.7161571025</v>
      </c>
      <c r="T108" s="8">
        <f t="shared" si="6"/>
        <v>3373273.7845807513</v>
      </c>
      <c r="U108" s="8">
        <f t="shared" si="6"/>
        <v>2973508.8908000435</v>
      </c>
      <c r="V108" s="68">
        <f t="shared" si="3"/>
        <v>20712031.94341132</v>
      </c>
    </row>
    <row r="109" spans="3:23" ht="12.75" customHeight="1" x14ac:dyDescent="0.2">
      <c r="C109" s="42" t="s">
        <v>76</v>
      </c>
      <c r="D109" s="42"/>
      <c r="E109" s="42"/>
      <c r="F109" s="42"/>
      <c r="G109" s="2"/>
      <c r="H109" s="42"/>
      <c r="I109" s="42"/>
      <c r="J109" s="2"/>
      <c r="K109" s="42"/>
      <c r="L109" s="42"/>
      <c r="M109" s="42"/>
      <c r="N109" s="42"/>
      <c r="O109" s="42"/>
      <c r="P109" s="2"/>
      <c r="Q109" s="43">
        <f>Q108-SUM(Q$10:Q$89)</f>
        <v>0</v>
      </c>
      <c r="R109" s="43">
        <f t="shared" ref="R109:U109" si="7">R108-SUM(R$10:R$89)</f>
        <v>0</v>
      </c>
      <c r="S109" s="43">
        <f t="shared" si="7"/>
        <v>0</v>
      </c>
      <c r="T109" s="43">
        <f t="shared" si="7"/>
        <v>0</v>
      </c>
      <c r="U109" s="43">
        <f t="shared" si="7"/>
        <v>0</v>
      </c>
      <c r="V109" s="43">
        <f>V108-SUM(Q$10:U$89)</f>
        <v>0</v>
      </c>
      <c r="W109" s="43">
        <f>SUM(Q109:V109)</f>
        <v>0</v>
      </c>
    </row>
    <row r="110" spans="3:23" ht="12.75" customHeight="1" x14ac:dyDescent="0.2">
      <c r="G110" s="2"/>
      <c r="J110" s="2"/>
      <c r="P110" s="2"/>
    </row>
    <row r="111" spans="3:23" ht="12.75" customHeight="1" x14ac:dyDescent="0.2">
      <c r="C111" s="51" t="str">
        <f>"NPV ($ "&amp;Assumptions!$B$12&amp;")"</f>
        <v>NPV ($ June 2024)</v>
      </c>
      <c r="D111" s="52">
        <f>NPV(Real_Discount_rate,Q108:U108)</f>
        <v>18967846.074647382</v>
      </c>
      <c r="G111" s="2"/>
      <c r="J111" s="2"/>
      <c r="P111" s="2"/>
    </row>
    <row r="112" spans="3:23" ht="12.75" customHeight="1" x14ac:dyDescent="0.2">
      <c r="G112" s="2"/>
      <c r="J112" s="2"/>
      <c r="P112" s="2"/>
    </row>
    <row r="113" spans="3:23" ht="12.75" customHeight="1" x14ac:dyDescent="0.2">
      <c r="G113" s="2"/>
      <c r="J113" s="2"/>
      <c r="P113" s="2"/>
    </row>
    <row r="114" spans="3:23" ht="12.75" customHeight="1" x14ac:dyDescent="0.2">
      <c r="C114" s="4" t="s">
        <v>75</v>
      </c>
      <c r="F114" s="3"/>
      <c r="G114" s="2"/>
      <c r="J114" s="2"/>
      <c r="P114" s="2"/>
      <c r="Q114" s="64" t="s">
        <v>5</v>
      </c>
      <c r="R114" s="64" t="s">
        <v>6</v>
      </c>
      <c r="S114" s="64" t="s">
        <v>7</v>
      </c>
      <c r="T114" s="64" t="s">
        <v>8</v>
      </c>
      <c r="U114" s="64" t="s">
        <v>9</v>
      </c>
      <c r="V114" s="109" t="s">
        <v>0</v>
      </c>
    </row>
    <row r="115" spans="3:23" ht="12.75" customHeight="1" x14ac:dyDescent="0.2">
      <c r="C115" s="24"/>
      <c r="D115" s="24" t="s">
        <v>50</v>
      </c>
      <c r="E115" s="24"/>
      <c r="F115" s="24" t="s">
        <v>51</v>
      </c>
      <c r="G115" s="2"/>
      <c r="H115" s="61"/>
      <c r="I115" s="62"/>
      <c r="J115" s="2"/>
      <c r="K115" s="24"/>
      <c r="L115" s="24"/>
      <c r="M115" s="24"/>
      <c r="N115" s="24"/>
      <c r="O115" s="24"/>
      <c r="P115" s="2"/>
      <c r="Q115" s="25">
        <f>SUMIFS(Q$10:Q$89,$D$10:$D$89,$D115,$F$10:$F$89,$F115)</f>
        <v>7419250.783697309</v>
      </c>
      <c r="R115" s="25">
        <f>SUMIFS(R$10:R$89,$D$10:$D$89,$D115,$F$10:$F$89,$F115)</f>
        <v>2077121.0632145961</v>
      </c>
      <c r="S115" s="25">
        <f>SUMIFS(S$10:S$89,$D$10:$D$89,$D115,$F$10:$F$89,$F115)</f>
        <v>3676593.7161571025</v>
      </c>
      <c r="T115" s="25">
        <f>SUMIFS(T$10:T$89,$D$10:$D$89,$D115,$F$10:$F$89,$F115)</f>
        <v>3373273.7845807509</v>
      </c>
      <c r="U115" s="25">
        <f>SUMIFS(U$10:U$89,$D$10:$D$89,$D115,$F$10:$F$89,$F115)</f>
        <v>2973508.8908000435</v>
      </c>
      <c r="V115" s="67">
        <f t="shared" ref="V115:V116" si="8">SUM(Q115:U115)</f>
        <v>19519748.238449801</v>
      </c>
    </row>
    <row r="116" spans="3:23" ht="12.75" customHeight="1" x14ac:dyDescent="0.2">
      <c r="D116" s="1" t="s">
        <v>46</v>
      </c>
      <c r="F116" s="1" t="s">
        <v>51</v>
      </c>
      <c r="G116" s="2"/>
      <c r="J116" s="2"/>
      <c r="P116" s="2"/>
      <c r="Q116" s="108">
        <f>SUMIFS(Q$10:Q$89,$D$10:$D$89,$D116,$F$10:$F$89,$F116)</f>
        <v>0</v>
      </c>
      <c r="R116" s="108">
        <f>SUMIFS(R$10:R$89,$D$10:$D$89,$D116,$F$10:$F$89,$F116)</f>
        <v>0</v>
      </c>
      <c r="S116" s="108">
        <f>SUMIFS(S$10:S$89,$D$10:$D$89,$D116,$F$10:$F$89,$F116)</f>
        <v>0</v>
      </c>
      <c r="T116" s="108">
        <f>SUMIFS(T$10:T$89,$D$10:$D$89,$D116,$F$10:$F$89,$F116)</f>
        <v>0</v>
      </c>
      <c r="U116" s="108">
        <f>SUMIFS(U$10:U$89,$D$10:$D$89,$D116,$F$10:$F$89,$F116)</f>
        <v>0</v>
      </c>
      <c r="V116" s="67">
        <f t="shared" si="8"/>
        <v>0</v>
      </c>
    </row>
    <row r="117" spans="3:23" ht="12.75" customHeight="1" x14ac:dyDescent="0.2">
      <c r="C117" s="21" t="s">
        <v>77</v>
      </c>
      <c r="D117" s="21"/>
      <c r="E117" s="99"/>
      <c r="F117" s="100"/>
      <c r="G117" s="2"/>
      <c r="H117" s="100"/>
      <c r="I117" s="102"/>
      <c r="J117" s="101"/>
      <c r="K117" s="99"/>
      <c r="L117" s="99"/>
      <c r="M117" s="99"/>
      <c r="N117" s="99"/>
      <c r="O117" s="99"/>
      <c r="P117" s="2"/>
      <c r="Q117" s="22">
        <f>SUM(Q115:Q116)</f>
        <v>7419250.783697309</v>
      </c>
      <c r="R117" s="22">
        <f t="shared" ref="R117:V117" si="9">SUM(R115:R116)</f>
        <v>2077121.0632145961</v>
      </c>
      <c r="S117" s="22">
        <f t="shared" si="9"/>
        <v>3676593.7161571025</v>
      </c>
      <c r="T117" s="22">
        <f t="shared" si="9"/>
        <v>3373273.7845807509</v>
      </c>
      <c r="U117" s="22">
        <f t="shared" si="9"/>
        <v>2973508.8908000435</v>
      </c>
      <c r="V117" s="22">
        <f t="shared" si="9"/>
        <v>19519748.238449801</v>
      </c>
    </row>
    <row r="118" spans="3:23" ht="12.75" customHeight="1" x14ac:dyDescent="0.2">
      <c r="C118" s="4"/>
      <c r="D118" s="1" t="s">
        <v>50</v>
      </c>
      <c r="F118" s="1" t="s">
        <v>47</v>
      </c>
      <c r="G118" s="2"/>
      <c r="H118" s="63"/>
      <c r="J118" s="2"/>
      <c r="P118" s="2"/>
      <c r="Q118" s="6">
        <f>SUMIFS(Q$10:Q$89,$D$10:$D$89,$D118,$F$10:$F$89,$F118)</f>
        <v>24053.272478129769</v>
      </c>
      <c r="R118" s="6">
        <f>SUMIFS(R$10:R$89,$D$10:$D$89,$D118,$F$10:$F$89,$F118)</f>
        <v>768230.43248338648</v>
      </c>
      <c r="S118" s="6">
        <f>SUMIFS(S$10:S$89,$D$10:$D$89,$D118,$F$10:$F$89,$F118)</f>
        <v>400000</v>
      </c>
      <c r="T118" s="6">
        <f>SUMIFS(T$10:T$89,$D$10:$D$89,$D118,$F$10:$F$89,$F118)</f>
        <v>0</v>
      </c>
      <c r="U118" s="6">
        <f>SUMIFS(U$10:U$89,$D$10:$D$89,$D118,$F$10:$F$89,$F118)</f>
        <v>0</v>
      </c>
      <c r="V118" s="67">
        <f t="shared" ref="V118:V119" si="10">SUM(Q118:U118)</f>
        <v>1192283.7049615162</v>
      </c>
    </row>
    <row r="119" spans="3:23" ht="12.75" customHeight="1" x14ac:dyDescent="0.2">
      <c r="C119" s="4"/>
      <c r="D119" s="1" t="s">
        <v>46</v>
      </c>
      <c r="F119" s="1" t="s">
        <v>47</v>
      </c>
      <c r="G119" s="2"/>
      <c r="H119" s="63"/>
      <c r="J119" s="2"/>
      <c r="P119" s="2"/>
      <c r="Q119" s="6">
        <f>SUMIFS(Q$10:Q$89,$D$10:$D$89,$D119,$F$10:$F$89,$F119)</f>
        <v>0</v>
      </c>
      <c r="R119" s="6">
        <f>SUMIFS(R$10:R$89,$D$10:$D$89,$D119,$F$10:$F$89,$F119)</f>
        <v>0</v>
      </c>
      <c r="S119" s="6">
        <f>SUMIFS(S$10:S$89,$D$10:$D$89,$D119,$F$10:$F$89,$F119)</f>
        <v>0</v>
      </c>
      <c r="T119" s="6">
        <f>SUMIFS(T$10:T$89,$D$10:$D$89,$D119,$F$10:$F$89,$F119)</f>
        <v>0</v>
      </c>
      <c r="U119" s="6">
        <f>SUMIFS(U$10:U$89,$D$10:$D$89,$D119,$F$10:$F$89,$F119)</f>
        <v>0</v>
      </c>
      <c r="V119" s="67">
        <f t="shared" si="10"/>
        <v>0</v>
      </c>
    </row>
    <row r="120" spans="3:23" ht="12.75" customHeight="1" x14ac:dyDescent="0.2">
      <c r="C120" s="21" t="s">
        <v>78</v>
      </c>
      <c r="D120" s="21"/>
      <c r="E120" s="99"/>
      <c r="F120" s="100"/>
      <c r="G120" s="2"/>
      <c r="H120" s="100"/>
      <c r="I120" s="102"/>
      <c r="J120" s="101"/>
      <c r="K120" s="99"/>
      <c r="L120" s="99"/>
      <c r="M120" s="99"/>
      <c r="N120" s="99"/>
      <c r="O120" s="99"/>
      <c r="P120" s="2"/>
      <c r="Q120" s="22">
        <f>SUM(Q118:Q119)</f>
        <v>24053.272478129769</v>
      </c>
      <c r="R120" s="22">
        <f t="shared" ref="R120:V120" si="11">SUM(R118:R119)</f>
        <v>768230.43248338648</v>
      </c>
      <c r="S120" s="22">
        <f t="shared" si="11"/>
        <v>400000</v>
      </c>
      <c r="T120" s="22">
        <f t="shared" si="11"/>
        <v>0</v>
      </c>
      <c r="U120" s="22">
        <f t="shared" si="11"/>
        <v>0</v>
      </c>
      <c r="V120" s="22">
        <f t="shared" si="11"/>
        <v>1192283.7049615162</v>
      </c>
    </row>
    <row r="121" spans="3:23" ht="12.75" customHeight="1" x14ac:dyDescent="0.2">
      <c r="C121" s="4"/>
      <c r="D121" s="4"/>
      <c r="F121" s="63"/>
      <c r="G121" s="2"/>
      <c r="H121" s="63"/>
      <c r="J121" s="2"/>
      <c r="P121" s="2"/>
      <c r="Q121" s="23"/>
      <c r="R121" s="23"/>
      <c r="S121" s="23"/>
      <c r="T121" s="23"/>
      <c r="U121" s="23"/>
      <c r="V121" s="23"/>
    </row>
    <row r="122" spans="3:23" ht="12.75" customHeight="1" x14ac:dyDescent="0.2">
      <c r="C122" s="7" t="str">
        <f>"Total Expenditure ($ "&amp;Assumptions!$B$12&amp;")"</f>
        <v>Total Expenditure ($ June 2024)</v>
      </c>
      <c r="D122" s="7"/>
      <c r="E122" s="7"/>
      <c r="F122" s="7"/>
      <c r="G122" s="2"/>
      <c r="H122" s="7"/>
      <c r="I122" s="10"/>
      <c r="J122" s="2"/>
      <c r="K122" s="7"/>
      <c r="L122" s="7"/>
      <c r="M122" s="7"/>
      <c r="N122" s="7"/>
      <c r="O122" s="7"/>
      <c r="P122" s="2"/>
      <c r="Q122" s="8">
        <f>Q117+Q120</f>
        <v>7443304.0561754387</v>
      </c>
      <c r="R122" s="8">
        <f t="shared" ref="R122:U122" si="12">R117+R120</f>
        <v>2845351.4956979826</v>
      </c>
      <c r="S122" s="8">
        <f t="shared" si="12"/>
        <v>4076593.7161571025</v>
      </c>
      <c r="T122" s="8">
        <f t="shared" si="12"/>
        <v>3373273.7845807509</v>
      </c>
      <c r="U122" s="8">
        <f t="shared" si="12"/>
        <v>2973508.8908000435</v>
      </c>
      <c r="V122" s="68">
        <f t="shared" ref="V122" si="13">SUM(Q122:U122)</f>
        <v>20712031.94341132</v>
      </c>
    </row>
    <row r="123" spans="3:23" ht="12.75" customHeight="1" x14ac:dyDescent="0.2">
      <c r="C123" s="42" t="s">
        <v>76</v>
      </c>
      <c r="D123" s="42"/>
      <c r="E123" s="42"/>
      <c r="F123" s="42"/>
      <c r="G123" s="2"/>
      <c r="H123" s="42"/>
      <c r="I123" s="42"/>
      <c r="J123" s="2"/>
      <c r="K123" s="42"/>
      <c r="L123" s="42"/>
      <c r="M123" s="42"/>
      <c r="N123" s="42"/>
      <c r="O123" s="42"/>
      <c r="P123" s="2"/>
      <c r="Q123" s="43">
        <f>Q122-SUM(Q$10:Q$89)</f>
        <v>0</v>
      </c>
      <c r="R123" s="43">
        <f t="shared" ref="R123:U123" si="14">R122-SUM(R$10:R$89)</f>
        <v>0</v>
      </c>
      <c r="S123" s="43">
        <f t="shared" si="14"/>
        <v>0</v>
      </c>
      <c r="T123" s="43">
        <f t="shared" si="14"/>
        <v>0</v>
      </c>
      <c r="U123" s="43">
        <f t="shared" si="14"/>
        <v>0</v>
      </c>
      <c r="V123" s="43">
        <f>V122-SUM(Q$10:U$89)</f>
        <v>0</v>
      </c>
      <c r="W123" s="43">
        <f>SUM(Q123:V123)</f>
        <v>0</v>
      </c>
    </row>
    <row r="124" spans="3:23" ht="12.75" customHeight="1" x14ac:dyDescent="0.2">
      <c r="C124" s="110"/>
      <c r="D124" s="110"/>
      <c r="E124" s="110"/>
      <c r="F124" s="110"/>
      <c r="G124" s="2"/>
      <c r="H124" s="110"/>
      <c r="I124" s="110"/>
      <c r="J124" s="2"/>
      <c r="K124" s="110"/>
      <c r="L124" s="110"/>
      <c r="M124" s="110"/>
      <c r="N124" s="110"/>
      <c r="O124" s="110"/>
      <c r="P124" s="2"/>
      <c r="Q124" s="111"/>
      <c r="R124" s="111"/>
      <c r="S124" s="111"/>
      <c r="T124" s="111"/>
      <c r="U124" s="111"/>
      <c r="V124" s="111"/>
      <c r="W124" s="111"/>
    </row>
    <row r="125" spans="3:23" ht="12.75" customHeight="1" x14ac:dyDescent="0.2">
      <c r="C125" s="110"/>
      <c r="D125" s="110"/>
      <c r="E125" s="110"/>
      <c r="F125" s="110"/>
      <c r="G125" s="2"/>
      <c r="H125" s="110"/>
      <c r="I125" s="110"/>
      <c r="J125" s="2"/>
      <c r="K125" s="110"/>
      <c r="L125" s="110"/>
      <c r="M125" s="110"/>
      <c r="N125" s="110"/>
      <c r="O125" s="110"/>
      <c r="P125" s="2"/>
      <c r="Q125" s="111"/>
      <c r="R125" s="111"/>
      <c r="S125" s="111"/>
      <c r="T125" s="111"/>
      <c r="U125" s="111"/>
      <c r="V125" s="111"/>
      <c r="W125" s="111"/>
    </row>
    <row r="126" spans="3:23" ht="12.75" customHeight="1" x14ac:dyDescent="0.2">
      <c r="C126" s="110"/>
      <c r="D126" s="110"/>
      <c r="E126" s="110"/>
      <c r="F126" s="110"/>
      <c r="G126" s="2"/>
      <c r="H126" s="110"/>
      <c r="I126" s="110"/>
      <c r="J126" s="2"/>
      <c r="K126" s="110"/>
      <c r="L126" s="110"/>
      <c r="M126" s="110"/>
      <c r="N126" s="110"/>
      <c r="O126" s="110"/>
      <c r="P126" s="2"/>
      <c r="Q126" s="111"/>
      <c r="R126" s="111"/>
      <c r="S126" s="111"/>
      <c r="T126" s="111"/>
      <c r="U126" s="111"/>
      <c r="V126" s="111"/>
      <c r="W126" s="111"/>
    </row>
    <row r="127" spans="3:23" ht="12.75" customHeight="1" x14ac:dyDescent="0.2">
      <c r="C127" s="71" t="s">
        <v>79</v>
      </c>
      <c r="G127" s="2"/>
      <c r="J127" s="2"/>
      <c r="P127" s="2"/>
      <c r="Q127" s="64" t="s">
        <v>5</v>
      </c>
      <c r="R127" s="64" t="s">
        <v>6</v>
      </c>
      <c r="S127" s="64" t="s">
        <v>7</v>
      </c>
      <c r="T127" s="64" t="s">
        <v>8</v>
      </c>
      <c r="U127" s="64" t="s">
        <v>9</v>
      </c>
      <c r="V127" s="64" t="s">
        <v>0</v>
      </c>
    </row>
    <row r="128" spans="3:23" ht="12.75" customHeight="1" x14ac:dyDescent="0.2">
      <c r="C128" s="24" t="s">
        <v>10</v>
      </c>
      <c r="D128" s="24" t="s">
        <v>50</v>
      </c>
      <c r="E128" s="24"/>
      <c r="F128" s="24" t="s">
        <v>51</v>
      </c>
      <c r="G128" s="2"/>
      <c r="H128" s="61"/>
      <c r="I128" s="62"/>
      <c r="J128" s="2"/>
      <c r="K128" s="24"/>
      <c r="L128" s="24"/>
      <c r="M128" s="24"/>
      <c r="N128" s="24"/>
      <c r="O128" s="24"/>
      <c r="P128" s="2"/>
      <c r="Q128" s="32">
        <f t="shared" ref="Q128:U133" si="15">Q93*business_case_dollars</f>
        <v>3397428.2598452149</v>
      </c>
      <c r="R128" s="32">
        <f t="shared" si="15"/>
        <v>1130826.1587256417</v>
      </c>
      <c r="S128" s="32">
        <f t="shared" si="15"/>
        <v>2292082.2313452549</v>
      </c>
      <c r="T128" s="32">
        <f t="shared" si="15"/>
        <v>1875561.3946216307</v>
      </c>
      <c r="U128" s="32">
        <f t="shared" si="15"/>
        <v>1779362.4565908201</v>
      </c>
      <c r="V128" s="66">
        <f>SUM(Q128:U128)</f>
        <v>10475260.501128562</v>
      </c>
    </row>
    <row r="129" spans="3:23" ht="12.75" customHeight="1" x14ac:dyDescent="0.2">
      <c r="C129" s="1" t="s">
        <v>11</v>
      </c>
      <c r="D129" s="1" t="s">
        <v>50</v>
      </c>
      <c r="F129" s="1" t="s">
        <v>51</v>
      </c>
      <c r="G129" s="2"/>
      <c r="H129" s="63"/>
      <c r="J129" s="2"/>
      <c r="P129" s="2"/>
      <c r="Q129" s="6">
        <f t="shared" si="15"/>
        <v>1083709.8185746251</v>
      </c>
      <c r="R129" s="6">
        <f t="shared" si="15"/>
        <v>79862.61150685497</v>
      </c>
      <c r="S129" s="6">
        <f t="shared" si="15"/>
        <v>141651.52163590441</v>
      </c>
      <c r="T129" s="6">
        <f t="shared" si="15"/>
        <v>202283.0026126806</v>
      </c>
      <c r="U129" s="6">
        <f t="shared" si="15"/>
        <v>98292.444931513804</v>
      </c>
      <c r="V129" s="67">
        <f t="shared" ref="V129:V143" si="16">SUM(Q129:U129)</f>
        <v>1605799.3992615789</v>
      </c>
    </row>
    <row r="130" spans="3:23" ht="12.75" customHeight="1" x14ac:dyDescent="0.2">
      <c r="C130" s="1" t="s">
        <v>12</v>
      </c>
      <c r="D130" s="1" t="s">
        <v>50</v>
      </c>
      <c r="F130" s="1" t="s">
        <v>51</v>
      </c>
      <c r="G130" s="2"/>
      <c r="H130" s="63"/>
      <c r="J130" s="2"/>
      <c r="P130" s="2"/>
      <c r="Q130" s="6">
        <f t="shared" si="15"/>
        <v>3775839.9456931404</v>
      </c>
      <c r="R130" s="6">
        <f t="shared" si="15"/>
        <v>1100965.5291573144</v>
      </c>
      <c r="S130" s="6">
        <f t="shared" si="15"/>
        <v>1657993.8894658708</v>
      </c>
      <c r="T130" s="6">
        <f t="shared" si="15"/>
        <v>1676314.657451181</v>
      </c>
      <c r="U130" s="6">
        <f t="shared" si="15"/>
        <v>1431600.7472812212</v>
      </c>
      <c r="V130" s="67">
        <f t="shared" si="16"/>
        <v>9642714.769048728</v>
      </c>
    </row>
    <row r="131" spans="3:23" ht="12.75" customHeight="1" x14ac:dyDescent="0.2">
      <c r="C131" s="1" t="s">
        <v>10</v>
      </c>
      <c r="D131" s="1" t="s">
        <v>50</v>
      </c>
      <c r="F131" s="1" t="s">
        <v>47</v>
      </c>
      <c r="G131" s="2"/>
      <c r="H131" s="63"/>
      <c r="J131" s="2"/>
      <c r="P131" s="2"/>
      <c r="Q131" s="6">
        <f t="shared" si="15"/>
        <v>26769.19112861489</v>
      </c>
      <c r="R131" s="6">
        <f t="shared" si="15"/>
        <v>854973.36367285217</v>
      </c>
      <c r="S131" s="6">
        <f t="shared" si="15"/>
        <v>445165.05856663862</v>
      </c>
      <c r="T131" s="6">
        <f t="shared" si="15"/>
        <v>0</v>
      </c>
      <c r="U131" s="6">
        <f t="shared" si="15"/>
        <v>0</v>
      </c>
      <c r="V131" s="6">
        <f t="shared" si="16"/>
        <v>1326907.6133681056</v>
      </c>
    </row>
    <row r="132" spans="3:23" ht="12.75" customHeight="1" x14ac:dyDescent="0.2">
      <c r="C132" s="1" t="s">
        <v>11</v>
      </c>
      <c r="D132" s="1" t="s">
        <v>50</v>
      </c>
      <c r="F132" s="1" t="s">
        <v>47</v>
      </c>
      <c r="G132" s="2"/>
      <c r="H132" s="63"/>
      <c r="J132" s="2"/>
      <c r="P132" s="2"/>
      <c r="Q132" s="6">
        <f t="shared" si="15"/>
        <v>0</v>
      </c>
      <c r="R132" s="6">
        <f t="shared" si="15"/>
        <v>0</v>
      </c>
      <c r="S132" s="6">
        <f t="shared" si="15"/>
        <v>0</v>
      </c>
      <c r="T132" s="6">
        <f t="shared" si="15"/>
        <v>0</v>
      </c>
      <c r="U132" s="6">
        <f t="shared" si="15"/>
        <v>0</v>
      </c>
      <c r="V132" s="6">
        <f t="shared" si="16"/>
        <v>0</v>
      </c>
    </row>
    <row r="133" spans="3:23" ht="12.75" customHeight="1" x14ac:dyDescent="0.2">
      <c r="C133" s="1" t="s">
        <v>12</v>
      </c>
      <c r="D133" s="1" t="s">
        <v>50</v>
      </c>
      <c r="F133" s="1" t="s">
        <v>47</v>
      </c>
      <c r="G133" s="2"/>
      <c r="H133" s="63"/>
      <c r="J133" s="2"/>
      <c r="P133" s="2"/>
      <c r="Q133" s="6">
        <f t="shared" si="15"/>
        <v>0</v>
      </c>
      <c r="R133" s="6">
        <f t="shared" si="15"/>
        <v>0</v>
      </c>
      <c r="S133" s="6">
        <f t="shared" si="15"/>
        <v>0</v>
      </c>
      <c r="T133" s="6">
        <f t="shared" si="15"/>
        <v>0</v>
      </c>
      <c r="U133" s="6">
        <f t="shared" si="15"/>
        <v>0</v>
      </c>
      <c r="V133" s="6">
        <f t="shared" si="16"/>
        <v>0</v>
      </c>
    </row>
    <row r="134" spans="3:23" ht="12.75" customHeight="1" x14ac:dyDescent="0.2">
      <c r="C134" s="21" t="s">
        <v>13</v>
      </c>
      <c r="D134" s="21" t="s">
        <v>50</v>
      </c>
      <c r="E134" s="99"/>
      <c r="F134" s="100"/>
      <c r="G134" s="101"/>
      <c r="H134" s="100"/>
      <c r="I134" s="102"/>
      <c r="J134" s="101"/>
      <c r="K134" s="99"/>
      <c r="L134" s="99"/>
      <c r="M134" s="99"/>
      <c r="N134" s="99"/>
      <c r="O134" s="99"/>
      <c r="P134" s="101"/>
      <c r="Q134" s="22">
        <f>SUM(Q128:Q133)</f>
        <v>8283747.2152415961</v>
      </c>
      <c r="R134" s="22">
        <f t="shared" ref="R134:U134" si="17">SUM(R128:R133)</f>
        <v>3166627.6630626633</v>
      </c>
      <c r="S134" s="22">
        <f t="shared" si="17"/>
        <v>4536892.7010136684</v>
      </c>
      <c r="T134" s="22">
        <f t="shared" si="17"/>
        <v>3754159.0546854921</v>
      </c>
      <c r="U134" s="22">
        <f t="shared" si="17"/>
        <v>3309255.6488035554</v>
      </c>
      <c r="V134" s="22">
        <f>SUM(V128:V133)</f>
        <v>23050682.282806974</v>
      </c>
    </row>
    <row r="135" spans="3:23" ht="12.75" customHeight="1" x14ac:dyDescent="0.2">
      <c r="C135" s="1" t="s">
        <v>10</v>
      </c>
      <c r="D135" s="1" t="s">
        <v>46</v>
      </c>
      <c r="F135" s="1" t="s">
        <v>51</v>
      </c>
      <c r="G135" s="2"/>
      <c r="H135" s="63"/>
      <c r="J135" s="2"/>
      <c r="P135" s="2"/>
      <c r="Q135" s="112">
        <f t="shared" ref="Q135:U140" si="18">Q100*business_case_dollars</f>
        <v>0</v>
      </c>
      <c r="R135" s="112">
        <f t="shared" si="18"/>
        <v>0</v>
      </c>
      <c r="S135" s="112">
        <f t="shared" si="18"/>
        <v>0</v>
      </c>
      <c r="T135" s="112">
        <f t="shared" si="18"/>
        <v>0</v>
      </c>
      <c r="U135" s="112">
        <f t="shared" si="18"/>
        <v>0</v>
      </c>
      <c r="V135" s="67">
        <f>SUM(Q135:U135)</f>
        <v>0</v>
      </c>
    </row>
    <row r="136" spans="3:23" ht="12.75" customHeight="1" x14ac:dyDescent="0.2">
      <c r="C136" s="1" t="s">
        <v>11</v>
      </c>
      <c r="D136" s="1" t="s">
        <v>46</v>
      </c>
      <c r="F136" s="1" t="s">
        <v>51</v>
      </c>
      <c r="G136" s="2"/>
      <c r="H136" s="63"/>
      <c r="J136" s="2"/>
      <c r="P136" s="2"/>
      <c r="Q136" s="6">
        <f t="shared" si="18"/>
        <v>0</v>
      </c>
      <c r="R136" s="6">
        <f t="shared" si="18"/>
        <v>0</v>
      </c>
      <c r="S136" s="6">
        <f t="shared" si="18"/>
        <v>0</v>
      </c>
      <c r="T136" s="6">
        <f t="shared" si="18"/>
        <v>0</v>
      </c>
      <c r="U136" s="6">
        <f t="shared" si="18"/>
        <v>0</v>
      </c>
      <c r="V136" s="67">
        <f t="shared" ref="V136:V140" si="19">SUM(Q136:U136)</f>
        <v>0</v>
      </c>
    </row>
    <row r="137" spans="3:23" ht="12.75" customHeight="1" x14ac:dyDescent="0.2">
      <c r="C137" s="1" t="s">
        <v>12</v>
      </c>
      <c r="D137" s="1" t="s">
        <v>46</v>
      </c>
      <c r="F137" s="1" t="s">
        <v>51</v>
      </c>
      <c r="G137" s="2"/>
      <c r="H137" s="63"/>
      <c r="J137" s="2"/>
      <c r="P137" s="2"/>
      <c r="Q137" s="6">
        <f t="shared" si="18"/>
        <v>0</v>
      </c>
      <c r="R137" s="6">
        <f t="shared" si="18"/>
        <v>0</v>
      </c>
      <c r="S137" s="6">
        <f t="shared" si="18"/>
        <v>0</v>
      </c>
      <c r="T137" s="6">
        <f t="shared" si="18"/>
        <v>0</v>
      </c>
      <c r="U137" s="6">
        <f t="shared" si="18"/>
        <v>0</v>
      </c>
      <c r="V137" s="67">
        <f t="shared" si="19"/>
        <v>0</v>
      </c>
    </row>
    <row r="138" spans="3:23" ht="12.75" customHeight="1" x14ac:dyDescent="0.2">
      <c r="C138" s="1" t="s">
        <v>10</v>
      </c>
      <c r="D138" s="1" t="s">
        <v>46</v>
      </c>
      <c r="F138" s="1" t="s">
        <v>47</v>
      </c>
      <c r="G138" s="2"/>
      <c r="H138" s="63"/>
      <c r="J138" s="2"/>
      <c r="P138" s="2"/>
      <c r="Q138" s="6">
        <f t="shared" si="18"/>
        <v>0</v>
      </c>
      <c r="R138" s="6">
        <f t="shared" si="18"/>
        <v>0</v>
      </c>
      <c r="S138" s="6">
        <f t="shared" si="18"/>
        <v>0</v>
      </c>
      <c r="T138" s="6">
        <f t="shared" si="18"/>
        <v>0</v>
      </c>
      <c r="U138" s="6">
        <f t="shared" si="18"/>
        <v>0</v>
      </c>
      <c r="V138" s="6">
        <f t="shared" si="19"/>
        <v>0</v>
      </c>
    </row>
    <row r="139" spans="3:23" ht="12.75" customHeight="1" x14ac:dyDescent="0.2">
      <c r="C139" s="1" t="s">
        <v>11</v>
      </c>
      <c r="D139" s="1" t="s">
        <v>46</v>
      </c>
      <c r="F139" s="1" t="s">
        <v>47</v>
      </c>
      <c r="G139" s="2"/>
      <c r="H139" s="63"/>
      <c r="J139" s="2"/>
      <c r="P139" s="2"/>
      <c r="Q139" s="6">
        <f t="shared" si="18"/>
        <v>0</v>
      </c>
      <c r="R139" s="6">
        <f t="shared" si="18"/>
        <v>0</v>
      </c>
      <c r="S139" s="6">
        <f t="shared" si="18"/>
        <v>0</v>
      </c>
      <c r="T139" s="6">
        <f t="shared" si="18"/>
        <v>0</v>
      </c>
      <c r="U139" s="6">
        <f t="shared" si="18"/>
        <v>0</v>
      </c>
      <c r="V139" s="6">
        <f t="shared" si="19"/>
        <v>0</v>
      </c>
    </row>
    <row r="140" spans="3:23" ht="12.75" customHeight="1" x14ac:dyDescent="0.2">
      <c r="C140" s="1" t="s">
        <v>12</v>
      </c>
      <c r="D140" s="1" t="s">
        <v>46</v>
      </c>
      <c r="F140" s="1" t="s">
        <v>47</v>
      </c>
      <c r="G140" s="2"/>
      <c r="H140" s="63"/>
      <c r="J140" s="2"/>
      <c r="P140" s="2"/>
      <c r="Q140" s="6">
        <f t="shared" si="18"/>
        <v>0</v>
      </c>
      <c r="R140" s="6">
        <f t="shared" si="18"/>
        <v>0</v>
      </c>
      <c r="S140" s="6">
        <f t="shared" si="18"/>
        <v>0</v>
      </c>
      <c r="T140" s="6">
        <f t="shared" si="18"/>
        <v>0</v>
      </c>
      <c r="U140" s="6">
        <f t="shared" si="18"/>
        <v>0</v>
      </c>
      <c r="V140" s="6">
        <f t="shared" si="19"/>
        <v>0</v>
      </c>
    </row>
    <row r="141" spans="3:23" ht="12.75" customHeight="1" x14ac:dyDescent="0.2">
      <c r="C141" s="21" t="s">
        <v>14</v>
      </c>
      <c r="D141" s="21" t="s">
        <v>46</v>
      </c>
      <c r="E141" s="99"/>
      <c r="F141" s="100"/>
      <c r="G141" s="101"/>
      <c r="H141" s="100"/>
      <c r="I141" s="102"/>
      <c r="J141" s="101"/>
      <c r="K141" s="99"/>
      <c r="L141" s="99"/>
      <c r="M141" s="99"/>
      <c r="N141" s="99"/>
      <c r="O141" s="99"/>
      <c r="P141" s="101"/>
      <c r="Q141" s="22">
        <f>SUM(Q135:Q140)</f>
        <v>0</v>
      </c>
      <c r="R141" s="22">
        <f t="shared" ref="R141:V141" si="20">SUM(R135:R140)</f>
        <v>0</v>
      </c>
      <c r="S141" s="22">
        <f t="shared" si="20"/>
        <v>0</v>
      </c>
      <c r="T141" s="22">
        <f t="shared" si="20"/>
        <v>0</v>
      </c>
      <c r="U141" s="22">
        <f t="shared" si="20"/>
        <v>0</v>
      </c>
      <c r="V141" s="22">
        <f t="shared" si="20"/>
        <v>0</v>
      </c>
    </row>
    <row r="142" spans="3:23" ht="12.75" customHeight="1" x14ac:dyDescent="0.2">
      <c r="G142" s="2"/>
      <c r="H142" s="63"/>
      <c r="J142" s="2"/>
      <c r="P142" s="2"/>
      <c r="Q142" s="6"/>
      <c r="R142" s="6"/>
      <c r="S142" s="6"/>
      <c r="T142" s="6"/>
      <c r="U142" s="6"/>
      <c r="V142" s="67"/>
    </row>
    <row r="143" spans="3:23" x14ac:dyDescent="0.2">
      <c r="C143" s="7" t="str">
        <f>"Total Expenditure ($ "&amp;Assumptions!$C$35&amp;")"</f>
        <v>Total Expenditure ($ June 2026)</v>
      </c>
      <c r="D143" s="7" t="s">
        <v>80</v>
      </c>
      <c r="E143" s="7"/>
      <c r="F143" s="7"/>
      <c r="G143" s="2"/>
      <c r="H143" s="7"/>
      <c r="I143" s="10"/>
      <c r="J143" s="2"/>
      <c r="K143" s="7"/>
      <c r="L143" s="7"/>
      <c r="M143" s="7"/>
      <c r="N143" s="7"/>
      <c r="O143" s="7"/>
      <c r="P143" s="2"/>
      <c r="Q143" s="8">
        <f>Q134+Q141</f>
        <v>8283747.2152415961</v>
      </c>
      <c r="R143" s="8">
        <f t="shared" ref="R143:U143" si="21">R134+R141</f>
        <v>3166627.6630626633</v>
      </c>
      <c r="S143" s="8">
        <f t="shared" si="21"/>
        <v>4536892.7010136684</v>
      </c>
      <c r="T143" s="8">
        <f t="shared" si="21"/>
        <v>3754159.0546854921</v>
      </c>
      <c r="U143" s="8">
        <f t="shared" si="21"/>
        <v>3309255.6488035554</v>
      </c>
      <c r="V143" s="68">
        <f t="shared" si="16"/>
        <v>23050682.282806974</v>
      </c>
    </row>
    <row r="144" spans="3:23" x14ac:dyDescent="0.2">
      <c r="G144" s="2"/>
      <c r="J144" s="2"/>
      <c r="P144" s="2"/>
      <c r="Q144" s="43">
        <f>SUM(Q10:Q89)*business_case_dollars-Q143</f>
        <v>0</v>
      </c>
      <c r="R144" s="43">
        <f>SUM(R10:R89)*business_case_dollars-R143</f>
        <v>0</v>
      </c>
      <c r="S144" s="43">
        <f>SUM(S10:S89)*business_case_dollars-S143</f>
        <v>0</v>
      </c>
      <c r="T144" s="43">
        <f>SUM(T10:T89)*business_case_dollars-T143</f>
        <v>0</v>
      </c>
      <c r="U144" s="43">
        <f>SUM(U10:U89)*business_case_dollars-U143</f>
        <v>0</v>
      </c>
      <c r="V144" s="43">
        <f>SUM(Q10:U89)*business_case_dollars-V143</f>
        <v>0</v>
      </c>
      <c r="W144" s="43">
        <f>SUM(Q144:V144)</f>
        <v>0</v>
      </c>
    </row>
    <row r="145" spans="3:23" x14ac:dyDescent="0.2">
      <c r="C145" s="51" t="str">
        <f>"NPV ($ "&amp;Assumptions!$C$35&amp;")"</f>
        <v>NPV ($ June 2026)</v>
      </c>
      <c r="D145" s="52">
        <f>NPV(Real_Discount_rate,Q143:U143)</f>
        <v>21109555.771758474</v>
      </c>
      <c r="G145" s="2"/>
      <c r="J145" s="2"/>
      <c r="P145" s="2"/>
      <c r="Q145" s="49"/>
      <c r="R145" s="49"/>
      <c r="S145" s="49"/>
      <c r="T145" s="49"/>
      <c r="U145" s="49"/>
    </row>
    <row r="148" spans="3:23" x14ac:dyDescent="0.2">
      <c r="C148" s="4" t="s">
        <v>75</v>
      </c>
      <c r="F148" s="3"/>
      <c r="G148" s="2"/>
      <c r="J148" s="2"/>
      <c r="P148" s="2"/>
      <c r="Q148" s="64" t="s">
        <v>5</v>
      </c>
      <c r="R148" s="64" t="s">
        <v>6</v>
      </c>
      <c r="S148" s="64" t="s">
        <v>7</v>
      </c>
      <c r="T148" s="64" t="s">
        <v>8</v>
      </c>
      <c r="U148" s="64" t="s">
        <v>9</v>
      </c>
      <c r="V148" s="109" t="s">
        <v>0</v>
      </c>
    </row>
    <row r="149" spans="3:23" x14ac:dyDescent="0.2">
      <c r="C149" s="24"/>
      <c r="D149" s="24" t="s">
        <v>50</v>
      </c>
      <c r="E149" s="24"/>
      <c r="F149" s="24" t="s">
        <v>51</v>
      </c>
      <c r="G149" s="2"/>
      <c r="H149" s="61"/>
      <c r="I149" s="62"/>
      <c r="J149" s="2"/>
      <c r="K149" s="24"/>
      <c r="L149" s="24"/>
      <c r="M149" s="24"/>
      <c r="N149" s="24"/>
      <c r="O149" s="24"/>
      <c r="P149" s="2"/>
      <c r="Q149" s="25">
        <f t="shared" ref="Q149:U150" si="22">Q115*business_case_dollars</f>
        <v>8256978.0241129808</v>
      </c>
      <c r="R149" s="25">
        <f t="shared" si="22"/>
        <v>2311654.2993898112</v>
      </c>
      <c r="S149" s="25">
        <f t="shared" si="22"/>
        <v>4091727.6424470302</v>
      </c>
      <c r="T149" s="25">
        <f t="shared" si="22"/>
        <v>3754159.0546854916</v>
      </c>
      <c r="U149" s="25">
        <f t="shared" si="22"/>
        <v>3309255.6488035549</v>
      </c>
      <c r="V149" s="67">
        <f t="shared" ref="V149:V150" si="23">SUM(Q149:U149)</f>
        <v>21723774.669438869</v>
      </c>
    </row>
    <row r="150" spans="3:23" x14ac:dyDescent="0.2">
      <c r="D150" s="1" t="s">
        <v>46</v>
      </c>
      <c r="F150" s="1" t="s">
        <v>51</v>
      </c>
      <c r="G150" s="2"/>
      <c r="J150" s="2"/>
      <c r="P150" s="2"/>
      <c r="Q150" s="108">
        <f t="shared" si="22"/>
        <v>0</v>
      </c>
      <c r="R150" s="108">
        <f t="shared" si="22"/>
        <v>0</v>
      </c>
      <c r="S150" s="108">
        <f t="shared" si="22"/>
        <v>0</v>
      </c>
      <c r="T150" s="108">
        <f t="shared" si="22"/>
        <v>0</v>
      </c>
      <c r="U150" s="108">
        <f t="shared" si="22"/>
        <v>0</v>
      </c>
      <c r="V150" s="67">
        <f t="shared" si="23"/>
        <v>0</v>
      </c>
    </row>
    <row r="151" spans="3:23" x14ac:dyDescent="0.2">
      <c r="C151" s="21" t="s">
        <v>77</v>
      </c>
      <c r="D151" s="21"/>
      <c r="E151" s="99"/>
      <c r="F151" s="100"/>
      <c r="G151" s="2"/>
      <c r="H151" s="100"/>
      <c r="I151" s="102"/>
      <c r="J151" s="101"/>
      <c r="K151" s="99"/>
      <c r="L151" s="99"/>
      <c r="M151" s="99"/>
      <c r="N151" s="99"/>
      <c r="O151" s="99"/>
      <c r="P151" s="2"/>
      <c r="Q151" s="22">
        <f>SUM(Q149:Q150)</f>
        <v>8256978.0241129808</v>
      </c>
      <c r="R151" s="22">
        <f t="shared" ref="R151:V151" si="24">SUM(R149:R150)</f>
        <v>2311654.2993898112</v>
      </c>
      <c r="S151" s="22">
        <f t="shared" si="24"/>
        <v>4091727.6424470302</v>
      </c>
      <c r="T151" s="22">
        <f t="shared" si="24"/>
        <v>3754159.0546854916</v>
      </c>
      <c r="U151" s="22">
        <f t="shared" si="24"/>
        <v>3309255.6488035549</v>
      </c>
      <c r="V151" s="22">
        <f t="shared" si="24"/>
        <v>21723774.669438869</v>
      </c>
    </row>
    <row r="152" spans="3:23" x14ac:dyDescent="0.2">
      <c r="C152" s="4"/>
      <c r="D152" s="1" t="s">
        <v>50</v>
      </c>
      <c r="F152" s="1" t="s">
        <v>47</v>
      </c>
      <c r="G152" s="2"/>
      <c r="H152" s="63"/>
      <c r="J152" s="2"/>
      <c r="P152" s="2"/>
      <c r="Q152" s="6">
        <f t="shared" ref="Q152:U153" si="25">Q118*business_case_dollars</f>
        <v>26769.19112861489</v>
      </c>
      <c r="R152" s="6">
        <f t="shared" si="25"/>
        <v>854973.36367285217</v>
      </c>
      <c r="S152" s="6">
        <f t="shared" si="25"/>
        <v>445165.05856663862</v>
      </c>
      <c r="T152" s="6">
        <f t="shared" si="25"/>
        <v>0</v>
      </c>
      <c r="U152" s="6">
        <f t="shared" si="25"/>
        <v>0</v>
      </c>
      <c r="V152" s="67">
        <f t="shared" ref="V152:V153" si="26">SUM(Q152:U152)</f>
        <v>1326907.6133681056</v>
      </c>
    </row>
    <row r="153" spans="3:23" x14ac:dyDescent="0.2">
      <c r="C153" s="4"/>
      <c r="D153" s="1" t="s">
        <v>46</v>
      </c>
      <c r="F153" s="1" t="s">
        <v>47</v>
      </c>
      <c r="G153" s="2"/>
      <c r="H153" s="63"/>
      <c r="J153" s="2"/>
      <c r="P153" s="2"/>
      <c r="Q153" s="6">
        <f t="shared" si="25"/>
        <v>0</v>
      </c>
      <c r="R153" s="6">
        <f t="shared" si="25"/>
        <v>0</v>
      </c>
      <c r="S153" s="6">
        <f t="shared" si="25"/>
        <v>0</v>
      </c>
      <c r="T153" s="6">
        <f t="shared" si="25"/>
        <v>0</v>
      </c>
      <c r="U153" s="6">
        <f t="shared" si="25"/>
        <v>0</v>
      </c>
      <c r="V153" s="67">
        <f t="shared" si="26"/>
        <v>0</v>
      </c>
    </row>
    <row r="154" spans="3:23" x14ac:dyDescent="0.2">
      <c r="C154" s="21" t="s">
        <v>78</v>
      </c>
      <c r="D154" s="21"/>
      <c r="E154" s="99"/>
      <c r="F154" s="100"/>
      <c r="G154" s="2"/>
      <c r="H154" s="100"/>
      <c r="I154" s="102"/>
      <c r="J154" s="101"/>
      <c r="K154" s="99"/>
      <c r="L154" s="99"/>
      <c r="M154" s="99"/>
      <c r="N154" s="99"/>
      <c r="O154" s="99"/>
      <c r="P154" s="2"/>
      <c r="Q154" s="22">
        <f>SUM(Q152:Q153)</f>
        <v>26769.19112861489</v>
      </c>
      <c r="R154" s="22">
        <f t="shared" ref="R154:V154" si="27">SUM(R152:R153)</f>
        <v>854973.36367285217</v>
      </c>
      <c r="S154" s="22">
        <f t="shared" si="27"/>
        <v>445165.05856663862</v>
      </c>
      <c r="T154" s="22">
        <f t="shared" si="27"/>
        <v>0</v>
      </c>
      <c r="U154" s="22">
        <f t="shared" si="27"/>
        <v>0</v>
      </c>
      <c r="V154" s="22">
        <f t="shared" si="27"/>
        <v>1326907.6133681056</v>
      </c>
    </row>
    <row r="155" spans="3:23" x14ac:dyDescent="0.2">
      <c r="C155" s="4"/>
      <c r="D155" s="4"/>
      <c r="F155" s="63"/>
      <c r="G155" s="2"/>
      <c r="H155" s="63"/>
      <c r="J155" s="2"/>
      <c r="P155" s="2"/>
      <c r="Q155" s="23"/>
      <c r="R155" s="23"/>
      <c r="S155" s="23"/>
      <c r="T155" s="23"/>
      <c r="U155" s="23"/>
      <c r="V155" s="23"/>
    </row>
    <row r="156" spans="3:23" x14ac:dyDescent="0.2">
      <c r="C156" s="7" t="str">
        <f>"Total Expenditure ($ "&amp;Assumptions!$C$35&amp;")"</f>
        <v>Total Expenditure ($ June 2026)</v>
      </c>
      <c r="D156" s="7"/>
      <c r="E156" s="7"/>
      <c r="F156" s="7"/>
      <c r="G156" s="2"/>
      <c r="H156" s="7"/>
      <c r="I156" s="10"/>
      <c r="J156" s="2"/>
      <c r="K156" s="7"/>
      <c r="L156" s="7"/>
      <c r="M156" s="7"/>
      <c r="N156" s="7"/>
      <c r="O156" s="7"/>
      <c r="P156" s="2"/>
      <c r="Q156" s="8">
        <f>Q151+Q154</f>
        <v>8283747.2152415961</v>
      </c>
      <c r="R156" s="8">
        <f t="shared" ref="R156:U156" si="28">R151+R154</f>
        <v>3166627.6630626633</v>
      </c>
      <c r="S156" s="8">
        <f t="shared" si="28"/>
        <v>4536892.7010136684</v>
      </c>
      <c r="T156" s="8">
        <f t="shared" si="28"/>
        <v>3754159.0546854916</v>
      </c>
      <c r="U156" s="8">
        <f t="shared" si="28"/>
        <v>3309255.6488035549</v>
      </c>
      <c r="V156" s="68">
        <f t="shared" ref="V156" si="29">SUM(Q156:U156)</f>
        <v>23050682.282806974</v>
      </c>
    </row>
    <row r="157" spans="3:23" x14ac:dyDescent="0.2">
      <c r="C157" s="42" t="s">
        <v>76</v>
      </c>
      <c r="D157" s="42"/>
      <c r="E157" s="42"/>
      <c r="F157" s="42"/>
      <c r="G157" s="2"/>
      <c r="H157" s="42"/>
      <c r="I157" s="42"/>
      <c r="J157" s="2"/>
      <c r="K157" s="42"/>
      <c r="L157" s="42"/>
      <c r="M157" s="42"/>
      <c r="N157" s="42"/>
      <c r="O157" s="42"/>
      <c r="P157" s="2"/>
      <c r="Q157" s="43">
        <f>Q156-SUM(Q$10:Q$89)*business_case_dollars</f>
        <v>0</v>
      </c>
      <c r="R157" s="43">
        <f>R156-SUM(R$10:R$89)*business_case_dollars</f>
        <v>0</v>
      </c>
      <c r="S157" s="43">
        <f>S156-SUM(S$10:S$89)*business_case_dollars</f>
        <v>0</v>
      </c>
      <c r="T157" s="43">
        <f>T156-SUM(T$10:T$89)*business_case_dollars</f>
        <v>0</v>
      </c>
      <c r="U157" s="43">
        <f>U156-SUM(U$10:U$89)*business_case_dollars</f>
        <v>0</v>
      </c>
      <c r="V157" s="43">
        <f>V156-SUM(Q$10:U$89)*business_case_dollars</f>
        <v>0</v>
      </c>
      <c r="W157" s="43">
        <f>SUM(Q157:V157)</f>
        <v>0</v>
      </c>
    </row>
  </sheetData>
  <conditionalFormatting sqref="H10:H89">
    <cfRule type="expression" dxfId="10" priority="11">
      <formula>$E10="Contracts"</formula>
    </cfRule>
    <cfRule type="expression" dxfId="9" priority="12">
      <formula>$E10="Materials"</formula>
    </cfRule>
    <cfRule type="expression" dxfId="8" priority="13">
      <formula>$E10="Labour"</formula>
    </cfRule>
  </conditionalFormatting>
  <conditionalFormatting sqref="Q109:V109">
    <cfRule type="expression" dxfId="7" priority="7">
      <formula>ABS(Q109)&gt;0.001</formula>
    </cfRule>
  </conditionalFormatting>
  <conditionalFormatting sqref="Q123:V126">
    <cfRule type="expression" dxfId="6" priority="4">
      <formula>ABS(Q123)&gt;0.001</formula>
    </cfRule>
  </conditionalFormatting>
  <conditionalFormatting sqref="Q144:V144">
    <cfRule type="expression" dxfId="5" priority="8">
      <formula>ABS(Q144)&gt;0.001</formula>
    </cfRule>
  </conditionalFormatting>
  <conditionalFormatting sqref="Q157:V157">
    <cfRule type="expression" dxfId="4" priority="1">
      <formula>ABS(Q157)&gt;0.001</formula>
    </cfRule>
  </conditionalFormatting>
  <conditionalFormatting sqref="W109">
    <cfRule type="expression" dxfId="3" priority="17">
      <formula>ABS(W109)&gt;0.001</formula>
    </cfRule>
  </conditionalFormatting>
  <conditionalFormatting sqref="W123:W126">
    <cfRule type="expression" dxfId="2" priority="5">
      <formula>ABS(W123)&gt;0.001</formula>
    </cfRule>
  </conditionalFormatting>
  <conditionalFormatting sqref="W144">
    <cfRule type="expression" dxfId="1" priority="9">
      <formula>ABS(W144)&gt;0.001</formula>
    </cfRule>
  </conditionalFormatting>
  <conditionalFormatting sqref="W157">
    <cfRule type="expression" dxfId="0" priority="2">
      <formula>ABS(W157)&gt;0.001</formula>
    </cfRule>
  </conditionalFormatting>
  <dataValidations count="3">
    <dataValidation type="list" allowBlank="1" showInputMessage="1" showErrorMessage="1" sqref="F10:F89" xr:uid="{0056677F-06F0-4171-A788-E9800796D01C}">
      <formula1>"Recurrent, Non recurrent"</formula1>
    </dataValidation>
    <dataValidation type="list" allowBlank="1" showInputMessage="1" showErrorMessage="1" sqref="D10:D89" xr:uid="{0BC2CCE9-8E5A-4443-BD56-40A8A3B5E164}">
      <formula1>"Capex, Opex"</formula1>
    </dataValidation>
    <dataValidation type="list" allowBlank="1" showInputMessage="1" showErrorMessage="1" sqref="E10:E89" xr:uid="{848BAEEB-C269-4A94-BE6C-51088AD2356E}">
      <formula1>"Labour, Materials, Contracts"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UE Summary</vt:lpstr>
      <vt:lpstr>Assumptions</vt:lpstr>
      <vt:lpstr>Option 1</vt:lpstr>
      <vt:lpstr>Option 2</vt:lpstr>
      <vt:lpstr>Option 3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2025-01-22T03:46:15Z</dcterms:created>
  <dcterms:modified xsi:type="dcterms:W3CDTF">2025-01-22T03:46:21Z</dcterms:modified>
  <cp:category/>
  <cp:contentStatus/>
</cp:coreProperties>
</file>