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126B335F-1AFE-479F-BFFB-544BBF8E3C8A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0" r:id="rId1"/>
    <sheet name="UE Summary" sheetId="82" r:id="rId2"/>
    <sheet name="Assumptions" sheetId="74" r:id="rId3"/>
    <sheet name="Option 1" sheetId="79" r:id="rId4"/>
    <sheet name="Option 2" sheetId="84" r:id="rId5"/>
    <sheet name="Option 3" sheetId="85" r:id="rId6"/>
  </sheets>
  <definedNames>
    <definedName name="Business">Assumptions!$B$8</definedName>
    <definedName name="business_case_dollars">Assumptions!$C$37</definedName>
    <definedName name="_xlnm.Print_Area" localSheetId="1">'UE Summary'!$A$1:$J$39</definedName>
    <definedName name="Project_name">Assumptions!$B$6</definedName>
    <definedName name="Real_Discount_rate">Assumptions!$B$10</definedName>
    <definedName name="years" localSheetId="3">'Option 1'!$P$8:$T$8</definedName>
    <definedName name="years" localSheetId="4">'Option 2'!$P$8:$T$8</definedName>
    <definedName name="years" localSheetId="5">'Option 3'!$P$8:$T$8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2" l="1"/>
  <c r="H33" i="82"/>
  <c r="I33" i="82"/>
  <c r="J33" i="82"/>
  <c r="G34" i="82"/>
  <c r="H34" i="82"/>
  <c r="I34" i="82"/>
  <c r="J34" i="82"/>
  <c r="H36" i="82"/>
  <c r="I36" i="82"/>
  <c r="J36" i="82"/>
  <c r="F34" i="82"/>
  <c r="F33" i="82"/>
  <c r="F36" i="82" s="1"/>
  <c r="G22" i="82"/>
  <c r="H22" i="82"/>
  <c r="H25" i="82" s="1"/>
  <c r="I22" i="82"/>
  <c r="J22" i="82"/>
  <c r="G23" i="82"/>
  <c r="H23" i="82"/>
  <c r="I23" i="82"/>
  <c r="J23" i="82"/>
  <c r="G25" i="82"/>
  <c r="J25" i="82"/>
  <c r="F23" i="82"/>
  <c r="F22" i="82"/>
  <c r="G36" i="82"/>
  <c r="I25" i="82"/>
  <c r="K14" i="82"/>
  <c r="J14" i="82"/>
  <c r="I14" i="82"/>
  <c r="H14" i="82"/>
  <c r="G14" i="82"/>
  <c r="F14" i="82"/>
  <c r="F16" i="82"/>
  <c r="G11" i="82"/>
  <c r="H11" i="82"/>
  <c r="I11" i="82"/>
  <c r="J11" i="82"/>
  <c r="G12" i="82"/>
  <c r="H12" i="82"/>
  <c r="I12" i="82"/>
  <c r="J12" i="82"/>
  <c r="F38" i="82" l="1"/>
  <c r="F25" i="82"/>
  <c r="F27" i="82" s="1"/>
  <c r="F12" i="82" l="1"/>
  <c r="F11" i="82"/>
  <c r="D6" i="90" a="1"/>
  <c r="D6" i="90" s="1"/>
  <c r="C5" i="90" a="1"/>
  <c r="C5" i="90" s="1"/>
  <c r="L23" i="85"/>
  <c r="N23" i="85" s="1"/>
  <c r="L22" i="85"/>
  <c r="N22" i="85" s="1"/>
  <c r="C83" i="85" l="1"/>
  <c r="C83" i="84"/>
  <c r="C67" i="85"/>
  <c r="C67" i="84"/>
  <c r="T62" i="84"/>
  <c r="S62" i="84"/>
  <c r="R62" i="84"/>
  <c r="Q62" i="84"/>
  <c r="P62" i="84"/>
  <c r="T62" i="79"/>
  <c r="S62" i="79"/>
  <c r="R62" i="79"/>
  <c r="Q62" i="79"/>
  <c r="P62" i="79"/>
  <c r="U62" i="79" l="1"/>
  <c r="U62" i="84"/>
  <c r="B14" i="74"/>
  <c r="A3" i="82" l="1"/>
  <c r="B21" i="74" l="1"/>
  <c r="C85" i="85" l="1"/>
  <c r="C70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T52" i="85"/>
  <c r="S52" i="85"/>
  <c r="R52" i="85"/>
  <c r="Q52" i="85"/>
  <c r="P52" i="85"/>
  <c r="H52" i="85"/>
  <c r="G52" i="85"/>
  <c r="H51" i="85"/>
  <c r="G51" i="85"/>
  <c r="T50" i="85"/>
  <c r="S50" i="85"/>
  <c r="R50" i="85"/>
  <c r="Q50" i="85"/>
  <c r="P50" i="85"/>
  <c r="H50" i="85"/>
  <c r="G50" i="85"/>
  <c r="T49" i="85"/>
  <c r="S49" i="85"/>
  <c r="R49" i="85"/>
  <c r="Q49" i="85"/>
  <c r="P49" i="85"/>
  <c r="H49" i="85"/>
  <c r="G49" i="85"/>
  <c r="H48" i="85"/>
  <c r="G48" i="85"/>
  <c r="T47" i="85"/>
  <c r="S47" i="85"/>
  <c r="R47" i="85"/>
  <c r="Q47" i="85"/>
  <c r="P47" i="85"/>
  <c r="H47" i="85"/>
  <c r="G47" i="85"/>
  <c r="T46" i="85"/>
  <c r="S46" i="85"/>
  <c r="R46" i="85"/>
  <c r="Q46" i="85"/>
  <c r="P46" i="85"/>
  <c r="H46" i="85"/>
  <c r="G46" i="85"/>
  <c r="H45" i="85"/>
  <c r="G45" i="85"/>
  <c r="S45" i="85" s="1"/>
  <c r="T44" i="85"/>
  <c r="S44" i="85"/>
  <c r="R44" i="85"/>
  <c r="Q44" i="85"/>
  <c r="P44" i="85"/>
  <c r="H44" i="85"/>
  <c r="G44" i="85"/>
  <c r="T43" i="85"/>
  <c r="S43" i="85"/>
  <c r="R43" i="85"/>
  <c r="Q43" i="85"/>
  <c r="P43" i="85"/>
  <c r="H43" i="85"/>
  <c r="G43" i="85"/>
  <c r="H42" i="85"/>
  <c r="G42" i="85"/>
  <c r="T41" i="85"/>
  <c r="S41" i="85"/>
  <c r="R41" i="85"/>
  <c r="Q41" i="85"/>
  <c r="P41" i="85"/>
  <c r="H41" i="85"/>
  <c r="G41" i="85"/>
  <c r="T40" i="85"/>
  <c r="S40" i="85"/>
  <c r="R40" i="85"/>
  <c r="Q40" i="85"/>
  <c r="P40" i="85"/>
  <c r="H40" i="85"/>
  <c r="G40" i="85"/>
  <c r="H39" i="85"/>
  <c r="G39" i="85"/>
  <c r="T38" i="85"/>
  <c r="S38" i="85"/>
  <c r="R38" i="85"/>
  <c r="Q38" i="85"/>
  <c r="P38" i="85"/>
  <c r="H38" i="85"/>
  <c r="G38" i="85"/>
  <c r="T37" i="85"/>
  <c r="S37" i="85"/>
  <c r="R37" i="85"/>
  <c r="Q37" i="85"/>
  <c r="P37" i="85"/>
  <c r="H37" i="85"/>
  <c r="G37" i="85"/>
  <c r="H36" i="85"/>
  <c r="G36" i="85"/>
  <c r="N36" i="85" s="1"/>
  <c r="T35" i="85"/>
  <c r="S35" i="85"/>
  <c r="R35" i="85"/>
  <c r="Q35" i="85"/>
  <c r="P35" i="85"/>
  <c r="H35" i="85"/>
  <c r="G35" i="85"/>
  <c r="T34" i="85"/>
  <c r="S34" i="85"/>
  <c r="R34" i="85"/>
  <c r="Q34" i="85"/>
  <c r="P34" i="85"/>
  <c r="H34" i="85"/>
  <c r="G34" i="85"/>
  <c r="H33" i="85"/>
  <c r="G33" i="85"/>
  <c r="J33" i="85" s="1"/>
  <c r="T32" i="85"/>
  <c r="S32" i="85"/>
  <c r="R32" i="85"/>
  <c r="Q32" i="85"/>
  <c r="P32" i="85"/>
  <c r="H32" i="85"/>
  <c r="G32" i="85"/>
  <c r="T31" i="85"/>
  <c r="S31" i="85"/>
  <c r="R31" i="85"/>
  <c r="Q31" i="85"/>
  <c r="P31" i="85"/>
  <c r="H31" i="85"/>
  <c r="G31" i="85"/>
  <c r="H30" i="85"/>
  <c r="G30" i="85"/>
  <c r="T29" i="85"/>
  <c r="S29" i="85"/>
  <c r="R29" i="85"/>
  <c r="Q29" i="85"/>
  <c r="P29" i="85"/>
  <c r="H29" i="85"/>
  <c r="G29" i="85"/>
  <c r="T28" i="85"/>
  <c r="S28" i="85"/>
  <c r="R28" i="85"/>
  <c r="Q28" i="85"/>
  <c r="P28" i="85"/>
  <c r="H28" i="85"/>
  <c r="G28" i="85"/>
  <c r="H27" i="85"/>
  <c r="G27" i="85"/>
  <c r="J27" i="85" s="1"/>
  <c r="T26" i="85"/>
  <c r="S26" i="85"/>
  <c r="R26" i="85"/>
  <c r="Q26" i="85"/>
  <c r="P26" i="85"/>
  <c r="H26" i="85"/>
  <c r="G26" i="85"/>
  <c r="T25" i="85"/>
  <c r="S25" i="85"/>
  <c r="R25" i="85"/>
  <c r="Q25" i="85"/>
  <c r="P25" i="85"/>
  <c r="H25" i="85"/>
  <c r="G25" i="85"/>
  <c r="H24" i="85"/>
  <c r="G24" i="85"/>
  <c r="T23" i="85"/>
  <c r="S23" i="85"/>
  <c r="R23" i="85"/>
  <c r="Q23" i="85"/>
  <c r="P23" i="85"/>
  <c r="H23" i="85"/>
  <c r="G23" i="85"/>
  <c r="T22" i="85"/>
  <c r="S22" i="85"/>
  <c r="R22" i="85"/>
  <c r="Q22" i="85"/>
  <c r="P22" i="85"/>
  <c r="H22" i="85"/>
  <c r="G22" i="85"/>
  <c r="H21" i="85"/>
  <c r="G21" i="85"/>
  <c r="L21" i="85" s="1"/>
  <c r="N21" i="85" s="1"/>
  <c r="T20" i="85"/>
  <c r="S20" i="85"/>
  <c r="R20" i="85"/>
  <c r="Q20" i="85"/>
  <c r="P20" i="85"/>
  <c r="H20" i="85"/>
  <c r="G20" i="85"/>
  <c r="H19" i="85"/>
  <c r="G19" i="85"/>
  <c r="H18" i="85"/>
  <c r="G18" i="85"/>
  <c r="T17" i="85"/>
  <c r="Q17" i="85"/>
  <c r="P17" i="85"/>
  <c r="H17" i="85"/>
  <c r="G17" i="85"/>
  <c r="S17" i="85" s="1"/>
  <c r="H16" i="85"/>
  <c r="G16" i="85"/>
  <c r="T15" i="85"/>
  <c r="S15" i="85"/>
  <c r="R15" i="85"/>
  <c r="Q15" i="85"/>
  <c r="P15" i="85"/>
  <c r="H15" i="85"/>
  <c r="G15" i="85"/>
  <c r="H14" i="85"/>
  <c r="G14" i="85"/>
  <c r="H13" i="85"/>
  <c r="G13" i="85"/>
  <c r="J13" i="85" s="1"/>
  <c r="H12" i="85"/>
  <c r="G12" i="85"/>
  <c r="T12" i="85" s="1"/>
  <c r="H11" i="85"/>
  <c r="G11" i="85"/>
  <c r="S11" i="85" s="1"/>
  <c r="H10" i="85"/>
  <c r="G10" i="85"/>
  <c r="K10" i="85" s="1"/>
  <c r="A5" i="85"/>
  <c r="V3" i="85"/>
  <c r="A2" i="85"/>
  <c r="A1" i="85"/>
  <c r="C85" i="84"/>
  <c r="C70" i="84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H51" i="84"/>
  <c r="G51" i="84"/>
  <c r="J51" i="84" s="1"/>
  <c r="H50" i="84"/>
  <c r="G50" i="84"/>
  <c r="T49" i="84"/>
  <c r="S49" i="84"/>
  <c r="R49" i="84"/>
  <c r="Q49" i="84"/>
  <c r="P49" i="84"/>
  <c r="H49" i="84"/>
  <c r="G49" i="84"/>
  <c r="H48" i="84"/>
  <c r="G48" i="84"/>
  <c r="J48" i="84" s="1"/>
  <c r="H47" i="84"/>
  <c r="G47" i="84"/>
  <c r="T46" i="84"/>
  <c r="S46" i="84"/>
  <c r="R46" i="84"/>
  <c r="Q46" i="84"/>
  <c r="P46" i="84"/>
  <c r="H46" i="84"/>
  <c r="G46" i="84"/>
  <c r="H45" i="84"/>
  <c r="G45" i="84"/>
  <c r="H44" i="84"/>
  <c r="G44" i="84"/>
  <c r="T43" i="84"/>
  <c r="S43" i="84"/>
  <c r="R43" i="84"/>
  <c r="Q43" i="84"/>
  <c r="P43" i="84"/>
  <c r="H43" i="84"/>
  <c r="G43" i="84"/>
  <c r="H42" i="84"/>
  <c r="G42" i="84"/>
  <c r="K42" i="84" s="1"/>
  <c r="T41" i="84"/>
  <c r="S41" i="84"/>
  <c r="Q41" i="84"/>
  <c r="H41" i="84"/>
  <c r="G41" i="84"/>
  <c r="T40" i="84"/>
  <c r="S40" i="84"/>
  <c r="R40" i="84"/>
  <c r="Q40" i="84"/>
  <c r="P40" i="84"/>
  <c r="H40" i="84"/>
  <c r="G40" i="84"/>
  <c r="H39" i="84"/>
  <c r="G39" i="84"/>
  <c r="K39" i="84" s="1"/>
  <c r="Q38" i="84"/>
  <c r="P38" i="84"/>
  <c r="H38" i="84"/>
  <c r="G38" i="84"/>
  <c r="T37" i="84"/>
  <c r="S37" i="84"/>
  <c r="R37" i="84"/>
  <c r="Q37" i="84"/>
  <c r="P37" i="84"/>
  <c r="H37" i="84"/>
  <c r="G37" i="84"/>
  <c r="H36" i="84"/>
  <c r="G36" i="84"/>
  <c r="N36" i="84" s="1"/>
  <c r="Q35" i="84"/>
  <c r="H35" i="84"/>
  <c r="G35" i="84"/>
  <c r="T34" i="84"/>
  <c r="S34" i="84"/>
  <c r="R34" i="84"/>
  <c r="Q34" i="84"/>
  <c r="P34" i="84"/>
  <c r="H34" i="84"/>
  <c r="G34" i="84"/>
  <c r="H33" i="84"/>
  <c r="G33" i="84"/>
  <c r="J33" i="84" s="1"/>
  <c r="H32" i="84"/>
  <c r="G32" i="84"/>
  <c r="T31" i="84"/>
  <c r="S31" i="84"/>
  <c r="R31" i="84"/>
  <c r="Q31" i="84"/>
  <c r="P31" i="84"/>
  <c r="H31" i="84"/>
  <c r="G31" i="84"/>
  <c r="H30" i="84"/>
  <c r="G30" i="84"/>
  <c r="T29" i="84"/>
  <c r="Q29" i="84"/>
  <c r="Q64" i="84" s="1"/>
  <c r="H29" i="84"/>
  <c r="G29" i="84"/>
  <c r="T28" i="84"/>
  <c r="S28" i="84"/>
  <c r="R28" i="84"/>
  <c r="Q28" i="84"/>
  <c r="P28" i="84"/>
  <c r="H28" i="84"/>
  <c r="G28" i="84"/>
  <c r="H27" i="84"/>
  <c r="G27" i="84"/>
  <c r="J27" i="84" s="1"/>
  <c r="H26" i="84"/>
  <c r="G26" i="84"/>
  <c r="T25" i="84"/>
  <c r="S25" i="84"/>
  <c r="R25" i="84"/>
  <c r="Q25" i="84"/>
  <c r="P25" i="84"/>
  <c r="H25" i="84"/>
  <c r="G25" i="84"/>
  <c r="H24" i="84"/>
  <c r="G24" i="84"/>
  <c r="S23" i="84"/>
  <c r="Q23" i="84"/>
  <c r="H23" i="84"/>
  <c r="G23" i="84"/>
  <c r="S22" i="84"/>
  <c r="Q22" i="84"/>
  <c r="H22" i="84"/>
  <c r="G22" i="84"/>
  <c r="H21" i="84"/>
  <c r="G21" i="84"/>
  <c r="H20" i="84"/>
  <c r="G20" i="84"/>
  <c r="H19" i="84"/>
  <c r="G19" i="84"/>
  <c r="H18" i="84"/>
  <c r="G18" i="84"/>
  <c r="T17" i="84"/>
  <c r="S17" i="84"/>
  <c r="R17" i="84"/>
  <c r="Q17" i="84"/>
  <c r="P17" i="84"/>
  <c r="H17" i="84"/>
  <c r="G17" i="84"/>
  <c r="H16" i="84"/>
  <c r="G16" i="84"/>
  <c r="T15" i="84"/>
  <c r="S15" i="84"/>
  <c r="R15" i="84"/>
  <c r="Q15" i="84"/>
  <c r="P15" i="84"/>
  <c r="H15" i="84"/>
  <c r="G15" i="84"/>
  <c r="H14" i="84"/>
  <c r="G14" i="84"/>
  <c r="H13" i="84"/>
  <c r="G13" i="84"/>
  <c r="H12" i="84"/>
  <c r="G12" i="84"/>
  <c r="T12" i="84" s="1"/>
  <c r="H11" i="84"/>
  <c r="G11" i="84"/>
  <c r="T11" i="84" s="1"/>
  <c r="H10" i="84"/>
  <c r="G10" i="84"/>
  <c r="K10" i="84" s="1"/>
  <c r="A5" i="84"/>
  <c r="V3" i="84"/>
  <c r="A2" i="84"/>
  <c r="A1" i="84"/>
  <c r="J32" i="82"/>
  <c r="I32" i="82"/>
  <c r="H32" i="82"/>
  <c r="G32" i="82"/>
  <c r="F32" i="82"/>
  <c r="J21" i="82"/>
  <c r="I21" i="82"/>
  <c r="H21" i="82"/>
  <c r="G21" i="82"/>
  <c r="F21" i="82"/>
  <c r="A2" i="82"/>
  <c r="A1" i="82"/>
  <c r="C85" i="79"/>
  <c r="C83" i="79"/>
  <c r="C36" i="74"/>
  <c r="C37" i="74" s="1"/>
  <c r="N16" i="85" l="1"/>
  <c r="L16" i="85"/>
  <c r="J16" i="85"/>
  <c r="P16" i="85" s="1"/>
  <c r="L16" i="84"/>
  <c r="R16" i="84" s="1"/>
  <c r="J16" i="84"/>
  <c r="N13" i="84"/>
  <c r="T13" i="84" s="1"/>
  <c r="K13" i="84"/>
  <c r="Q13" i="84" s="1"/>
  <c r="L14" i="84"/>
  <c r="R14" i="84" s="1"/>
  <c r="K14" i="84"/>
  <c r="Q14" i="84" s="1"/>
  <c r="J14" i="84"/>
  <c r="P14" i="84" s="1"/>
  <c r="M14" i="84"/>
  <c r="S14" i="84" s="1"/>
  <c r="N30" i="85"/>
  <c r="T30" i="85" s="1"/>
  <c r="L30" i="85"/>
  <c r="J30" i="85"/>
  <c r="M39" i="85"/>
  <c r="S39" i="85" s="1"/>
  <c r="K39" i="85"/>
  <c r="Q39" i="85" s="1"/>
  <c r="S48" i="85"/>
  <c r="J48" i="85"/>
  <c r="P48" i="85" s="1"/>
  <c r="N27" i="84"/>
  <c r="T27" i="84" s="1"/>
  <c r="M27" i="84"/>
  <c r="S27" i="84" s="1"/>
  <c r="N24" i="84"/>
  <c r="T24" i="84" s="1"/>
  <c r="M24" i="84"/>
  <c r="S24" i="84" s="1"/>
  <c r="L24" i="84"/>
  <c r="R24" i="84" s="1"/>
  <c r="K24" i="84"/>
  <c r="Q24" i="84" s="1"/>
  <c r="J24" i="84"/>
  <c r="N30" i="84"/>
  <c r="L30" i="84"/>
  <c r="J14" i="85"/>
  <c r="P14" i="85" s="1"/>
  <c r="P62" i="85" s="1"/>
  <c r="P78" i="85" s="1"/>
  <c r="M14" i="85"/>
  <c r="L14" i="85"/>
  <c r="R14" i="85" s="1"/>
  <c r="K14" i="85"/>
  <c r="Q14" i="85" s="1"/>
  <c r="Q62" i="85" s="1"/>
  <c r="N45" i="84"/>
  <c r="T45" i="84" s="1"/>
  <c r="M45" i="84"/>
  <c r="S45" i="84" s="1"/>
  <c r="L45" i="84"/>
  <c r="R45" i="84" s="1"/>
  <c r="K45" i="84"/>
  <c r="Q45" i="84" s="1"/>
  <c r="J45" i="84"/>
  <c r="P45" i="84" s="1"/>
  <c r="N18" i="85"/>
  <c r="L18" i="85"/>
  <c r="J18" i="85"/>
  <c r="P18" i="85" s="1"/>
  <c r="M18" i="84"/>
  <c r="S18" i="84" s="1"/>
  <c r="J18" i="84"/>
  <c r="N19" i="84"/>
  <c r="T19" i="84" s="1"/>
  <c r="M19" i="84"/>
  <c r="S19" i="84" s="1"/>
  <c r="L19" i="84"/>
  <c r="R19" i="84" s="1"/>
  <c r="K19" i="84"/>
  <c r="Q19" i="84" s="1"/>
  <c r="J19" i="84"/>
  <c r="P19" i="84" s="1"/>
  <c r="N21" i="84"/>
  <c r="K21" i="84"/>
  <c r="Q21" i="84" s="1"/>
  <c r="L19" i="85"/>
  <c r="K19" i="85"/>
  <c r="J19" i="85"/>
  <c r="N19" i="85"/>
  <c r="T19" i="85" s="1"/>
  <c r="M19" i="85"/>
  <c r="S19" i="85" s="1"/>
  <c r="M27" i="85"/>
  <c r="S27" i="85" s="1"/>
  <c r="N24" i="85"/>
  <c r="T24" i="85" s="1"/>
  <c r="M24" i="85"/>
  <c r="S24" i="85" s="1"/>
  <c r="L24" i="85"/>
  <c r="R24" i="85" s="1"/>
  <c r="K24" i="85"/>
  <c r="Q24" i="85" s="1"/>
  <c r="J24" i="85"/>
  <c r="P24" i="85" s="1"/>
  <c r="N27" i="85"/>
  <c r="T27" i="85" s="1"/>
  <c r="N42" i="85"/>
  <c r="L42" i="85"/>
  <c r="J42" i="85"/>
  <c r="P42" i="85" s="1"/>
  <c r="T51" i="85"/>
  <c r="J51" i="85"/>
  <c r="P51" i="85" s="1"/>
  <c r="T45" i="85"/>
  <c r="R30" i="85"/>
  <c r="P30" i="85"/>
  <c r="P18" i="84"/>
  <c r="R10" i="85"/>
  <c r="Q10" i="85"/>
  <c r="Q30" i="85"/>
  <c r="R36" i="85"/>
  <c r="T36" i="85"/>
  <c r="T42" i="85"/>
  <c r="T18" i="85"/>
  <c r="R18" i="85"/>
  <c r="P36" i="85"/>
  <c r="Q42" i="85"/>
  <c r="T30" i="84"/>
  <c r="R30" i="84"/>
  <c r="T48" i="84"/>
  <c r="P48" i="84"/>
  <c r="S21" i="85"/>
  <c r="T21" i="85"/>
  <c r="S36" i="85"/>
  <c r="R42" i="85"/>
  <c r="Q48" i="85"/>
  <c r="P51" i="84"/>
  <c r="Q18" i="85"/>
  <c r="S42" i="85"/>
  <c r="R48" i="85"/>
  <c r="Q51" i="84"/>
  <c r="P33" i="85"/>
  <c r="R51" i="84"/>
  <c r="T13" i="85"/>
  <c r="P13" i="85"/>
  <c r="T16" i="85"/>
  <c r="R16" i="85"/>
  <c r="R19" i="85"/>
  <c r="Q19" i="85"/>
  <c r="P27" i="85"/>
  <c r="Q33" i="85"/>
  <c r="S51" i="84"/>
  <c r="R33" i="85"/>
  <c r="T39" i="85"/>
  <c r="T51" i="84"/>
  <c r="T14" i="85"/>
  <c r="T62" i="85" s="1"/>
  <c r="Q16" i="85"/>
  <c r="S33" i="85"/>
  <c r="S51" i="85"/>
  <c r="P16" i="84"/>
  <c r="T33" i="85"/>
  <c r="R39" i="85"/>
  <c r="P45" i="85"/>
  <c r="T48" i="85"/>
  <c r="Q51" i="85"/>
  <c r="R51" i="85"/>
  <c r="S18" i="85"/>
  <c r="P39" i="85"/>
  <c r="Q21" i="85"/>
  <c r="Q45" i="85"/>
  <c r="S16" i="85"/>
  <c r="P19" i="85"/>
  <c r="S30" i="85"/>
  <c r="Q36" i="85"/>
  <c r="R45" i="85"/>
  <c r="Q27" i="85"/>
  <c r="R27" i="85"/>
  <c r="P10" i="84"/>
  <c r="S13" i="84"/>
  <c r="T14" i="84"/>
  <c r="Q16" i="84"/>
  <c r="Q27" i="84"/>
  <c r="P27" i="84"/>
  <c r="R27" i="84"/>
  <c r="P30" i="84"/>
  <c r="R33" i="84"/>
  <c r="T33" i="84"/>
  <c r="P33" i="84"/>
  <c r="T36" i="84"/>
  <c r="Q36" i="84"/>
  <c r="S36" i="84"/>
  <c r="Q39" i="84"/>
  <c r="R39" i="84"/>
  <c r="T39" i="84"/>
  <c r="P39" i="84"/>
  <c r="S39" i="84"/>
  <c r="T42" i="84"/>
  <c r="Q42" i="84"/>
  <c r="P42" i="84"/>
  <c r="S26" i="84"/>
  <c r="Q20" i="84"/>
  <c r="Q30" i="84"/>
  <c r="Q33" i="84"/>
  <c r="P36" i="84"/>
  <c r="R41" i="84"/>
  <c r="P41" i="84"/>
  <c r="R42" i="84"/>
  <c r="Q48" i="84"/>
  <c r="R29" i="84"/>
  <c r="S29" i="84"/>
  <c r="P29" i="84"/>
  <c r="S30" i="84"/>
  <c r="S33" i="84"/>
  <c r="R36" i="84"/>
  <c r="S42" i="84"/>
  <c r="R48" i="84"/>
  <c r="T18" i="84"/>
  <c r="P24" i="84"/>
  <c r="Q32" i="84"/>
  <c r="T35" i="84"/>
  <c r="Q44" i="84"/>
  <c r="T47" i="84"/>
  <c r="Q47" i="84"/>
  <c r="S48" i="84"/>
  <c r="S21" i="84"/>
  <c r="S38" i="84"/>
  <c r="T38" i="84"/>
  <c r="S50" i="84"/>
  <c r="Q50" i="84"/>
  <c r="P50" i="84"/>
  <c r="T50" i="84"/>
  <c r="S14" i="85"/>
  <c r="S62" i="85" s="1"/>
  <c r="R17" i="85"/>
  <c r="R20" i="84"/>
  <c r="P26" i="84"/>
  <c r="T26" i="84"/>
  <c r="R32" i="84"/>
  <c r="R44" i="84"/>
  <c r="S16" i="84"/>
  <c r="Q18" i="84"/>
  <c r="S20" i="84"/>
  <c r="Q26" i="84"/>
  <c r="S32" i="84"/>
  <c r="R35" i="84"/>
  <c r="S44" i="84"/>
  <c r="R47" i="84"/>
  <c r="T16" i="84"/>
  <c r="R18" i="84"/>
  <c r="T20" i="84"/>
  <c r="R26" i="84"/>
  <c r="P32" i="84"/>
  <c r="T32" i="84"/>
  <c r="S35" i="84"/>
  <c r="R38" i="84"/>
  <c r="P44" i="84"/>
  <c r="T44" i="84"/>
  <c r="S47" i="84"/>
  <c r="R50" i="84"/>
  <c r="P20" i="84"/>
  <c r="P35" i="84"/>
  <c r="P47" i="84"/>
  <c r="T64" i="84"/>
  <c r="P64" i="84"/>
  <c r="R64" i="84"/>
  <c r="Q80" i="84"/>
  <c r="T78" i="79"/>
  <c r="R78" i="79"/>
  <c r="P78" i="79"/>
  <c r="S78" i="79"/>
  <c r="Q78" i="79"/>
  <c r="R78" i="84"/>
  <c r="P78" i="84"/>
  <c r="T78" i="84"/>
  <c r="Q78" i="84"/>
  <c r="S78" i="84"/>
  <c r="S64" i="84"/>
  <c r="S63" i="85"/>
  <c r="R63" i="85"/>
  <c r="T63" i="85"/>
  <c r="P63" i="85"/>
  <c r="Q63" i="85"/>
  <c r="P63" i="84"/>
  <c r="T63" i="84"/>
  <c r="R63" i="84"/>
  <c r="S63" i="84"/>
  <c r="Q63" i="84"/>
  <c r="T11" i="85"/>
  <c r="T59" i="85" s="1"/>
  <c r="T60" i="85"/>
  <c r="P13" i="84"/>
  <c r="S10" i="85"/>
  <c r="Q10" i="84"/>
  <c r="T10" i="85"/>
  <c r="R11" i="84"/>
  <c r="R10" i="84"/>
  <c r="S12" i="84"/>
  <c r="S10" i="84"/>
  <c r="T10" i="84"/>
  <c r="S59" i="85"/>
  <c r="P12" i="85"/>
  <c r="P60" i="85" s="1"/>
  <c r="Q13" i="85"/>
  <c r="P11" i="85"/>
  <c r="P59" i="85" s="1"/>
  <c r="Q12" i="85"/>
  <c r="Q60" i="85" s="1"/>
  <c r="R13" i="85"/>
  <c r="P10" i="85"/>
  <c r="Q11" i="85"/>
  <c r="Q59" i="85" s="1"/>
  <c r="R12" i="85"/>
  <c r="S13" i="85"/>
  <c r="R11" i="85"/>
  <c r="R59" i="85" s="1"/>
  <c r="S12" i="85"/>
  <c r="S60" i="85" s="1"/>
  <c r="P12" i="84"/>
  <c r="P11" i="84"/>
  <c r="Q12" i="84"/>
  <c r="R13" i="84"/>
  <c r="Q11" i="84"/>
  <c r="Q59" i="84" s="1"/>
  <c r="R12" i="84"/>
  <c r="S11" i="84"/>
  <c r="S59" i="84" s="1"/>
  <c r="R21" i="85" l="1"/>
  <c r="R60" i="85"/>
  <c r="U60" i="85" s="1"/>
  <c r="P21" i="85"/>
  <c r="P58" i="85" s="1"/>
  <c r="Q78" i="85"/>
  <c r="T78" i="85"/>
  <c r="T64" i="85"/>
  <c r="Q60" i="84"/>
  <c r="S60" i="84"/>
  <c r="R64" i="85"/>
  <c r="S64" i="85"/>
  <c r="S80" i="85" s="1"/>
  <c r="Q64" i="85"/>
  <c r="P64" i="85"/>
  <c r="S78" i="85"/>
  <c r="R62" i="85"/>
  <c r="P80" i="84"/>
  <c r="T80" i="84"/>
  <c r="R80" i="84"/>
  <c r="S80" i="84"/>
  <c r="U63" i="84"/>
  <c r="U64" i="84"/>
  <c r="U63" i="85"/>
  <c r="U78" i="79"/>
  <c r="U78" i="84"/>
  <c r="P79" i="85"/>
  <c r="Q79" i="85"/>
  <c r="T79" i="85"/>
  <c r="R79" i="85"/>
  <c r="S79" i="85"/>
  <c r="S65" i="84"/>
  <c r="S79" i="84"/>
  <c r="T65" i="84"/>
  <c r="T79" i="84"/>
  <c r="Q65" i="84"/>
  <c r="Q79" i="84"/>
  <c r="R65" i="84"/>
  <c r="R79" i="84"/>
  <c r="P65" i="84"/>
  <c r="P79" i="84"/>
  <c r="S58" i="84"/>
  <c r="T58" i="85"/>
  <c r="Q58" i="84"/>
  <c r="R58" i="85"/>
  <c r="S58" i="85"/>
  <c r="Q58" i="85"/>
  <c r="U59" i="85"/>
  <c r="C70" i="79"/>
  <c r="T80" i="85" l="1"/>
  <c r="T65" i="85"/>
  <c r="R80" i="85"/>
  <c r="S65" i="85"/>
  <c r="U64" i="85"/>
  <c r="Q65" i="85"/>
  <c r="Q80" i="85"/>
  <c r="P80" i="85"/>
  <c r="P65" i="85"/>
  <c r="R78" i="85"/>
  <c r="R65" i="85"/>
  <c r="U62" i="85"/>
  <c r="U80" i="84"/>
  <c r="U65" i="84"/>
  <c r="T81" i="84"/>
  <c r="S81" i="84"/>
  <c r="R81" i="84"/>
  <c r="Q81" i="84"/>
  <c r="S81" i="85"/>
  <c r="U79" i="85"/>
  <c r="U79" i="84"/>
  <c r="P81" i="84"/>
  <c r="Q61" i="85"/>
  <c r="R61" i="85"/>
  <c r="P61" i="85"/>
  <c r="S61" i="85"/>
  <c r="T61" i="85"/>
  <c r="Q61" i="84"/>
  <c r="Q67" i="84" s="1"/>
  <c r="Q68" i="84" s="1"/>
  <c r="S61" i="84"/>
  <c r="S67" i="84" s="1"/>
  <c r="S68" i="84" s="1"/>
  <c r="U58" i="85"/>
  <c r="U61" i="85" s="1"/>
  <c r="A2" i="79"/>
  <c r="A1" i="79"/>
  <c r="A2" i="74"/>
  <c r="A1" i="74"/>
  <c r="C67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2" i="79"/>
  <c r="Q52" i="79"/>
  <c r="P52" i="79"/>
  <c r="H52" i="79"/>
  <c r="G52" i="79"/>
  <c r="S52" i="79" s="1"/>
  <c r="T51" i="79"/>
  <c r="S51" i="79"/>
  <c r="R51" i="79"/>
  <c r="Q51" i="79"/>
  <c r="P51" i="79"/>
  <c r="H51" i="79"/>
  <c r="G51" i="79"/>
  <c r="H50" i="79"/>
  <c r="G50" i="79"/>
  <c r="Q49" i="79"/>
  <c r="H49" i="79"/>
  <c r="G49" i="79"/>
  <c r="T49" i="79" s="1"/>
  <c r="H48" i="79"/>
  <c r="G48" i="79"/>
  <c r="H47" i="79"/>
  <c r="G47" i="79"/>
  <c r="H46" i="79"/>
  <c r="G46" i="79"/>
  <c r="Q46" i="79" s="1"/>
  <c r="H45" i="79"/>
  <c r="G45" i="79"/>
  <c r="H44" i="79"/>
  <c r="G44" i="79"/>
  <c r="S43" i="79"/>
  <c r="H43" i="79"/>
  <c r="G43" i="79"/>
  <c r="R43" i="79" s="1"/>
  <c r="H42" i="79"/>
  <c r="G42" i="79"/>
  <c r="T41" i="79"/>
  <c r="H41" i="79"/>
  <c r="G41" i="79"/>
  <c r="Q40" i="79"/>
  <c r="H40" i="79"/>
  <c r="G40" i="79"/>
  <c r="S40" i="79" s="1"/>
  <c r="H39" i="79"/>
  <c r="G39" i="79"/>
  <c r="Q38" i="79"/>
  <c r="P38" i="79"/>
  <c r="H38" i="79"/>
  <c r="G38" i="79"/>
  <c r="H37" i="79"/>
  <c r="G37" i="79"/>
  <c r="T37" i="79" s="1"/>
  <c r="H36" i="79"/>
  <c r="G36" i="79"/>
  <c r="T35" i="79"/>
  <c r="H35" i="79"/>
  <c r="G35" i="79"/>
  <c r="H34" i="79"/>
  <c r="G34" i="79"/>
  <c r="Q34" i="79" s="1"/>
  <c r="H33" i="79"/>
  <c r="G33" i="79"/>
  <c r="H32" i="79"/>
  <c r="G32" i="79"/>
  <c r="H31" i="79"/>
  <c r="G31" i="79"/>
  <c r="R31" i="79" s="1"/>
  <c r="H30" i="79"/>
  <c r="G30" i="79"/>
  <c r="Q29" i="79"/>
  <c r="H29" i="79"/>
  <c r="G29" i="79"/>
  <c r="Q28" i="79"/>
  <c r="H28" i="79"/>
  <c r="G28" i="79"/>
  <c r="R28" i="79" s="1"/>
  <c r="H27" i="79"/>
  <c r="G27" i="79"/>
  <c r="Q26" i="79"/>
  <c r="H26" i="79"/>
  <c r="G26" i="79"/>
  <c r="H25" i="79"/>
  <c r="G25" i="79"/>
  <c r="T25" i="79" s="1"/>
  <c r="H24" i="79"/>
  <c r="G24" i="79"/>
  <c r="Q23" i="79"/>
  <c r="H23" i="79"/>
  <c r="G23" i="79"/>
  <c r="Q22" i="79"/>
  <c r="H22" i="79"/>
  <c r="G22" i="79"/>
  <c r="T22" i="79" s="1"/>
  <c r="H21" i="79"/>
  <c r="G21" i="79"/>
  <c r="Q20" i="79"/>
  <c r="H20" i="79"/>
  <c r="G20" i="79"/>
  <c r="H19" i="79"/>
  <c r="G19" i="79"/>
  <c r="H18" i="79"/>
  <c r="G18" i="79"/>
  <c r="H17" i="79"/>
  <c r="G17" i="79"/>
  <c r="S17" i="79" s="1"/>
  <c r="H16" i="79"/>
  <c r="G16" i="79"/>
  <c r="T15" i="79"/>
  <c r="S15" i="79"/>
  <c r="R15" i="79"/>
  <c r="Q15" i="79"/>
  <c r="P15" i="79"/>
  <c r="H15" i="79"/>
  <c r="G15" i="79"/>
  <c r="H14" i="79"/>
  <c r="G14" i="79"/>
  <c r="H13" i="79"/>
  <c r="G13" i="79"/>
  <c r="H12" i="79"/>
  <c r="G12" i="79"/>
  <c r="P12" i="79" s="1"/>
  <c r="H11" i="79"/>
  <c r="G11" i="79"/>
  <c r="S11" i="79" s="1"/>
  <c r="H10" i="79"/>
  <c r="G10" i="79"/>
  <c r="A5" i="79"/>
  <c r="V3" i="79"/>
  <c r="T67" i="85" l="1"/>
  <c r="T68" i="85" s="1"/>
  <c r="T10" i="79"/>
  <c r="T13" i="79"/>
  <c r="T14" i="79"/>
  <c r="S14" i="79"/>
  <c r="P14" i="79"/>
  <c r="Q14" i="79"/>
  <c r="T16" i="79"/>
  <c r="Q16" i="79"/>
  <c r="T19" i="79"/>
  <c r="T21" i="79"/>
  <c r="T27" i="79"/>
  <c r="R24" i="79"/>
  <c r="P24" i="79"/>
  <c r="P30" i="79"/>
  <c r="T30" i="79"/>
  <c r="S30" i="79"/>
  <c r="R30" i="79"/>
  <c r="Q30" i="79"/>
  <c r="P33" i="79"/>
  <c r="T33" i="79"/>
  <c r="Q36" i="79"/>
  <c r="R36" i="79"/>
  <c r="S36" i="79"/>
  <c r="T39" i="79"/>
  <c r="P39" i="79"/>
  <c r="R42" i="79"/>
  <c r="T42" i="79"/>
  <c r="Q42" i="79"/>
  <c r="P42" i="79"/>
  <c r="Q45" i="79"/>
  <c r="P45" i="79"/>
  <c r="T81" i="85"/>
  <c r="R81" i="85"/>
  <c r="T48" i="79"/>
  <c r="Q48" i="79"/>
  <c r="P48" i="79"/>
  <c r="R45" i="79"/>
  <c r="T45" i="79"/>
  <c r="S45" i="79"/>
  <c r="Q18" i="79"/>
  <c r="P27" i="79"/>
  <c r="R29" i="79"/>
  <c r="P29" i="79"/>
  <c r="T36" i="79"/>
  <c r="R48" i="79"/>
  <c r="Q33" i="79"/>
  <c r="S41" i="79"/>
  <c r="P41" i="79"/>
  <c r="S48" i="79"/>
  <c r="Q27" i="79"/>
  <c r="R27" i="79"/>
  <c r="R33" i="79"/>
  <c r="Q39" i="79"/>
  <c r="S42" i="79"/>
  <c r="T47" i="79"/>
  <c r="Q47" i="79"/>
  <c r="P47" i="79"/>
  <c r="R20" i="79"/>
  <c r="P20" i="79"/>
  <c r="R26" i="79"/>
  <c r="S27" i="79"/>
  <c r="S33" i="79"/>
  <c r="R38" i="79"/>
  <c r="T38" i="79"/>
  <c r="R39" i="79"/>
  <c r="S50" i="79"/>
  <c r="T50" i="79"/>
  <c r="P50" i="79"/>
  <c r="S35" i="79"/>
  <c r="T44" i="79"/>
  <c r="Q19" i="79"/>
  <c r="R23" i="79"/>
  <c r="P23" i="79"/>
  <c r="S32" i="79"/>
  <c r="P32" i="79"/>
  <c r="P36" i="79"/>
  <c r="S39" i="79"/>
  <c r="S67" i="85"/>
  <c r="S68" i="85" s="1"/>
  <c r="U65" i="85"/>
  <c r="P67" i="85"/>
  <c r="Q81" i="85"/>
  <c r="Q67" i="85"/>
  <c r="Q68" i="85" s="1"/>
  <c r="P81" i="85"/>
  <c r="U80" i="85"/>
  <c r="R67" i="85"/>
  <c r="R68" i="85" s="1"/>
  <c r="U78" i="85"/>
  <c r="S47" i="79"/>
  <c r="T26" i="79"/>
  <c r="T29" i="79"/>
  <c r="S38" i="79"/>
  <c r="Q44" i="79"/>
  <c r="P26" i="79"/>
  <c r="T32" i="79"/>
  <c r="P35" i="79"/>
  <c r="S44" i="79"/>
  <c r="S26" i="79"/>
  <c r="S29" i="79"/>
  <c r="S23" i="79"/>
  <c r="T23" i="79"/>
  <c r="S20" i="79"/>
  <c r="T20" i="79"/>
  <c r="P18" i="79"/>
  <c r="T18" i="79"/>
  <c r="R18" i="79"/>
  <c r="S18" i="79"/>
  <c r="T31" i="79"/>
  <c r="S28" i="79"/>
  <c r="T28" i="79"/>
  <c r="P31" i="79"/>
  <c r="T40" i="79"/>
  <c r="T43" i="79"/>
  <c r="Q25" i="79"/>
  <c r="P28" i="79"/>
  <c r="S31" i="79"/>
  <c r="Q37" i="79"/>
  <c r="P40" i="79"/>
  <c r="P43" i="79"/>
  <c r="R17" i="79"/>
  <c r="P17" i="79"/>
  <c r="T17" i="79"/>
  <c r="R14" i="79"/>
  <c r="Q17" i="79"/>
  <c r="Q32" i="79"/>
  <c r="Q35" i="79"/>
  <c r="Q41" i="79"/>
  <c r="R44" i="79"/>
  <c r="R47" i="79"/>
  <c r="Q50" i="79"/>
  <c r="R32" i="79"/>
  <c r="R35" i="79"/>
  <c r="R41" i="79"/>
  <c r="R50" i="79"/>
  <c r="P44" i="79"/>
  <c r="R52" i="79"/>
  <c r="R49" i="79"/>
  <c r="S49" i="79"/>
  <c r="P49" i="79"/>
  <c r="R46" i="79"/>
  <c r="S46" i="79"/>
  <c r="P46" i="79"/>
  <c r="T46" i="79"/>
  <c r="Q43" i="79"/>
  <c r="R40" i="79"/>
  <c r="R37" i="79"/>
  <c r="S37" i="79"/>
  <c r="P37" i="79"/>
  <c r="R34" i="79"/>
  <c r="S34" i="79"/>
  <c r="P34" i="79"/>
  <c r="T34" i="79"/>
  <c r="Q31" i="79"/>
  <c r="R25" i="79"/>
  <c r="S25" i="79"/>
  <c r="P25" i="79"/>
  <c r="R22" i="79"/>
  <c r="S22" i="79"/>
  <c r="P22" i="79"/>
  <c r="R19" i="79"/>
  <c r="S19" i="79"/>
  <c r="P19" i="79"/>
  <c r="S16" i="79"/>
  <c r="R16" i="79"/>
  <c r="P16" i="79"/>
  <c r="U81" i="84"/>
  <c r="P63" i="79"/>
  <c r="Q63" i="79"/>
  <c r="T63" i="79"/>
  <c r="S63" i="79"/>
  <c r="R63" i="79"/>
  <c r="S12" i="79"/>
  <c r="T12" i="79"/>
  <c r="T24" i="79"/>
  <c r="S24" i="79"/>
  <c r="Q24" i="79"/>
  <c r="Q12" i="79"/>
  <c r="R12" i="79"/>
  <c r="Q21" i="79"/>
  <c r="P21" i="79"/>
  <c r="S21" i="79"/>
  <c r="R21" i="79"/>
  <c r="P10" i="79"/>
  <c r="T11" i="79"/>
  <c r="S10" i="79"/>
  <c r="R11" i="79"/>
  <c r="Q10" i="79"/>
  <c r="R10" i="79"/>
  <c r="Q11" i="79"/>
  <c r="P13" i="79"/>
  <c r="Q13" i="79"/>
  <c r="P11" i="79"/>
  <c r="R13" i="79"/>
  <c r="S13" i="79"/>
  <c r="P68" i="85" l="1"/>
  <c r="D70" i="85"/>
  <c r="Q64" i="79"/>
  <c r="R64" i="79"/>
  <c r="P64" i="79"/>
  <c r="S64" i="79"/>
  <c r="S80" i="79" s="1"/>
  <c r="T64" i="79"/>
  <c r="U81" i="85"/>
  <c r="U67" i="85"/>
  <c r="U68" i="85" s="1"/>
  <c r="T59" i="79"/>
  <c r="P60" i="79"/>
  <c r="R60" i="79"/>
  <c r="Q60" i="79"/>
  <c r="T60" i="79"/>
  <c r="S60" i="79"/>
  <c r="R79" i="79"/>
  <c r="S79" i="79"/>
  <c r="T79" i="79"/>
  <c r="Q65" i="79"/>
  <c r="Q79" i="79"/>
  <c r="U63" i="79"/>
  <c r="P79" i="79"/>
  <c r="P59" i="79"/>
  <c r="R59" i="79"/>
  <c r="T58" i="79"/>
  <c r="S59" i="79"/>
  <c r="P58" i="79"/>
  <c r="R58" i="79"/>
  <c r="Q58" i="79"/>
  <c r="Q59" i="79"/>
  <c r="S58" i="79"/>
  <c r="V68" i="85" l="1"/>
  <c r="Q80" i="79"/>
  <c r="R80" i="79"/>
  <c r="T65" i="79"/>
  <c r="S65" i="79"/>
  <c r="R65" i="79"/>
  <c r="U64" i="79"/>
  <c r="U65" i="79" s="1"/>
  <c r="P80" i="79"/>
  <c r="P65" i="79"/>
  <c r="T80" i="79"/>
  <c r="P23" i="84"/>
  <c r="P60" i="84" s="1"/>
  <c r="P22" i="84"/>
  <c r="P59" i="84" s="1"/>
  <c r="P21" i="84"/>
  <c r="P58" i="84" s="1"/>
  <c r="U60" i="79"/>
  <c r="S81" i="79"/>
  <c r="Q81" i="79"/>
  <c r="U79" i="79"/>
  <c r="P61" i="79"/>
  <c r="S61" i="79"/>
  <c r="T61" i="79"/>
  <c r="Q61" i="79"/>
  <c r="Q67" i="79" s="1"/>
  <c r="Q68" i="79" s="1"/>
  <c r="R61" i="79"/>
  <c r="U59" i="79"/>
  <c r="U58" i="79"/>
  <c r="S67" i="79" l="1"/>
  <c r="S68" i="79" s="1"/>
  <c r="R81" i="79"/>
  <c r="R67" i="79"/>
  <c r="R68" i="79" s="1"/>
  <c r="T67" i="79"/>
  <c r="T68" i="79" s="1"/>
  <c r="P81" i="79"/>
  <c r="T81" i="79"/>
  <c r="P67" i="79"/>
  <c r="D70" i="79" s="1"/>
  <c r="U80" i="79"/>
  <c r="U81" i="79" s="1"/>
  <c r="P61" i="84"/>
  <c r="P67" i="84" s="1"/>
  <c r="T21" i="84"/>
  <c r="T58" i="84" s="1"/>
  <c r="R21" i="84"/>
  <c r="R58" i="84" s="1"/>
  <c r="T22" i="84"/>
  <c r="T59" i="84" s="1"/>
  <c r="R22" i="84"/>
  <c r="R59" i="84" s="1"/>
  <c r="T23" i="84"/>
  <c r="T60" i="84" s="1"/>
  <c r="R23" i="84"/>
  <c r="R60" i="84" s="1"/>
  <c r="U61" i="79"/>
  <c r="U67" i="79" l="1"/>
  <c r="U68" i="79" s="1"/>
  <c r="P68" i="79"/>
  <c r="U60" i="84"/>
  <c r="U59" i="84"/>
  <c r="R61" i="84"/>
  <c r="R67" i="84" s="1"/>
  <c r="R68" i="84" s="1"/>
  <c r="U58" i="84"/>
  <c r="T61" i="84"/>
  <c r="T67" i="84" s="1"/>
  <c r="T68" i="84" s="1"/>
  <c r="P68" i="84"/>
  <c r="D70" i="84" l="1"/>
  <c r="V68" i="79"/>
  <c r="U67" i="84"/>
  <c r="U68" i="84" s="1"/>
  <c r="V68" i="84" s="1"/>
  <c r="U61" i="84"/>
  <c r="T76" i="85" l="1"/>
  <c r="P76" i="85"/>
  <c r="P76" i="84"/>
  <c r="R75" i="85"/>
  <c r="Q75" i="84"/>
  <c r="T74" i="84"/>
  <c r="R76" i="85"/>
  <c r="Q76" i="85"/>
  <c r="P75" i="85"/>
  <c r="T75" i="85"/>
  <c r="S76" i="84"/>
  <c r="P75" i="84"/>
  <c r="R75" i="84"/>
  <c r="T75" i="84"/>
  <c r="T74" i="85"/>
  <c r="Q76" i="84"/>
  <c r="S75" i="84"/>
  <c r="S75" i="85"/>
  <c r="R76" i="84"/>
  <c r="S76" i="85"/>
  <c r="Q75" i="85"/>
  <c r="T76" i="84"/>
  <c r="S74" i="84"/>
  <c r="R74" i="84"/>
  <c r="Q74" i="85"/>
  <c r="S74" i="85"/>
  <c r="Q74" i="84"/>
  <c r="P74" i="84"/>
  <c r="R74" i="85"/>
  <c r="P74" i="85"/>
  <c r="T76" i="79"/>
  <c r="P76" i="79"/>
  <c r="Q76" i="79"/>
  <c r="R76" i="79"/>
  <c r="S76" i="79"/>
  <c r="T75" i="79"/>
  <c r="T74" i="79"/>
  <c r="S75" i="79"/>
  <c r="P75" i="79"/>
  <c r="R75" i="79"/>
  <c r="S74" i="79"/>
  <c r="Q74" i="79"/>
  <c r="R74" i="79"/>
  <c r="P74" i="79"/>
  <c r="Q75" i="79"/>
  <c r="S77" i="85" l="1"/>
  <c r="S83" i="85" s="1"/>
  <c r="S84" i="85" s="1"/>
  <c r="Q77" i="85"/>
  <c r="Q83" i="85" s="1"/>
  <c r="Q84" i="85" s="1"/>
  <c r="T77" i="85"/>
  <c r="T83" i="85" s="1"/>
  <c r="T84" i="85" s="1"/>
  <c r="P77" i="85"/>
  <c r="P83" i="85" s="1"/>
  <c r="R77" i="85"/>
  <c r="R83" i="85" s="1"/>
  <c r="R84" i="85" s="1"/>
  <c r="S77" i="84"/>
  <c r="S83" i="84" s="1"/>
  <c r="S84" i="84" s="1"/>
  <c r="R77" i="84"/>
  <c r="R83" i="84" s="1"/>
  <c r="R84" i="84" s="1"/>
  <c r="T77" i="84"/>
  <c r="T83" i="84" s="1"/>
  <c r="T84" i="84" s="1"/>
  <c r="Q77" i="84"/>
  <c r="Q83" i="84" s="1"/>
  <c r="Q84" i="84" s="1"/>
  <c r="P77" i="84"/>
  <c r="P83" i="84" s="1"/>
  <c r="T77" i="79"/>
  <c r="T83" i="79" s="1"/>
  <c r="T84" i="79" s="1"/>
  <c r="P77" i="79"/>
  <c r="P83" i="79" s="1"/>
  <c r="R77" i="79"/>
  <c r="R83" i="79" s="1"/>
  <c r="R84" i="79" s="1"/>
  <c r="Q77" i="79"/>
  <c r="Q83" i="79" s="1"/>
  <c r="Q84" i="79" s="1"/>
  <c r="S77" i="79"/>
  <c r="S83" i="79" s="1"/>
  <c r="S84" i="79" s="1"/>
  <c r="U74" i="85"/>
  <c r="U74" i="84"/>
  <c r="U75" i="84"/>
  <c r="U76" i="84"/>
  <c r="U76" i="85"/>
  <c r="U75" i="85"/>
  <c r="U76" i="79"/>
  <c r="U75" i="79"/>
  <c r="U74" i="79"/>
  <c r="D85" i="85" l="1"/>
  <c r="D85" i="84"/>
  <c r="P84" i="79"/>
  <c r="D85" i="79"/>
  <c r="U77" i="85"/>
  <c r="U83" i="85"/>
  <c r="U84" i="85" s="1"/>
  <c r="P84" i="85"/>
  <c r="U77" i="84"/>
  <c r="U83" i="84"/>
  <c r="U84" i="84" s="1"/>
  <c r="P84" i="84"/>
  <c r="U77" i="79"/>
  <c r="K11" i="82"/>
  <c r="K12" i="82"/>
  <c r="K13" i="82"/>
  <c r="K34" i="82"/>
  <c r="K33" i="82"/>
  <c r="K35" i="82"/>
  <c r="U83" i="79"/>
  <c r="K36" i="82" l="1"/>
  <c r="U84" i="79"/>
  <c r="V84" i="79" s="1"/>
  <c r="V84" i="85"/>
  <c r="V84" i="84"/>
  <c r="K22" i="82" l="1"/>
  <c r="K23" i="82" l="1"/>
  <c r="K24" i="82" l="1"/>
  <c r="K2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<sst xmlns="http://schemas.openxmlformats.org/spreadsheetml/2006/main" count="597" uniqueCount="90">
  <si>
    <t>Total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</si>
  <si>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</si>
  <si>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</si>
  <si>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</si>
  <si>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</si>
  <si>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</si>
  <si>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</si>
  <si>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</si>
  <si>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</si>
  <si>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</si>
  <si>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</si>
  <si>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</si>
  <si>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</si>
  <si>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</si>
  <si>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</si>
  <si>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2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</si>
  <si>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</si>
  <si>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</si>
  <si>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</si>
  <si>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</si>
  <si>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</si>
  <si>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</si>
  <si>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</si>
  <si>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UE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</si>
  <si>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</si>
  <si>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</si>
  <si>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</si>
  <si>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</si>
  <si>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</si>
  <si>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</si>
  <si>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</si>
  <si>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Prudent upgrades at 3-4 yearly intervals</t>
  </si>
  <si>
    <t>Vendor release upgrades at 12-18 month intervals</t>
  </si>
  <si>
    <t>Do nothing (extended support)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</si>
  <si>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</si>
  <si>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</si>
  <si>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</si>
  <si>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</si>
  <si>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</si>
  <si>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</si>
  <si>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</si>
  <si>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</si>
  <si>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</si>
  <si>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</si>
  <si>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</si>
  <si>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</si>
  <si>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</si>
  <si>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ADMS (OUNMS/OUA/OMA)</t>
  </si>
  <si>
    <t>Capex</t>
  </si>
  <si>
    <t>OTSIP</t>
  </si>
  <si>
    <t>SCADA</t>
  </si>
  <si>
    <t>NARS (EDNAR)</t>
  </si>
  <si>
    <t>Outages &amp; Emergencies Suite</t>
  </si>
  <si>
    <t>Energy Workbench</t>
  </si>
  <si>
    <t>Historian (OSI Pi)</t>
  </si>
  <si>
    <t>NAP/NDP (Network Analytics)</t>
  </si>
  <si>
    <t>GIS (Electric Office)</t>
  </si>
  <si>
    <t>GISConnect (SBI)</t>
  </si>
  <si>
    <t>GSAW</t>
  </si>
  <si>
    <t>Network Viewer</t>
  </si>
  <si>
    <t>PNI</t>
  </si>
  <si>
    <t>RESIS (PRISM (StationWare))</t>
  </si>
  <si>
    <t>SIQ</t>
  </si>
  <si>
    <t>Summary</t>
  </si>
  <si>
    <t>Capex &amp; Opex</t>
  </si>
  <si>
    <t>Check</t>
  </si>
  <si>
    <t>Summary for Regulation - for Business Case</t>
  </si>
  <si>
    <t>NAP (Network Analytics)</t>
  </si>
  <si>
    <t xml:space="preserve">GIS </t>
  </si>
  <si>
    <t>RESIS [PRISM (StationWare)]</t>
  </si>
  <si>
    <t>Scheduler</t>
  </si>
  <si>
    <t>GE Utility Server</t>
  </si>
  <si>
    <t>Lagged conversion to Jun 26</t>
  </si>
  <si>
    <t>Regulatory proposal 2026-31</t>
  </si>
  <si>
    <t>Model number:</t>
  </si>
  <si>
    <t>Network management systems</t>
  </si>
  <si>
    <t>June 2023</t>
  </si>
  <si>
    <t>June 2024</t>
  </si>
  <si>
    <t>June 2025</t>
  </si>
  <si>
    <t>June 2026</t>
  </si>
  <si>
    <t>$ June 2023</t>
  </si>
  <si>
    <t>$ June 2024</t>
  </si>
  <si>
    <t>$ June 2018 (2021-26 reset)</t>
  </si>
  <si>
    <t xml:space="preserve">Escalation: </t>
  </si>
  <si>
    <t>Opex (excl real price escalation)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</si>
  <si>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</si>
  <si>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</si>
  <si>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</si>
  <si>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</si>
  <si>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** refer to UE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</si>
</sst>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75" formatCode="[Red]\●;[Red]\●;[Color10]\●"/>
    <numFmt numFmtId="181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5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5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37" fillId="0" borderId="2" xfId="0" applyFont="1" applyBorder="1"/>
    <xf numFmtId="0" fontId="42" fillId="0" borderId="2" xfId="0" applyFont="1" applyBorder="1"/>
    <xf numFmtId="0" fontId="27" fillId="0" borderId="2" xfId="0" applyFont="1" applyBorder="1" applyAlignment="1">
      <alignment horizontal="right"/>
    </xf>
    <xf numFmtId="170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2" fontId="47" fillId="0" borderId="0" xfId="33" applyNumberFormat="1" applyFont="1" applyAlignment="1">
      <alignment horizontal="left"/>
    </xf>
    <xf numFmtId="0" fontId="48" fillId="0" borderId="0" xfId="33" applyFont="1"/>
    <xf numFmtId="181" fontId="49" fillId="0" borderId="0" xfId="33" applyNumberFormat="1" applyFont="1" applyAlignment="1">
      <alignment horizontal="left"/>
    </xf>
    <xf numFmtId="0" fontId="50" fillId="0" borderId="0" xfId="33" applyFont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right"/>
    </xf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  <xf numFmtId="0" fontId="51" fillId="0" borderId="5" xfId="0" applyFont="1" applyBorder="1"/>
    <xf numFmtId="166" fontId="13" fillId="0" borderId="0" xfId="0" applyNumberFormat="1" applyFont="1" applyBorder="1" applyAlignment="1">
      <alignment horizontal="left" vertical="top"/>
    </xf>
    <xf numFmtId="166" fontId="13" fillId="0" borderId="0" xfId="0" applyNumberFormat="1" applyFont="1" applyBorder="1" applyAlignment="1">
      <alignment horizontal="right" vertical="top"/>
    </xf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677A9FF8-FE4F-4AEA-BA8C-97041420B465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73C33FC3-F4BF-4B91-B680-ABDA7A574ACD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4DDBE61E-EE70-4FAE-AF5B-EE12BBD9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3417-F996-4328-B9A1-21D3B0F630C9}">
  <sheetPr>
    <tabColor theme="1" tint="0.34998626667073579"/>
  </sheetPr>
  <dimension ref="A1:K43"/>
  <sheetViews>
    <sheetView showGridLines="0" workbookViewId="0">
      <selection activeCell="G21" sqref="G21"/>
    </sheetView>
  </sheetViews>
  <sheetFormatPr defaultColWidth="0" defaultRowHeight="12.95" customHeight="1" zeroHeight="1" x14ac:dyDescent="0.2"/>
  <cols>
    <col min="1" max="1" width="12.85546875" style="117" customWidth="1"/>
    <col min="2" max="2" width="2.5703125" style="117" customWidth="1"/>
    <col min="3" max="3" width="16.85546875" style="117" customWidth="1"/>
    <col min="4" max="11" width="10.5703125" style="117" customWidth="1"/>
    <col min="12" max="16384" width="10.5703125" style="117" hidden="1"/>
  </cols>
  <sheetData>
    <row r="1" spans="1:11" ht="15" x14ac:dyDescent="0.25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3.25" x14ac:dyDescent="0.35">
      <c r="A2" s="115"/>
      <c r="B2" s="116"/>
      <c r="C2" s="118" t="s">
        <v>29</v>
      </c>
      <c r="D2" s="119"/>
      <c r="E2" s="119"/>
      <c r="F2" s="116"/>
      <c r="G2" s="116"/>
      <c r="H2" s="116"/>
      <c r="I2" s="116"/>
      <c r="J2" s="116"/>
      <c r="K2" s="116"/>
    </row>
    <row r="3" spans="1:11" ht="15.75" x14ac:dyDescent="0.25">
      <c r="A3" s="115"/>
      <c r="B3" s="116"/>
      <c r="C3" s="120" t="s">
        <v>73</v>
      </c>
      <c r="D3" s="119"/>
      <c r="E3" s="119"/>
      <c r="F3" s="116"/>
      <c r="G3" s="116"/>
      <c r="H3" s="116"/>
      <c r="I3" s="116"/>
      <c r="J3" s="116"/>
      <c r="K3" s="116"/>
    </row>
    <row r="4" spans="1:11" ht="15" x14ac:dyDescent="0.25">
      <c r="A4" s="115"/>
      <c r="B4" s="116"/>
      <c r="C4" s="116"/>
      <c r="D4" s="119"/>
      <c r="E4" s="119"/>
      <c r="F4" s="116"/>
      <c r="G4" s="116"/>
      <c r="H4" s="116"/>
      <c r="I4" s="116"/>
      <c r="J4" s="116"/>
      <c r="K4" s="116"/>
    </row>
    <row r="5" spans="1:11" ht="15" x14ac:dyDescent="0.25">
      <c r="A5" s="115"/>
      <c r="B5" s="116"/>
      <c r="C5" s="121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16"/>
      <c r="E5" s="116"/>
      <c r="F5" s="116"/>
      <c r="G5" s="116"/>
      <c r="H5" s="116"/>
      <c r="I5" s="116"/>
      <c r="J5" s="116"/>
      <c r="K5" s="116"/>
    </row>
    <row r="6" spans="1:11" ht="15" x14ac:dyDescent="0.25">
      <c r="A6" s="115"/>
      <c r="B6" s="116"/>
      <c r="C6" s="122" t="s">
        <v>74</v>
      </c>
      <c r="D6" s="123" t="e" cm="1">
        <f t="array" aca="1" ref="D6" ca="1">LEFT(_xlfn.TEXTAFTER(CELL("filename")," MOD "),FIND(" - ",_xlfn.TEXTAFTER(CELL("filename")," MOD "),1)-1)</f>
        <v>#N/A</v>
      </c>
      <c r="E6" s="122"/>
      <c r="F6" s="116"/>
      <c r="G6" s="116"/>
      <c r="H6" s="116"/>
      <c r="I6" s="116"/>
      <c r="J6" s="116"/>
      <c r="K6" s="116"/>
    </row>
    <row r="7" spans="1:11" ht="15" x14ac:dyDescent="0.25">
      <c r="A7" s="115"/>
      <c r="B7" s="116"/>
      <c r="C7" s="116"/>
      <c r="D7" s="116"/>
      <c r="E7" s="116"/>
      <c r="F7" s="124"/>
      <c r="G7" s="124"/>
      <c r="H7" s="124"/>
      <c r="I7" s="116"/>
      <c r="J7" s="124"/>
      <c r="K7" s="124"/>
    </row>
    <row r="8" spans="1:11" ht="15" x14ac:dyDescent="0.25">
      <c r="A8" s="115"/>
      <c r="B8" s="116"/>
      <c r="C8" s="125">
        <v>45688</v>
      </c>
      <c r="D8" s="116"/>
      <c r="E8" s="116"/>
      <c r="F8" s="124"/>
      <c r="G8" s="124"/>
      <c r="H8" s="124"/>
      <c r="I8" s="116"/>
      <c r="J8" s="124"/>
      <c r="K8" s="124"/>
    </row>
    <row r="9" spans="1:11" ht="15" x14ac:dyDescent="0.25">
      <c r="A9" s="115"/>
      <c r="B9" s="116"/>
      <c r="C9" s="126"/>
      <c r="D9" s="126"/>
      <c r="E9" s="116"/>
      <c r="F9" s="124"/>
      <c r="G9" s="124"/>
      <c r="H9" s="124"/>
      <c r="I9" s="124"/>
      <c r="J9" s="124"/>
      <c r="K9" s="124"/>
    </row>
    <row r="10" spans="1:11" ht="15" x14ac:dyDescent="0.25">
      <c r="A10" s="115"/>
      <c r="B10" s="116"/>
      <c r="C10" s="126"/>
      <c r="D10" s="126"/>
      <c r="E10" s="116"/>
      <c r="F10" s="124"/>
      <c r="G10" s="124"/>
      <c r="H10" s="124"/>
      <c r="I10" s="124"/>
      <c r="J10" s="124"/>
      <c r="K10" s="124"/>
    </row>
    <row r="11" spans="1:11" ht="15" x14ac:dyDescent="0.25">
      <c r="A11" s="115"/>
      <c r="B11" s="116"/>
      <c r="C11" s="126"/>
      <c r="D11" s="126"/>
      <c r="E11" s="116"/>
      <c r="F11" s="124"/>
      <c r="G11" s="124"/>
      <c r="H11" s="124"/>
      <c r="I11" s="124"/>
      <c r="J11" s="124"/>
      <c r="K11" s="124"/>
    </row>
    <row r="12" spans="1:11" ht="15" x14ac:dyDescent="0.25">
      <c r="A12" s="115"/>
      <c r="B12" s="116"/>
      <c r="C12" s="126"/>
      <c r="D12" s="126"/>
      <c r="E12" s="116"/>
      <c r="F12" s="124"/>
      <c r="G12" s="124"/>
      <c r="H12" s="124"/>
      <c r="I12" s="124"/>
      <c r="J12" s="124"/>
      <c r="K12" s="124"/>
    </row>
    <row r="13" spans="1:11" ht="15" x14ac:dyDescent="0.25">
      <c r="A13" s="115"/>
      <c r="B13" s="116"/>
      <c r="C13" s="126"/>
      <c r="D13" s="126"/>
      <c r="E13" s="116"/>
      <c r="F13" s="124"/>
      <c r="G13" s="124"/>
      <c r="H13" s="124"/>
      <c r="I13" s="124"/>
      <c r="J13" s="124"/>
      <c r="K13" s="124"/>
    </row>
    <row r="14" spans="1:11" ht="15" x14ac:dyDescent="0.25">
      <c r="A14" s="115"/>
      <c r="B14" s="116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15" x14ac:dyDescent="0.25">
      <c r="A15" s="115"/>
      <c r="B15" s="116"/>
      <c r="C15" s="121"/>
      <c r="D15" s="124"/>
      <c r="E15" s="124"/>
      <c r="F15" s="124"/>
      <c r="G15" s="124"/>
      <c r="H15" s="124"/>
      <c r="I15" s="124"/>
      <c r="J15" s="124"/>
      <c r="K15" s="124"/>
    </row>
    <row r="16" spans="1:11" ht="15" x14ac:dyDescent="0.25">
      <c r="A16" s="115"/>
      <c r="B16" s="116"/>
      <c r="C16" s="121"/>
      <c r="D16" s="124"/>
      <c r="E16" s="124"/>
      <c r="F16" s="124"/>
      <c r="G16" s="124"/>
      <c r="H16" s="124"/>
      <c r="I16" s="124"/>
      <c r="J16" s="124"/>
      <c r="K16" s="124"/>
    </row>
    <row r="17" spans="1:11" ht="15" x14ac:dyDescent="0.25">
      <c r="A17" s="115"/>
      <c r="B17" s="116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ht="15" x14ac:dyDescent="0.25">
      <c r="A18" s="115"/>
      <c r="B18" s="116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ht="15" x14ac:dyDescent="0.25">
      <c r="A19" s="115"/>
      <c r="B19" s="116"/>
      <c r="C19" s="124"/>
      <c r="D19" s="124"/>
      <c r="E19" s="124"/>
      <c r="F19" s="124"/>
      <c r="H19" s="124"/>
      <c r="I19" s="124"/>
      <c r="J19" s="124"/>
      <c r="K19" s="124"/>
    </row>
    <row r="20" spans="1:11" ht="15" x14ac:dyDescent="0.25">
      <c r="A20" s="115"/>
      <c r="B20" s="116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ht="15" x14ac:dyDescent="0.25">
      <c r="A21" s="115"/>
      <c r="B21" s="116"/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ht="15" x14ac:dyDescent="0.25">
      <c r="A22" s="115"/>
      <c r="B22" s="116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ht="15" x14ac:dyDescent="0.25">
      <c r="A23" s="115"/>
      <c r="B23" s="116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ht="15" x14ac:dyDescent="0.25">
      <c r="A24" s="115"/>
      <c r="B24" s="116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ht="15" x14ac:dyDescent="0.25">
      <c r="A25" s="115"/>
      <c r="B25" s="116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 ht="15" x14ac:dyDescent="0.25">
      <c r="A26" s="115"/>
      <c r="B26" s="116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 ht="15" x14ac:dyDescent="0.25">
      <c r="A27" s="115"/>
      <c r="B27" s="116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1:11" ht="15" x14ac:dyDescent="0.25">
      <c r="A28" s="115"/>
      <c r="B28" s="116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" x14ac:dyDescent="0.25">
      <c r="A29" s="115"/>
      <c r="B29" s="116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ht="15" x14ac:dyDescent="0.25">
      <c r="A30" s="115"/>
      <c r="B30" s="116"/>
      <c r="C30" s="124"/>
      <c r="D30" s="116"/>
      <c r="E30" s="124"/>
      <c r="F30" s="124"/>
      <c r="G30" s="124"/>
      <c r="H30" s="124"/>
      <c r="I30" s="124"/>
      <c r="J30" s="124"/>
      <c r="K30" s="124"/>
    </row>
    <row r="31" spans="1:11" ht="15" x14ac:dyDescent="0.2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ht="15" x14ac:dyDescent="0.25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t="15" x14ac:dyDescent="0.2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ht="15" x14ac:dyDescent="0.2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15" x14ac:dyDescent="0.2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ht="15" x14ac:dyDescent="0.2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5" x14ac:dyDescent="0.2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5" x14ac:dyDescent="0.2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ht="15" x14ac:dyDescent="0.25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15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</row>
    <row r="41" spans="1:11" ht="15" x14ac:dyDescent="0.2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ht="15" x14ac:dyDescent="0.2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3" spans="1:11" ht="15" x14ac:dyDescent="0.2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</sheetData>
  <conditionalFormatting sqref="C5">
    <cfRule type="expression" dxfId="22" priority="1">
      <formula>LEFT(C5,1)="&lt;"</formula>
    </cfRule>
  </conditionalFormatting>
  <conditionalFormatting sqref="D6">
    <cfRule type="expression" dxfId="21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40"/>
  <sheetViews>
    <sheetView showGridLines="0" tabSelected="1" zoomScale="85" zoomScaleNormal="85" workbookViewId="0">
      <selection activeCell="M20" sqref="M20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16" ht="21" x14ac:dyDescent="0.35">
      <c r="A1" s="14" t="str">
        <f>Project_name</f>
        <v>Network management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82" t="s">
        <v>15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2</v>
      </c>
      <c r="C10" s="36" t="s">
        <v>3</v>
      </c>
      <c r="D10" s="36"/>
      <c r="E10" s="37"/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72" t="s">
        <v>0</v>
      </c>
      <c r="P10"/>
    </row>
    <row r="11" spans="1:16" ht="12.75" customHeight="1" x14ac:dyDescent="0.25">
      <c r="C11" s="1" t="s">
        <v>48</v>
      </c>
      <c r="D11" s="106"/>
      <c r="E11" s="2"/>
      <c r="F11" s="6">
        <f>'Option 1'!P77</f>
        <v>0</v>
      </c>
      <c r="G11" s="6">
        <f>'Option 1'!Q77</f>
        <v>0</v>
      </c>
      <c r="H11" s="6">
        <f>'Option 1'!R77</f>
        <v>0</v>
      </c>
      <c r="I11" s="6">
        <f>'Option 1'!S77</f>
        <v>0</v>
      </c>
      <c r="J11" s="6">
        <f>'Option 1'!T77</f>
        <v>0</v>
      </c>
      <c r="K11" s="6">
        <f>SUM(F11:J11)</f>
        <v>0</v>
      </c>
      <c r="M11" s="97"/>
      <c r="P11"/>
    </row>
    <row r="12" spans="1:16" ht="12.75" customHeight="1" x14ac:dyDescent="0.25">
      <c r="C12" s="1" t="s">
        <v>84</v>
      </c>
      <c r="D12" s="106"/>
      <c r="E12" s="2"/>
      <c r="F12" s="6">
        <f>'Option 1'!P81</f>
        <v>313024.68494738382</v>
      </c>
      <c r="G12" s="6">
        <f>'Option 1'!Q81</f>
        <v>344326.59698579897</v>
      </c>
      <c r="H12" s="6">
        <f>'Option 1'!R81</f>
        <v>378759.5905581729</v>
      </c>
      <c r="I12" s="6">
        <f>'Option 1'!S81</f>
        <v>416635.54961399018</v>
      </c>
      <c r="J12" s="6">
        <f>'Option 1'!T81</f>
        <v>458299.32715791854</v>
      </c>
      <c r="K12" s="6">
        <f t="shared" ref="K12:K13" si="0">SUM(F12:J12)</f>
        <v>1911045.7492632645</v>
      </c>
      <c r="M12" s="97"/>
      <c r="P12"/>
    </row>
    <row r="13" spans="1:16" ht="12.75" customHeight="1" x14ac:dyDescent="0.2">
      <c r="C13" s="1" t="s">
        <v>85</v>
      </c>
      <c r="D13" s="106"/>
      <c r="F13" s="6">
        <v>325484.79054808029</v>
      </c>
      <c r="G13" s="6">
        <v>360902.08123428741</v>
      </c>
      <c r="H13" s="6">
        <v>400634.95984354144</v>
      </c>
      <c r="I13" s="6">
        <v>445164.32284262095</v>
      </c>
      <c r="J13" s="6">
        <v>494423.54030533775</v>
      </c>
      <c r="K13" s="6">
        <f t="shared" si="0"/>
        <v>2026609.6947738677</v>
      </c>
      <c r="M13" s="97"/>
    </row>
    <row r="14" spans="1:16" ht="12.75" customHeight="1" x14ac:dyDescent="0.2">
      <c r="C14" s="100" t="s">
        <v>86</v>
      </c>
      <c r="D14" s="132" t="s">
        <v>87</v>
      </c>
      <c r="E14" s="100"/>
      <c r="F14" s="104">
        <f>F11+F13</f>
        <v>325484.79054808029</v>
      </c>
      <c r="G14" s="104">
        <f t="shared" ref="G14:K14" si="1">G11+G13</f>
        <v>360902.08123428741</v>
      </c>
      <c r="H14" s="104">
        <f t="shared" si="1"/>
        <v>400634.95984354144</v>
      </c>
      <c r="I14" s="104">
        <f t="shared" si="1"/>
        <v>445164.32284262095</v>
      </c>
      <c r="J14" s="104">
        <f t="shared" si="1"/>
        <v>494423.54030533775</v>
      </c>
      <c r="K14" s="104">
        <f t="shared" si="1"/>
        <v>2026609.6947738677</v>
      </c>
      <c r="M14" s="97"/>
    </row>
    <row r="15" spans="1:16" ht="12.75" customHeight="1" x14ac:dyDescent="0.2">
      <c r="C15" s="4"/>
      <c r="D15" s="4"/>
      <c r="E15" s="4"/>
      <c r="F15" s="35"/>
      <c r="G15" s="35"/>
      <c r="H15" s="35"/>
      <c r="I15" s="35"/>
      <c r="J15" s="35"/>
      <c r="K15" s="35"/>
    </row>
    <row r="16" spans="1:16" ht="12.75" customHeight="1" x14ac:dyDescent="0.2">
      <c r="C16" s="53" t="s">
        <v>14</v>
      </c>
      <c r="D16" s="22"/>
      <c r="E16" s="22"/>
      <c r="F16" s="22">
        <f>NPV(Real_Discount_rate,F14:J14)</f>
        <v>1816960.1359739443</v>
      </c>
      <c r="G16" s="35"/>
      <c r="H16" s="35"/>
      <c r="I16" s="35"/>
      <c r="J16" s="35"/>
      <c r="K16" s="35"/>
    </row>
    <row r="17" spans="2:13" ht="12.75" customHeight="1" x14ac:dyDescent="0.2">
      <c r="C17" s="33"/>
      <c r="D17" s="33"/>
      <c r="E17" s="4"/>
      <c r="F17" s="35"/>
      <c r="G17" s="35"/>
      <c r="H17" s="35"/>
      <c r="I17" s="35"/>
      <c r="J17" s="35"/>
      <c r="K17" s="35"/>
    </row>
    <row r="18" spans="2:13" ht="12.75" customHeight="1" x14ac:dyDescent="0.2">
      <c r="C18" s="1" t="s">
        <v>88</v>
      </c>
      <c r="D18" s="33"/>
      <c r="E18" s="4"/>
      <c r="F18" s="35"/>
      <c r="G18" s="35"/>
      <c r="H18" s="35"/>
      <c r="I18" s="35"/>
      <c r="J18" s="35"/>
      <c r="K18" s="35"/>
    </row>
    <row r="19" spans="2:13" ht="12.75" customHeight="1" x14ac:dyDescent="0.2">
      <c r="C19" s="33"/>
      <c r="D19" s="33"/>
      <c r="E19" s="4"/>
      <c r="F19" s="35"/>
      <c r="G19" s="35"/>
      <c r="H19" s="35"/>
      <c r="I19" s="35"/>
      <c r="J19" s="35"/>
      <c r="K19" s="35"/>
    </row>
    <row r="20" spans="2:13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3" ht="12.75" customHeight="1" x14ac:dyDescent="0.2">
      <c r="B21" s="36" t="s">
        <v>15</v>
      </c>
      <c r="C21" s="36" t="s">
        <v>3</v>
      </c>
      <c r="D21" s="36"/>
      <c r="E21" s="37"/>
      <c r="F21" s="38" t="str">
        <f>F$10</f>
        <v>2026/27</v>
      </c>
      <c r="G21" s="38" t="str">
        <f t="shared" ref="G21:J21" si="2">G$10</f>
        <v>2027/28</v>
      </c>
      <c r="H21" s="38" t="str">
        <f t="shared" si="2"/>
        <v>2028/29</v>
      </c>
      <c r="I21" s="38" t="str">
        <f t="shared" si="2"/>
        <v>2029/30</v>
      </c>
      <c r="J21" s="38" t="str">
        <f t="shared" si="2"/>
        <v>2030/31</v>
      </c>
      <c r="K21" s="72" t="s">
        <v>0</v>
      </c>
    </row>
    <row r="22" spans="2:13" ht="12.75" customHeight="1" x14ac:dyDescent="0.2">
      <c r="C22" s="1" t="s">
        <v>48</v>
      </c>
      <c r="D22" s="106"/>
      <c r="E22" s="2"/>
      <c r="F22" s="6">
        <f>'Option 2'!P77</f>
        <v>11856727.546510406</v>
      </c>
      <c r="G22" s="6">
        <f>'Option 2'!Q77</f>
        <v>13977019.355595384</v>
      </c>
      <c r="H22" s="6">
        <f>'Option 2'!R77</f>
        <v>7396279.4469165457</v>
      </c>
      <c r="I22" s="6">
        <f>'Option 2'!S77</f>
        <v>11624372.59182135</v>
      </c>
      <c r="J22" s="6">
        <f>'Option 2'!T77</f>
        <v>8813019.4716301672</v>
      </c>
      <c r="K22" s="6">
        <f>SUM(F22:J22)</f>
        <v>53667418.412473857</v>
      </c>
      <c r="M22" s="97"/>
    </row>
    <row r="23" spans="2:13" x14ac:dyDescent="0.2">
      <c r="C23" s="1" t="s">
        <v>84</v>
      </c>
      <c r="D23" s="106"/>
      <c r="E23" s="2"/>
      <c r="F23" s="6">
        <f>'Option 2'!P81</f>
        <v>0</v>
      </c>
      <c r="G23" s="6">
        <f>'Option 2'!Q81</f>
        <v>0</v>
      </c>
      <c r="H23" s="6">
        <f>'Option 2'!R81</f>
        <v>0</v>
      </c>
      <c r="I23" s="6">
        <f>'Option 2'!S81</f>
        <v>0</v>
      </c>
      <c r="J23" s="6">
        <f>'Option 2'!T81</f>
        <v>0</v>
      </c>
      <c r="K23" s="6">
        <f t="shared" ref="K23:K24" si="3">SUM(F23:J23)</f>
        <v>0</v>
      </c>
      <c r="M23" s="97"/>
    </row>
    <row r="24" spans="2:13" x14ac:dyDescent="0.2">
      <c r="C24" s="1" t="s">
        <v>85</v>
      </c>
      <c r="D24" s="106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 t="shared" si="3"/>
        <v>0</v>
      </c>
      <c r="M24" s="97"/>
    </row>
    <row r="25" spans="2:13" x14ac:dyDescent="0.2">
      <c r="C25" s="100" t="s">
        <v>86</v>
      </c>
      <c r="D25" s="132" t="s">
        <v>87</v>
      </c>
      <c r="E25" s="100"/>
      <c r="F25" s="104">
        <f>F22+F24</f>
        <v>11856727.546510406</v>
      </c>
      <c r="G25" s="104">
        <f t="shared" ref="G25" si="4">G22+G24</f>
        <v>13977019.355595384</v>
      </c>
      <c r="H25" s="104">
        <f t="shared" ref="H25" si="5">H22+H24</f>
        <v>7396279.4469165457</v>
      </c>
      <c r="I25" s="104">
        <f t="shared" ref="I25" si="6">I22+I24</f>
        <v>11624372.59182135</v>
      </c>
      <c r="J25" s="104">
        <f t="shared" ref="J25" si="7">J22+J24</f>
        <v>8813019.4716301672</v>
      </c>
      <c r="K25" s="104">
        <f t="shared" ref="K25" si="8">K22+K24</f>
        <v>53667418.412473857</v>
      </c>
      <c r="M25" s="97"/>
    </row>
    <row r="27" spans="2:13" x14ac:dyDescent="0.2">
      <c r="C27" s="53" t="s">
        <v>14</v>
      </c>
      <c r="D27" s="22"/>
      <c r="E27" s="22"/>
      <c r="F27" s="22">
        <f>NPV(Real_Discount_rate,F25:J25)</f>
        <v>48724787.892291062</v>
      </c>
    </row>
    <row r="28" spans="2:13" x14ac:dyDescent="0.2">
      <c r="C28" s="133"/>
      <c r="D28" s="134"/>
      <c r="E28" s="134"/>
      <c r="F28" s="134"/>
    </row>
    <row r="29" spans="2:13" x14ac:dyDescent="0.2">
      <c r="C29" s="1" t="s">
        <v>89</v>
      </c>
      <c r="D29" s="134"/>
      <c r="E29" s="134"/>
      <c r="F29" s="134"/>
    </row>
    <row r="30" spans="2:13" x14ac:dyDescent="0.2">
      <c r="C30" s="133"/>
      <c r="D30" s="134"/>
      <c r="E30" s="134"/>
      <c r="F30" s="134"/>
    </row>
    <row r="32" spans="2:13" x14ac:dyDescent="0.2">
      <c r="B32" s="36" t="s">
        <v>16</v>
      </c>
      <c r="C32" s="36" t="s">
        <v>3</v>
      </c>
      <c r="D32" s="36"/>
      <c r="E32" s="37"/>
      <c r="F32" s="38" t="str">
        <f>F$10</f>
        <v>2026/27</v>
      </c>
      <c r="G32" s="38" t="str">
        <f t="shared" ref="G32:J32" si="9">G$10</f>
        <v>2027/28</v>
      </c>
      <c r="H32" s="38" t="str">
        <f t="shared" si="9"/>
        <v>2028/29</v>
      </c>
      <c r="I32" s="38" t="str">
        <f t="shared" si="9"/>
        <v>2029/30</v>
      </c>
      <c r="J32" s="38" t="str">
        <f t="shared" si="9"/>
        <v>2030/31</v>
      </c>
      <c r="K32" s="72" t="s">
        <v>0</v>
      </c>
    </row>
    <row r="33" spans="2:13" x14ac:dyDescent="0.2">
      <c r="C33" s="1" t="s">
        <v>48</v>
      </c>
      <c r="D33" s="106"/>
      <c r="E33" s="2"/>
      <c r="F33" s="6">
        <f>'Option 3'!P77</f>
        <v>15955639.691222474</v>
      </c>
      <c r="G33" s="6">
        <f>'Option 3'!Q77</f>
        <v>9144565.8084869869</v>
      </c>
      <c r="H33" s="6">
        <f>'Option 3'!R77</f>
        <v>10860822.419327533</v>
      </c>
      <c r="I33" s="6">
        <f>'Option 3'!S77</f>
        <v>15394772.987816961</v>
      </c>
      <c r="J33" s="6">
        <f>'Option 3'!T77</f>
        <v>11746255.720816577</v>
      </c>
      <c r="K33" s="6">
        <f>SUM(F33:J33)</f>
        <v>63102056.627670527</v>
      </c>
      <c r="M33" s="97"/>
    </row>
    <row r="34" spans="2:13" x14ac:dyDescent="0.2">
      <c r="C34" s="1" t="s">
        <v>84</v>
      </c>
      <c r="D34" s="106"/>
      <c r="E34" s="2"/>
      <c r="F34" s="6">
        <f>'Option 3'!P81</f>
        <v>0</v>
      </c>
      <c r="G34" s="6">
        <f>'Option 3'!Q81</f>
        <v>0</v>
      </c>
      <c r="H34" s="6">
        <f>'Option 3'!R81</f>
        <v>0</v>
      </c>
      <c r="I34" s="6">
        <f>'Option 3'!S81</f>
        <v>0</v>
      </c>
      <c r="J34" s="6">
        <f>'Option 3'!T81</f>
        <v>0</v>
      </c>
      <c r="K34" s="6">
        <f t="shared" ref="K34:K35" si="10">SUM(F34:J34)</f>
        <v>0</v>
      </c>
      <c r="M34" s="97"/>
    </row>
    <row r="35" spans="2:13" x14ac:dyDescent="0.2">
      <c r="C35" s="1" t="s">
        <v>85</v>
      </c>
      <c r="D35" s="106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0"/>
        <v>0</v>
      </c>
      <c r="M35" s="97"/>
    </row>
    <row r="36" spans="2:13" x14ac:dyDescent="0.2">
      <c r="C36" s="100" t="s">
        <v>86</v>
      </c>
      <c r="D36" s="132" t="s">
        <v>87</v>
      </c>
      <c r="E36" s="100"/>
      <c r="F36" s="104">
        <f>F33+F35</f>
        <v>15955639.691222474</v>
      </c>
      <c r="G36" s="104">
        <f t="shared" ref="G36" si="11">G33+G35</f>
        <v>9144565.8084869869</v>
      </c>
      <c r="H36" s="104">
        <f t="shared" ref="H36" si="12">H33+H35</f>
        <v>10860822.419327533</v>
      </c>
      <c r="I36" s="104">
        <f t="shared" ref="I36" si="13">I33+I35</f>
        <v>15394772.987816961</v>
      </c>
      <c r="J36" s="104">
        <f t="shared" ref="J36" si="14">J33+J35</f>
        <v>11746255.720816577</v>
      </c>
      <c r="K36" s="104">
        <f t="shared" ref="K36" si="15">K33+K35</f>
        <v>63102056.627670527</v>
      </c>
      <c r="M36" s="97"/>
    </row>
    <row r="38" spans="2:13" x14ac:dyDescent="0.2">
      <c r="B38" s="26"/>
      <c r="C38" s="53" t="s">
        <v>14</v>
      </c>
      <c r="D38" s="22"/>
      <c r="E38" s="22"/>
      <c r="F38" s="22">
        <f>NPV(Real_Discount_rate,F36:J36)</f>
        <v>57054153.982848771</v>
      </c>
      <c r="G38" s="26"/>
      <c r="H38" s="26"/>
      <c r="I38" s="26"/>
      <c r="J38" s="26"/>
      <c r="K38" s="26"/>
    </row>
    <row r="40" spans="2:13" x14ac:dyDescent="0.2">
      <c r="C40" s="1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3F79304-7A59-4AB1-9CDB-155E4912CA72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topLeftCell="A27" zoomScale="90" zoomScaleNormal="90" workbookViewId="0">
      <selection activeCell="L54" sqref="L54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Network management systems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18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17</v>
      </c>
      <c r="B4" s="42" t="s">
        <v>18</v>
      </c>
      <c r="C4" s="27" t="s">
        <v>19</v>
      </c>
      <c r="D4" s="27" t="s">
        <v>20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21</v>
      </c>
      <c r="B6" s="75" t="s">
        <v>75</v>
      </c>
      <c r="C6" s="75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22</v>
      </c>
      <c r="B8" s="76" t="s">
        <v>23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24</v>
      </c>
      <c r="B10" s="127">
        <v>3.5000000000000003E-2</v>
      </c>
      <c r="C10" s="44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4" t="s">
        <v>25</v>
      </c>
      <c r="B12" s="77" t="s">
        <v>77</v>
      </c>
      <c r="C12" s="44" t="s">
        <v>26</v>
      </c>
      <c r="D12" s="27"/>
    </row>
    <row r="13" spans="1:35" ht="12.75" customHeight="1" x14ac:dyDescent="0.25">
      <c r="A13" s="44"/>
      <c r="B13" s="60"/>
      <c r="C13" s="44"/>
      <c r="D13" s="44"/>
      <c r="E13" s="44"/>
    </row>
    <row r="14" spans="1:35" ht="12.75" customHeight="1" x14ac:dyDescent="0.25">
      <c r="A14" s="44" t="s">
        <v>27</v>
      </c>
      <c r="B14" s="128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3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2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12.75" customHeight="1" x14ac:dyDescent="0.25">
      <c r="A18" s="44"/>
      <c r="B18" s="91"/>
    </row>
    <row r="19" spans="1:11" ht="12.75" customHeight="1" x14ac:dyDescent="0.25">
      <c r="A19" s="44"/>
      <c r="B19" s="91"/>
      <c r="D19" s="44"/>
      <c r="E19" s="44"/>
    </row>
    <row r="20" spans="1:11" ht="12.75" customHeight="1" x14ac:dyDescent="0.25">
      <c r="A20" s="44" t="s">
        <v>29</v>
      </c>
      <c r="B20" s="92">
        <v>1</v>
      </c>
      <c r="D20" s="44"/>
      <c r="E20" s="44"/>
    </row>
    <row r="21" spans="1:11" ht="12.75" customHeight="1" x14ac:dyDescent="0.25">
      <c r="A21" s="44"/>
      <c r="B21" s="93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2" t="s">
        <v>30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1" ht="12.75" customHeight="1" x14ac:dyDescent="0.25">
      <c r="A24" s="44" t="s">
        <v>2</v>
      </c>
      <c r="B24" s="84" t="s">
        <v>33</v>
      </c>
      <c r="C24" s="85"/>
      <c r="D24" s="85"/>
      <c r="E24" s="85"/>
      <c r="F24" s="85"/>
      <c r="G24" s="86"/>
    </row>
    <row r="25" spans="1:11" ht="12.75" customHeight="1" x14ac:dyDescent="0.25">
      <c r="A25" s="44" t="s">
        <v>15</v>
      </c>
      <c r="B25" s="87" t="s">
        <v>31</v>
      </c>
      <c r="C25" s="88"/>
      <c r="D25" s="88"/>
      <c r="E25" s="88"/>
      <c r="F25" s="88"/>
      <c r="G25" s="89"/>
    </row>
    <row r="26" spans="1:11" ht="12.75" customHeight="1" x14ac:dyDescent="0.25">
      <c r="A26" s="44" t="s">
        <v>16</v>
      </c>
      <c r="B26" s="87" t="s">
        <v>32</v>
      </c>
      <c r="C26" s="88"/>
      <c r="D26" s="88"/>
      <c r="E26" s="88"/>
      <c r="F26" s="88"/>
      <c r="G26" s="89"/>
    </row>
    <row r="27" spans="1:11" ht="12.75" customHeight="1" x14ac:dyDescent="0.25">
      <c r="A27" s="44"/>
      <c r="B27" s="90"/>
      <c r="C27" s="90"/>
      <c r="D27" s="90"/>
      <c r="E27" s="90"/>
      <c r="F27" s="90"/>
      <c r="G27" s="90"/>
    </row>
    <row r="28" spans="1:11" ht="12.75" customHeight="1" x14ac:dyDescent="0.25">
      <c r="A28" s="44"/>
      <c r="B28" s="90"/>
      <c r="C28" s="90"/>
      <c r="D28" s="90"/>
      <c r="E28" s="90"/>
      <c r="F28" s="90"/>
      <c r="G28" s="90"/>
    </row>
    <row r="29" spans="1:11" x14ac:dyDescent="0.25">
      <c r="A29" s="39" t="s">
        <v>83</v>
      </c>
      <c r="B29" s="39"/>
      <c r="C29" s="39"/>
      <c r="D29" s="40"/>
      <c r="E29" s="129" t="s">
        <v>76</v>
      </c>
      <c r="F29" s="129" t="s">
        <v>77</v>
      </c>
      <c r="G29" s="129" t="s">
        <v>78</v>
      </c>
      <c r="H29" s="129" t="s">
        <v>79</v>
      </c>
      <c r="I29" s="99"/>
      <c r="J29" s="40"/>
      <c r="K29" s="40"/>
    </row>
    <row r="30" spans="1:11" x14ac:dyDescent="0.25">
      <c r="A30" s="109" t="s">
        <v>72</v>
      </c>
      <c r="B30" s="110"/>
      <c r="C30" s="111"/>
      <c r="D30" s="112"/>
      <c r="E30" s="113">
        <v>1.1757125218136175</v>
      </c>
      <c r="F30" s="113">
        <v>1.1129126464165966</v>
      </c>
      <c r="G30" s="113">
        <v>1.050660524730181</v>
      </c>
      <c r="H30" s="113">
        <v>1.014889156509222</v>
      </c>
      <c r="I30" s="114"/>
      <c r="J30" s="112"/>
      <c r="K30" s="112"/>
    </row>
    <row r="31" spans="1:11" x14ac:dyDescent="0.25">
      <c r="B31" s="1"/>
      <c r="D31" s="56"/>
      <c r="I31" s="68"/>
      <c r="J31" s="57"/>
      <c r="K31" s="57"/>
    </row>
    <row r="32" spans="1:11" x14ac:dyDescent="0.25">
      <c r="A32" s="1"/>
      <c r="B32" s="1"/>
      <c r="D32" s="41"/>
      <c r="I32" s="68"/>
      <c r="J32" s="68"/>
      <c r="K32" s="68"/>
    </row>
    <row r="33" spans="1:11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2.75" customHeight="1" x14ac:dyDescent="0.25"/>
    <row r="35" spans="1:11" ht="12.75" customHeight="1" x14ac:dyDescent="0.25">
      <c r="A35" s="44" t="s">
        <v>34</v>
      </c>
      <c r="C35" s="130" t="s">
        <v>79</v>
      </c>
      <c r="D35" t="s">
        <v>26</v>
      </c>
    </row>
    <row r="36" spans="1:11" ht="12.75" customHeight="1" x14ac:dyDescent="0.25">
      <c r="A36" s="44" t="s">
        <v>35</v>
      </c>
      <c r="C36" s="43" t="str">
        <f>$B$12</f>
        <v>June 2024</v>
      </c>
    </row>
    <row r="37" spans="1:11" ht="12.75" customHeight="1" x14ac:dyDescent="0.25">
      <c r="A37" s="44" t="s">
        <v>36</v>
      </c>
      <c r="C37" s="94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2.75" customHeight="1" x14ac:dyDescent="0.25"/>
    <row r="41" spans="1:11" ht="12.75" customHeight="1" x14ac:dyDescent="0.25">
      <c r="A41" s="44" t="s">
        <v>37</v>
      </c>
      <c r="C41" s="131" t="s">
        <v>38</v>
      </c>
      <c r="D41" t="s">
        <v>82</v>
      </c>
    </row>
    <row r="42" spans="1:11" ht="12.75" customHeight="1" x14ac:dyDescent="0.25">
      <c r="A42" s="44" t="s">
        <v>35</v>
      </c>
      <c r="C42" s="95">
        <v>135.18960020374115</v>
      </c>
      <c r="D42" t="s">
        <v>80</v>
      </c>
    </row>
    <row r="43" spans="1:11" ht="12.75" customHeight="1" x14ac:dyDescent="0.25">
      <c r="A43" s="44" t="s">
        <v>36</v>
      </c>
      <c r="C43" s="96">
        <v>145.77740895836223</v>
      </c>
      <c r="D43" t="s">
        <v>81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2">
    <dataValidation type="list" allowBlank="1" showInputMessage="1" showErrorMessage="1" sqref="B8" xr:uid="{2DA0D598-8F5D-4E8E-9815-F70F383FA989}">
      <formula1>"VPN, UE"</formula1>
    </dataValidation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85"/>
  <sheetViews>
    <sheetView showGridLines="0" zoomScale="90" zoomScaleNormal="90" workbookViewId="0">
      <pane xSplit="3" ySplit="9" topLeftCell="D64" activePane="bottomRight" state="frozen"/>
      <selection activeCell="E23" sqref="E23"/>
      <selection pane="topRight" activeCell="E23" sqref="E23"/>
      <selection pane="bottomLeft" activeCell="E23" sqref="E23"/>
      <selection pane="bottomRight" activeCell="K57" sqref="K56:K57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Network management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2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39</v>
      </c>
      <c r="D7" s="63" t="s">
        <v>40</v>
      </c>
      <c r="E7" s="63" t="s">
        <v>41</v>
      </c>
      <c r="F7" s="16"/>
      <c r="G7" s="107" t="s">
        <v>9</v>
      </c>
      <c r="H7" s="19" t="s">
        <v>42</v>
      </c>
      <c r="J7" s="19" t="s">
        <v>43</v>
      </c>
      <c r="K7" s="20"/>
      <c r="L7" s="20"/>
      <c r="M7" s="20"/>
      <c r="N7" s="20"/>
      <c r="P7" s="19" t="s">
        <v>44</v>
      </c>
      <c r="Q7" s="20"/>
      <c r="R7" s="20"/>
      <c r="S7" s="20"/>
      <c r="T7" s="20"/>
    </row>
    <row r="8" spans="1:25" ht="12.75" customHeight="1" x14ac:dyDescent="0.2">
      <c r="A8" s="4"/>
      <c r="B8" s="4"/>
      <c r="C8" s="98"/>
      <c r="D8" s="98" t="s">
        <v>45</v>
      </c>
      <c r="E8" s="98"/>
      <c r="F8" s="16"/>
      <c r="G8" s="108" t="s">
        <v>46</v>
      </c>
      <c r="H8" s="4"/>
      <c r="J8" s="50" t="s">
        <v>4</v>
      </c>
      <c r="K8" s="50" t="s">
        <v>5</v>
      </c>
      <c r="L8" s="50" t="s">
        <v>6</v>
      </c>
      <c r="M8" s="50" t="s">
        <v>7</v>
      </c>
      <c r="N8" s="50" t="s">
        <v>8</v>
      </c>
      <c r="P8" s="50" t="s">
        <v>4</v>
      </c>
      <c r="Q8" s="50" t="s">
        <v>5</v>
      </c>
      <c r="R8" s="50" t="s">
        <v>6</v>
      </c>
      <c r="S8" s="50" t="s">
        <v>7</v>
      </c>
      <c r="T8" s="50" t="s">
        <v>8</v>
      </c>
    </row>
    <row r="9" spans="1:25" ht="12.75" customHeight="1" x14ac:dyDescent="0.2">
      <c r="F9" s="16"/>
    </row>
    <row r="10" spans="1:25" ht="12.75" customHeight="1" x14ac:dyDescent="0.2">
      <c r="A10" s="4"/>
      <c r="C10" s="79" t="s">
        <v>47</v>
      </c>
      <c r="D10" s="80" t="s">
        <v>45</v>
      </c>
      <c r="E10" s="78" t="s">
        <v>11</v>
      </c>
      <c r="F10" s="2"/>
      <c r="G10" s="62">
        <f>IF($E10="Labour",Assumptions!$B$14,)</f>
        <v>0</v>
      </c>
      <c r="H10" s="9" t="str">
        <f>IF($E10="Labour","Hours","$")</f>
        <v>$</v>
      </c>
      <c r="I10" s="2"/>
      <c r="J10" s="81">
        <v>64508.100000000006</v>
      </c>
      <c r="K10" s="81">
        <v>70958.910000000018</v>
      </c>
      <c r="L10" s="81">
        <v>78054.801000000021</v>
      </c>
      <c r="M10" s="81">
        <v>85860.281100000037</v>
      </c>
      <c r="N10" s="81">
        <v>94446.30921000005</v>
      </c>
      <c r="O10" s="2"/>
      <c r="P10" s="5">
        <f>IF($E10="Labour",$G10*J10,J10)</f>
        <v>64508.100000000006</v>
      </c>
      <c r="Q10" s="5">
        <f>IF($E10="Labour",$G10*K10,K10)</f>
        <v>70958.910000000018</v>
      </c>
      <c r="R10" s="5">
        <f>IF($E10="Labour",$G10*L10,L10)</f>
        <v>78054.801000000021</v>
      </c>
      <c r="S10" s="5">
        <f>IF($E10="Labour",$G10*M10,M10)</f>
        <v>85860.281100000037</v>
      </c>
      <c r="T10" s="5">
        <f>IF($E10="Labour",$G10*N10,N10)</f>
        <v>94446.30921000005</v>
      </c>
    </row>
    <row r="11" spans="1:25" ht="12.75" customHeight="1" x14ac:dyDescent="0.2">
      <c r="A11" s="4"/>
      <c r="C11" s="79" t="s">
        <v>49</v>
      </c>
      <c r="D11" s="80" t="s">
        <v>45</v>
      </c>
      <c r="E11" s="78" t="s">
        <v>11</v>
      </c>
      <c r="F11" s="2"/>
      <c r="G11" s="62">
        <f>IF($E11="Labour",Assumptions!$B$14,)</f>
        <v>0</v>
      </c>
      <c r="H11" s="9" t="str">
        <f t="shared" ref="H11:H54" si="0">IF($E11="Labour","Hours","$")</f>
        <v>$</v>
      </c>
      <c r="I11" s="2"/>
      <c r="J11" s="81"/>
      <c r="K11" s="81"/>
      <c r="L11" s="81"/>
      <c r="M11" s="81"/>
      <c r="N11" s="81"/>
      <c r="O11" s="2"/>
      <c r="P11" s="5">
        <f>IF($E11="Labour",$G11*J11,J11)</f>
        <v>0</v>
      </c>
      <c r="Q11" s="5">
        <f>IF($E11="Labour",$G11*K11,K11)</f>
        <v>0</v>
      </c>
      <c r="R11" s="5">
        <f>IF($E11="Labour",$G11*L11,L11)</f>
        <v>0</v>
      </c>
      <c r="S11" s="5">
        <f>IF($E11="Labour",$G11*M11,M11)</f>
        <v>0</v>
      </c>
      <c r="T11" s="5">
        <f>IF($E11="Labour",$G11*N11,N11)</f>
        <v>0</v>
      </c>
    </row>
    <row r="12" spans="1:25" ht="12.75" customHeight="1" x14ac:dyDescent="0.2">
      <c r="A12" s="4"/>
      <c r="C12" s="79" t="s">
        <v>50</v>
      </c>
      <c r="D12" s="80" t="s">
        <v>45</v>
      </c>
      <c r="E12" s="78" t="s">
        <v>11</v>
      </c>
      <c r="F12" s="2"/>
      <c r="G12" s="62">
        <f>IF($E12="Labour",Assumptions!$B$14,)</f>
        <v>0</v>
      </c>
      <c r="H12" s="9" t="str">
        <f t="shared" si="0"/>
        <v>$</v>
      </c>
      <c r="I12" s="2"/>
      <c r="J12" s="81">
        <v>19686.600000000002</v>
      </c>
      <c r="K12" s="81">
        <v>21655.260000000006</v>
      </c>
      <c r="L12" s="81">
        <v>23820.786000000007</v>
      </c>
      <c r="M12" s="81">
        <v>26202.864600000012</v>
      </c>
      <c r="N12" s="81">
        <v>28823.151060000015</v>
      </c>
      <c r="O12" s="2"/>
      <c r="P12" s="5">
        <f>IF($E12="Labour",$G12*J12,J12)</f>
        <v>19686.600000000002</v>
      </c>
      <c r="Q12" s="5">
        <f>IF($E12="Labour",$G12*K12,K12)</f>
        <v>21655.260000000006</v>
      </c>
      <c r="R12" s="5">
        <f>IF($E12="Labour",$G12*L12,L12)</f>
        <v>23820.786000000007</v>
      </c>
      <c r="S12" s="5">
        <f>IF($E12="Labour",$G12*M12,M12)</f>
        <v>26202.864600000012</v>
      </c>
      <c r="T12" s="5">
        <f>IF($E12="Labour",$G12*N12,N12)</f>
        <v>28823.151060000015</v>
      </c>
    </row>
    <row r="13" spans="1:25" ht="12.75" customHeight="1" x14ac:dyDescent="0.25">
      <c r="A13" s="4"/>
      <c r="C13" s="79" t="s">
        <v>51</v>
      </c>
      <c r="D13" s="80" t="s">
        <v>45</v>
      </c>
      <c r="E13" s="78" t="s">
        <v>11</v>
      </c>
      <c r="F13" s="2"/>
      <c r="G13" s="62">
        <f>IF($E13="Labour",Assumptions!$B$14,)</f>
        <v>0</v>
      </c>
      <c r="H13" s="9" t="str">
        <f t="shared" si="0"/>
        <v>$</v>
      </c>
      <c r="I13" s="2"/>
      <c r="J13" s="81"/>
      <c r="K13" s="81"/>
      <c r="L13" s="81"/>
      <c r="M13" s="81"/>
      <c r="N13" s="81"/>
      <c r="O13" s="2"/>
      <c r="P13" s="5">
        <f>IF($E13="Labour",$G13*J13,J13)</f>
        <v>0</v>
      </c>
      <c r="Q13" s="5">
        <f>IF($E13="Labour",$G13*K13,K13)</f>
        <v>0</v>
      </c>
      <c r="R13" s="5">
        <f>IF($E13="Labour",$G13*L13,L13)</f>
        <v>0</v>
      </c>
      <c r="S13" s="5">
        <f>IF($E13="Labour",$G13*M13,M13)</f>
        <v>0</v>
      </c>
      <c r="T13" s="5">
        <f>IF($E13="Labour",$G13*N13,N13)</f>
        <v>0</v>
      </c>
      <c r="Y13"/>
    </row>
    <row r="14" spans="1:25" ht="12.75" customHeight="1" x14ac:dyDescent="0.25">
      <c r="A14" s="4"/>
      <c r="C14" s="79" t="s">
        <v>52</v>
      </c>
      <c r="D14" s="80" t="s">
        <v>45</v>
      </c>
      <c r="E14" s="78" t="s">
        <v>11</v>
      </c>
      <c r="F14" s="2"/>
      <c r="G14" s="62">
        <f>IF($E14="Labour",Assumptions!$B$14,)</f>
        <v>0</v>
      </c>
      <c r="H14" s="9" t="str">
        <f t="shared" si="0"/>
        <v>$</v>
      </c>
      <c r="I14" s="2"/>
      <c r="J14" s="81"/>
      <c r="K14" s="81"/>
      <c r="L14" s="81"/>
      <c r="M14" s="81"/>
      <c r="N14" s="81"/>
      <c r="O14" s="2"/>
      <c r="P14" s="5">
        <f>IF($E14="Labour",$G14*J14,J14)</f>
        <v>0</v>
      </c>
      <c r="Q14" s="5">
        <f>IF($E14="Labour",$G14*K14,K14)</f>
        <v>0</v>
      </c>
      <c r="R14" s="5">
        <f>IF($E14="Labour",$G14*L14,L14)</f>
        <v>0</v>
      </c>
      <c r="S14" s="5">
        <f>IF($E14="Labour",$G14*M14,M14)</f>
        <v>0</v>
      </c>
      <c r="T14" s="5">
        <f>IF($E14="Labour",$G14*N14,N14)</f>
        <v>0</v>
      </c>
      <c r="Y14"/>
    </row>
    <row r="15" spans="1:25" ht="12.75" customHeight="1" x14ac:dyDescent="0.25">
      <c r="A15" s="4"/>
      <c r="C15" s="79" t="s">
        <v>53</v>
      </c>
      <c r="D15" s="80" t="s">
        <v>45</v>
      </c>
      <c r="E15" s="78" t="s">
        <v>11</v>
      </c>
      <c r="F15" s="2"/>
      <c r="G15" s="62">
        <f>IF($E15="Labour",Assumptions!$B$14,)</f>
        <v>0</v>
      </c>
      <c r="H15" s="9" t="str">
        <f t="shared" si="0"/>
        <v>$</v>
      </c>
      <c r="I15" s="2"/>
      <c r="J15" s="81">
        <v>3000</v>
      </c>
      <c r="K15" s="81">
        <v>3300</v>
      </c>
      <c r="L15" s="81">
        <v>3630</v>
      </c>
      <c r="M15" s="81">
        <v>3993</v>
      </c>
      <c r="N15" s="81">
        <v>4392.3000000000029</v>
      </c>
      <c r="O15" s="2"/>
      <c r="P15" s="5">
        <f>IF($E15="Labour",$G15*J15,J15)</f>
        <v>3000</v>
      </c>
      <c r="Q15" s="5">
        <f>IF($E15="Labour",$G15*K15,K15)</f>
        <v>3300</v>
      </c>
      <c r="R15" s="5">
        <f>IF($E15="Labour",$G15*L15,L15)</f>
        <v>3630</v>
      </c>
      <c r="S15" s="5">
        <f>IF($E15="Labour",$G15*M15,M15)</f>
        <v>3993</v>
      </c>
      <c r="T15" s="5">
        <f>IF($E15="Labour",$G15*N15,N15)</f>
        <v>4392.3000000000029</v>
      </c>
      <c r="Y15"/>
    </row>
    <row r="16" spans="1:25" ht="12.75" customHeight="1" x14ac:dyDescent="0.25">
      <c r="A16" s="4"/>
      <c r="C16" s="79" t="s">
        <v>54</v>
      </c>
      <c r="D16" s="80" t="s">
        <v>45</v>
      </c>
      <c r="E16" s="78" t="s">
        <v>11</v>
      </c>
      <c r="F16" s="2"/>
      <c r="G16" s="62">
        <f>IF($E16="Labour",Assumptions!$B$14,)</f>
        <v>0</v>
      </c>
      <c r="H16" s="9" t="str">
        <f t="shared" si="0"/>
        <v>$</v>
      </c>
      <c r="I16" s="2"/>
      <c r="J16" s="81">
        <v>14065.200000000012</v>
      </c>
      <c r="K16" s="81">
        <v>15471.720000000001</v>
      </c>
      <c r="L16" s="81">
        <v>17018.892000000022</v>
      </c>
      <c r="M16" s="81">
        <v>18720.781200000027</v>
      </c>
      <c r="N16" s="81">
        <v>20592.859320000018</v>
      </c>
      <c r="O16" s="2"/>
      <c r="P16" s="5">
        <f>IF($E16="Labour",$G16*J16,J16)</f>
        <v>14065.200000000012</v>
      </c>
      <c r="Q16" s="5">
        <f>IF($E16="Labour",$G16*K16,K16)</f>
        <v>15471.720000000001</v>
      </c>
      <c r="R16" s="5">
        <f>IF($E16="Labour",$G16*L16,L16)</f>
        <v>17018.892000000022</v>
      </c>
      <c r="S16" s="5">
        <f>IF($E16="Labour",$G16*M16,M16)</f>
        <v>18720.781200000027</v>
      </c>
      <c r="T16" s="5">
        <f>IF($E16="Labour",$G16*N16,N16)</f>
        <v>20592.859320000018</v>
      </c>
      <c r="Y16"/>
    </row>
    <row r="17" spans="1:25" ht="12.75" customHeight="1" x14ac:dyDescent="0.25">
      <c r="A17" s="4"/>
      <c r="C17" s="79" t="s">
        <v>67</v>
      </c>
      <c r="D17" s="80" t="s">
        <v>45</v>
      </c>
      <c r="E17" s="78" t="s">
        <v>11</v>
      </c>
      <c r="F17" s="2"/>
      <c r="G17" s="62">
        <f>IF($E17="Labour",Assumptions!$B$14,)</f>
        <v>0</v>
      </c>
      <c r="H17" s="9" t="str">
        <f t="shared" si="0"/>
        <v>$</v>
      </c>
      <c r="I17" s="2"/>
      <c r="J17" s="81">
        <v>62500</v>
      </c>
      <c r="K17" s="81">
        <v>68750</v>
      </c>
      <c r="L17" s="81">
        <v>75625</v>
      </c>
      <c r="M17" s="81">
        <v>83187.5</v>
      </c>
      <c r="N17" s="81">
        <v>91506.250000000015</v>
      </c>
      <c r="O17" s="2"/>
      <c r="P17" s="5">
        <f>IF($E17="Labour",$G17*J17,J17)</f>
        <v>62500</v>
      </c>
      <c r="Q17" s="5">
        <f>IF($E17="Labour",$G17*K17,K17)</f>
        <v>68750</v>
      </c>
      <c r="R17" s="5">
        <f>IF($E17="Labour",$G17*L17,L17)</f>
        <v>75625</v>
      </c>
      <c r="S17" s="5">
        <f>IF($E17="Labour",$G17*M17,M17)</f>
        <v>83187.5</v>
      </c>
      <c r="T17" s="5">
        <f>IF($E17="Labour",$G17*N17,N17)</f>
        <v>91506.250000000015</v>
      </c>
      <c r="Y17"/>
    </row>
    <row r="18" spans="1:25" ht="12.75" customHeight="1" x14ac:dyDescent="0.25">
      <c r="A18" s="4"/>
      <c r="C18" s="79" t="s">
        <v>68</v>
      </c>
      <c r="D18" s="80" t="s">
        <v>45</v>
      </c>
      <c r="E18" s="78" t="s">
        <v>11</v>
      </c>
      <c r="F18" s="2"/>
      <c r="G18" s="62">
        <f>IF($E18="Labour",Assumptions!$B$14,)</f>
        <v>0</v>
      </c>
      <c r="H18" s="9" t="str">
        <f t="shared" si="0"/>
        <v>$</v>
      </c>
      <c r="I18" s="2"/>
      <c r="J18" s="81">
        <v>26086</v>
      </c>
      <c r="K18" s="81">
        <v>28695</v>
      </c>
      <c r="L18" s="81">
        <v>31564</v>
      </c>
      <c r="M18" s="81">
        <v>34721</v>
      </c>
      <c r="N18" s="81">
        <v>38193</v>
      </c>
      <c r="O18" s="2"/>
      <c r="P18" s="5">
        <f>IF($E18="Labour",$G18*J18,J18)</f>
        <v>26086</v>
      </c>
      <c r="Q18" s="5">
        <f>IF($E18="Labour",$G18*K18,K18)</f>
        <v>28695</v>
      </c>
      <c r="R18" s="5">
        <f>IF($E18="Labour",$G18*L18,L18)</f>
        <v>31564</v>
      </c>
      <c r="S18" s="5">
        <f>IF($E18="Labour",$G18*M18,M18)</f>
        <v>34721</v>
      </c>
      <c r="T18" s="5">
        <f>IF($E18="Labour",$G18*N18,N18)</f>
        <v>38193</v>
      </c>
      <c r="Y18"/>
    </row>
    <row r="19" spans="1:25" ht="12.75" customHeight="1" x14ac:dyDescent="0.25">
      <c r="A19" s="4"/>
      <c r="C19" s="79" t="s">
        <v>57</v>
      </c>
      <c r="D19" s="80" t="s">
        <v>45</v>
      </c>
      <c r="E19" s="78" t="s">
        <v>11</v>
      </c>
      <c r="F19" s="2"/>
      <c r="G19" s="62">
        <f>IF($E19="Labour",Assumptions!$B$14,)</f>
        <v>0</v>
      </c>
      <c r="H19" s="9" t="str">
        <f t="shared" si="0"/>
        <v>$</v>
      </c>
      <c r="I19" s="2"/>
      <c r="J19" s="81">
        <v>2400</v>
      </c>
      <c r="K19" s="81">
        <v>2640</v>
      </c>
      <c r="L19" s="81">
        <v>2904.0000000000005</v>
      </c>
      <c r="M19" s="81">
        <v>3194.4000000000005</v>
      </c>
      <c r="N19" s="81">
        <v>3513.8400000000011</v>
      </c>
      <c r="O19" s="2"/>
      <c r="P19" s="5">
        <f>IF($E19="Labour",$G19*J19,J19)</f>
        <v>2400</v>
      </c>
      <c r="Q19" s="5">
        <f>IF($E19="Labour",$G19*K19,K19)</f>
        <v>2640</v>
      </c>
      <c r="R19" s="5">
        <f>IF($E19="Labour",$G19*L19,L19)</f>
        <v>2904.0000000000005</v>
      </c>
      <c r="S19" s="5">
        <f>IF($E19="Labour",$G19*M19,M19)</f>
        <v>3194.4000000000005</v>
      </c>
      <c r="T19" s="5">
        <f>IF($E19="Labour",$G19*N19,N19)</f>
        <v>3513.8400000000011</v>
      </c>
      <c r="Y19"/>
    </row>
    <row r="20" spans="1:25" ht="12.75" customHeight="1" x14ac:dyDescent="0.25">
      <c r="A20" s="4"/>
      <c r="C20" s="79" t="s">
        <v>58</v>
      </c>
      <c r="D20" s="80" t="s">
        <v>45</v>
      </c>
      <c r="E20" s="78" t="s">
        <v>11</v>
      </c>
      <c r="F20" s="2"/>
      <c r="G20" s="62">
        <f>IF($E20="Labour",Assumptions!$B$14,)</f>
        <v>0</v>
      </c>
      <c r="H20" s="9" t="str">
        <f t="shared" si="0"/>
        <v>$</v>
      </c>
      <c r="I20" s="2"/>
      <c r="J20" s="81">
        <v>1789.4</v>
      </c>
      <c r="K20" s="81">
        <v>1968.3400000000001</v>
      </c>
      <c r="L20" s="81">
        <v>2165.1740000000004</v>
      </c>
      <c r="M20" s="81">
        <v>2381.6914000000006</v>
      </c>
      <c r="N20" s="81">
        <v>2619.860540000001</v>
      </c>
      <c r="O20" s="2"/>
      <c r="P20" s="5">
        <f>IF($E20="Labour",$G20*J20,J20)</f>
        <v>1789.4</v>
      </c>
      <c r="Q20" s="5">
        <f>IF($E20="Labour",$G20*K20,K20)</f>
        <v>1968.3400000000001</v>
      </c>
      <c r="R20" s="5">
        <f>IF($E20="Labour",$G20*L20,L20)</f>
        <v>2165.1740000000004</v>
      </c>
      <c r="S20" s="5">
        <f>IF($E20="Labour",$G20*M20,M20)</f>
        <v>2381.6914000000006</v>
      </c>
      <c r="T20" s="5">
        <f>IF($E20="Labour",$G20*N20,N20)</f>
        <v>2619.860540000001</v>
      </c>
      <c r="Y20"/>
    </row>
    <row r="21" spans="1:25" ht="12.75" customHeight="1" x14ac:dyDescent="0.25">
      <c r="A21" s="4"/>
      <c r="C21" s="79" t="s">
        <v>59</v>
      </c>
      <c r="D21" s="80" t="s">
        <v>45</v>
      </c>
      <c r="E21" s="78" t="s">
        <v>11</v>
      </c>
      <c r="F21" s="2"/>
      <c r="G21" s="62">
        <f>IF($E21="Labour",Assumptions!$B$14,)</f>
        <v>0</v>
      </c>
      <c r="H21" s="9" t="str">
        <f t="shared" si="0"/>
        <v>$</v>
      </c>
      <c r="I21" s="2"/>
      <c r="J21" s="81">
        <v>4627.8779999999997</v>
      </c>
      <c r="K21" s="81">
        <v>5090.6657999999998</v>
      </c>
      <c r="L21" s="81">
        <v>5599.7323800000004</v>
      </c>
      <c r="M21" s="81">
        <v>6159.7056180000009</v>
      </c>
      <c r="N21" s="81">
        <v>6775.6761798000016</v>
      </c>
      <c r="O21" s="2"/>
      <c r="P21" s="5">
        <f>IF($E21="Labour",$G21*J21,J21)</f>
        <v>4627.8779999999997</v>
      </c>
      <c r="Q21" s="5">
        <f>IF($E21="Labour",$G21*K21,K21)</f>
        <v>5090.6657999999998</v>
      </c>
      <c r="R21" s="5">
        <f>IF($E21="Labour",$G21*L21,L21)</f>
        <v>5599.7323800000004</v>
      </c>
      <c r="S21" s="5">
        <f>IF($E21="Labour",$G21*M21,M21)</f>
        <v>6159.7056180000009</v>
      </c>
      <c r="T21" s="5">
        <f>IF($E21="Labour",$G21*N21,N21)</f>
        <v>6775.6761798000016</v>
      </c>
      <c r="Y21"/>
    </row>
    <row r="22" spans="1:25" ht="12.75" customHeight="1" x14ac:dyDescent="0.25">
      <c r="A22" s="4"/>
      <c r="C22" s="79" t="s">
        <v>60</v>
      </c>
      <c r="D22" s="80" t="s">
        <v>45</v>
      </c>
      <c r="E22" s="78" t="s">
        <v>11</v>
      </c>
      <c r="F22" s="2"/>
      <c r="G22" s="62">
        <f>IF($E22="Labour",Assumptions!$B$14,)</f>
        <v>0</v>
      </c>
      <c r="H22" s="9" t="str">
        <f t="shared" si="0"/>
        <v>$</v>
      </c>
      <c r="I22" s="2"/>
      <c r="J22" s="81">
        <v>2072.3090000000002</v>
      </c>
      <c r="K22" s="81">
        <v>2279.5399000000002</v>
      </c>
      <c r="L22" s="81">
        <v>2507.4938900000006</v>
      </c>
      <c r="M22" s="81">
        <v>2758.2432790000007</v>
      </c>
      <c r="N22" s="81">
        <v>3034.067606900001</v>
      </c>
      <c r="O22" s="2"/>
      <c r="P22" s="5">
        <f>IF($E22="Labour",$G22*J22,J22)</f>
        <v>2072.3090000000002</v>
      </c>
      <c r="Q22" s="5">
        <f>IF($E22="Labour",$G22*K22,K22)</f>
        <v>2279.5399000000002</v>
      </c>
      <c r="R22" s="5">
        <f>IF($E22="Labour",$G22*L22,L22)</f>
        <v>2507.4938900000006</v>
      </c>
      <c r="S22" s="5">
        <f>IF($E22="Labour",$G22*M22,M22)</f>
        <v>2758.2432790000007</v>
      </c>
      <c r="T22" s="5">
        <f>IF($E22="Labour",$G22*N22,N22)</f>
        <v>3034.067606900001</v>
      </c>
      <c r="Y22"/>
    </row>
    <row r="23" spans="1:25" ht="12.75" customHeight="1" x14ac:dyDescent="0.25">
      <c r="A23" s="4"/>
      <c r="C23" s="79" t="s">
        <v>69</v>
      </c>
      <c r="D23" s="80" t="s">
        <v>45</v>
      </c>
      <c r="E23" s="78" t="s">
        <v>11</v>
      </c>
      <c r="F23" s="2"/>
      <c r="G23" s="62">
        <f>IF($E23="Labour",Assumptions!$B$14,)</f>
        <v>0</v>
      </c>
      <c r="H23" s="9" t="str">
        <f t="shared" si="0"/>
        <v>$</v>
      </c>
      <c r="I23" s="2"/>
      <c r="J23" s="81">
        <v>1591.6895999999999</v>
      </c>
      <c r="K23" s="81">
        <v>1750.8585600000001</v>
      </c>
      <c r="L23" s="81">
        <v>1925.9444160000003</v>
      </c>
      <c r="M23" s="81">
        <v>2118.5388576000005</v>
      </c>
      <c r="N23" s="81">
        <v>2330.3927433600006</v>
      </c>
      <c r="O23" s="2"/>
      <c r="P23" s="5">
        <f>IF($E23="Labour",$G23*J23,J23)</f>
        <v>1591.6895999999999</v>
      </c>
      <c r="Q23" s="5">
        <f>IF($E23="Labour",$G23*K23,K23)</f>
        <v>1750.8585600000001</v>
      </c>
      <c r="R23" s="5">
        <f>IF($E23="Labour",$G23*L23,L23)</f>
        <v>1925.9444160000003</v>
      </c>
      <c r="S23" s="5">
        <f>IF($E23="Labour",$G23*M23,M23)</f>
        <v>2118.5388576000005</v>
      </c>
      <c r="T23" s="5">
        <f>IF($E23="Labour",$G23*N23,N23)</f>
        <v>2330.3927433600006</v>
      </c>
      <c r="Y23"/>
    </row>
    <row r="24" spans="1:25" ht="12.75" customHeight="1" x14ac:dyDescent="0.25">
      <c r="A24" s="4"/>
      <c r="C24" s="79" t="s">
        <v>62</v>
      </c>
      <c r="D24" s="80" t="s">
        <v>45</v>
      </c>
      <c r="E24" s="78" t="s">
        <v>11</v>
      </c>
      <c r="F24" s="2"/>
      <c r="G24" s="62">
        <f>IF($E24="Labour",Assumptions!$B$14,)</f>
        <v>0</v>
      </c>
      <c r="H24" s="9" t="str">
        <f t="shared" si="0"/>
        <v>$</v>
      </c>
      <c r="I24" s="2"/>
      <c r="J24" s="81">
        <v>78939</v>
      </c>
      <c r="K24" s="81">
        <v>86832</v>
      </c>
      <c r="L24" s="81">
        <v>95516</v>
      </c>
      <c r="M24" s="81">
        <v>105067</v>
      </c>
      <c r="N24" s="81">
        <v>115574</v>
      </c>
      <c r="O24" s="2"/>
      <c r="P24" s="5">
        <f>IF($E24="Labour",$G24*J24,J24)</f>
        <v>78939</v>
      </c>
      <c r="Q24" s="5">
        <f>IF($E24="Labour",$G24*K24,K24)</f>
        <v>86832</v>
      </c>
      <c r="R24" s="5">
        <f>IF($E24="Labour",$G24*L24,L24)</f>
        <v>95516</v>
      </c>
      <c r="S24" s="5">
        <f>IF($E24="Labour",$G24*M24,M24)</f>
        <v>105067</v>
      </c>
      <c r="T24" s="5">
        <f>IF($E24="Labour",$G24*N24,N24)</f>
        <v>115574</v>
      </c>
      <c r="Y24"/>
    </row>
    <row r="25" spans="1:25" ht="12.75" customHeight="1" x14ac:dyDescent="0.25">
      <c r="A25" s="4"/>
      <c r="C25" s="79"/>
      <c r="D25" s="80"/>
      <c r="E25" s="78"/>
      <c r="F25" s="2"/>
      <c r="G25" s="62">
        <f>IF($E25="Labour",Assumptions!$B$14,)</f>
        <v>0</v>
      </c>
      <c r="H25" s="9" t="str">
        <f t="shared" si="0"/>
        <v>$</v>
      </c>
      <c r="I25" s="2"/>
      <c r="J25" s="81"/>
      <c r="K25" s="81"/>
      <c r="L25" s="81"/>
      <c r="M25" s="81"/>
      <c r="N25" s="81"/>
      <c r="O25" s="2"/>
      <c r="P25" s="5">
        <f>IF($E25="Labour",$G25*J25,J25)</f>
        <v>0</v>
      </c>
      <c r="Q25" s="5">
        <f>IF($E25="Labour",$G25*K25,K25)</f>
        <v>0</v>
      </c>
      <c r="R25" s="5">
        <f>IF($E25="Labour",$G25*L25,L25)</f>
        <v>0</v>
      </c>
      <c r="S25" s="5">
        <f>IF($E25="Labour",$G25*M25,M25)</f>
        <v>0</v>
      </c>
      <c r="T25" s="5">
        <f>IF($E25="Labour",$G25*N25,N25)</f>
        <v>0</v>
      </c>
      <c r="Y25"/>
    </row>
    <row r="26" spans="1:25" ht="12.75" customHeight="1" x14ac:dyDescent="0.25">
      <c r="A26" s="4"/>
      <c r="C26" s="79"/>
      <c r="D26" s="80"/>
      <c r="E26" s="78"/>
      <c r="F26" s="2"/>
      <c r="G26" s="62">
        <f>IF($E26="Labour",Assumptions!$B$14,)</f>
        <v>0</v>
      </c>
      <c r="H26" s="9" t="str">
        <f t="shared" si="0"/>
        <v>$</v>
      </c>
      <c r="I26" s="2"/>
      <c r="J26" s="81"/>
      <c r="K26" s="81"/>
      <c r="L26" s="81"/>
      <c r="M26" s="81"/>
      <c r="N26" s="81"/>
      <c r="O26" s="2"/>
      <c r="P26" s="5">
        <f>IF($E26="Labour",$G26*J26,J26)</f>
        <v>0</v>
      </c>
      <c r="Q26" s="5">
        <f>IF($E26="Labour",$G26*K26,K26)</f>
        <v>0</v>
      </c>
      <c r="R26" s="5">
        <f>IF($E26="Labour",$G26*L26,L26)</f>
        <v>0</v>
      </c>
      <c r="S26" s="5">
        <f>IF($E26="Labour",$G26*M26,M26)</f>
        <v>0</v>
      </c>
      <c r="T26" s="5">
        <f>IF($E26="Labour",$G26*N26,N26)</f>
        <v>0</v>
      </c>
      <c r="Y26"/>
    </row>
    <row r="27" spans="1:25" ht="12.75" customHeight="1" x14ac:dyDescent="0.25">
      <c r="A27" s="4"/>
      <c r="C27" s="79"/>
      <c r="D27" s="80"/>
      <c r="E27" s="78"/>
      <c r="F27" s="2"/>
      <c r="G27" s="62">
        <f>IF($E27="Labour",Assumptions!$B$14,)</f>
        <v>0</v>
      </c>
      <c r="H27" s="9" t="str">
        <f t="shared" si="0"/>
        <v>$</v>
      </c>
      <c r="I27" s="2"/>
      <c r="J27" s="81"/>
      <c r="K27" s="81"/>
      <c r="L27" s="81"/>
      <c r="M27" s="81"/>
      <c r="N27" s="81"/>
      <c r="O27" s="2"/>
      <c r="P27" s="5">
        <f>IF($E27="Labour",$G27*J27,J27)</f>
        <v>0</v>
      </c>
      <c r="Q27" s="5">
        <f>IF($E27="Labour",$G27*K27,K27)</f>
        <v>0</v>
      </c>
      <c r="R27" s="5">
        <f>IF($E27="Labour",$G27*L27,L27)</f>
        <v>0</v>
      </c>
      <c r="S27" s="5">
        <f>IF($E27="Labour",$G27*M27,M27)</f>
        <v>0</v>
      </c>
      <c r="T27" s="5">
        <f>IF($E27="Labour",$G27*N27,N27)</f>
        <v>0</v>
      </c>
      <c r="Y27"/>
    </row>
    <row r="28" spans="1:25" ht="12.75" customHeight="1" x14ac:dyDescent="0.25">
      <c r="A28" s="4"/>
      <c r="C28" s="79"/>
      <c r="D28" s="80"/>
      <c r="E28" s="78"/>
      <c r="F28" s="2"/>
      <c r="G28" s="62">
        <f>IF($E28="Labour",Assumptions!$B$14,)</f>
        <v>0</v>
      </c>
      <c r="H28" s="9" t="str">
        <f t="shared" si="0"/>
        <v>$</v>
      </c>
      <c r="I28" s="2"/>
      <c r="J28" s="81"/>
      <c r="K28" s="81"/>
      <c r="L28" s="81"/>
      <c r="M28" s="81"/>
      <c r="N28" s="81"/>
      <c r="O28" s="2"/>
      <c r="P28" s="5">
        <f>IF($E28="Labour",$G28*J28,J28)</f>
        <v>0</v>
      </c>
      <c r="Q28" s="5">
        <f>IF($E28="Labour",$G28*K28,K28)</f>
        <v>0</v>
      </c>
      <c r="R28" s="5">
        <f>IF($E28="Labour",$G28*L28,L28)</f>
        <v>0</v>
      </c>
      <c r="S28" s="5">
        <f>IF($E28="Labour",$G28*M28,M28)</f>
        <v>0</v>
      </c>
      <c r="T28" s="5">
        <f>IF($E28="Labour",$G28*N28,N28)</f>
        <v>0</v>
      </c>
      <c r="Y28"/>
    </row>
    <row r="29" spans="1:25" ht="12.75" customHeight="1" x14ac:dyDescent="0.25">
      <c r="A29" s="4"/>
      <c r="C29" s="79"/>
      <c r="D29" s="80"/>
      <c r="E29" s="78"/>
      <c r="F29" s="2"/>
      <c r="G29" s="62">
        <f>IF($E29="Labour",Assumptions!$B$14,)</f>
        <v>0</v>
      </c>
      <c r="H29" s="9" t="str">
        <f t="shared" si="0"/>
        <v>$</v>
      </c>
      <c r="I29" s="2"/>
      <c r="J29" s="81"/>
      <c r="K29" s="81"/>
      <c r="L29" s="81"/>
      <c r="M29" s="81"/>
      <c r="N29" s="81"/>
      <c r="O29" s="2"/>
      <c r="P29" s="5">
        <f>IF($E29="Labour",$G29*J29,J29)</f>
        <v>0</v>
      </c>
      <c r="Q29" s="5">
        <f>IF($E29="Labour",$G29*K29,K29)</f>
        <v>0</v>
      </c>
      <c r="R29" s="5">
        <f>IF($E29="Labour",$G29*L29,L29)</f>
        <v>0</v>
      </c>
      <c r="S29" s="5">
        <f>IF($E29="Labour",$G29*M29,M29)</f>
        <v>0</v>
      </c>
      <c r="T29" s="5">
        <f>IF($E29="Labour",$G29*N29,N29)</f>
        <v>0</v>
      </c>
      <c r="Y29"/>
    </row>
    <row r="30" spans="1:25" ht="12.75" customHeight="1" x14ac:dyDescent="0.25">
      <c r="A30" s="4"/>
      <c r="C30" s="79"/>
      <c r="D30" s="80"/>
      <c r="E30" s="78"/>
      <c r="F30" s="2"/>
      <c r="G30" s="62">
        <f>IF($E30="Labour",Assumptions!$B$14,)</f>
        <v>0</v>
      </c>
      <c r="H30" s="9" t="str">
        <f t="shared" si="0"/>
        <v>$</v>
      </c>
      <c r="I30" s="2"/>
      <c r="J30" s="81"/>
      <c r="K30" s="81"/>
      <c r="L30" s="81"/>
      <c r="M30" s="81"/>
      <c r="N30" s="81"/>
      <c r="O30" s="2"/>
      <c r="P30" s="5">
        <f>IF($E30="Labour",$G30*J30,J30)</f>
        <v>0</v>
      </c>
      <c r="Q30" s="5">
        <f>IF($E30="Labour",$G30*K30,K30)</f>
        <v>0</v>
      </c>
      <c r="R30" s="5">
        <f>IF($E30="Labour",$G30*L30,L30)</f>
        <v>0</v>
      </c>
      <c r="S30" s="5">
        <f>IF($E30="Labour",$G30*M30,M30)</f>
        <v>0</v>
      </c>
      <c r="T30" s="5">
        <f>IF($E30="Labour",$G30*N30,N30)</f>
        <v>0</v>
      </c>
      <c r="Y30"/>
    </row>
    <row r="31" spans="1:25" ht="12.75" customHeight="1" x14ac:dyDescent="0.25">
      <c r="A31" s="4"/>
      <c r="C31" s="79"/>
      <c r="D31" s="80"/>
      <c r="E31" s="78"/>
      <c r="F31" s="2"/>
      <c r="G31" s="62">
        <f>IF($E31="Labour",Assumptions!$B$14,)</f>
        <v>0</v>
      </c>
      <c r="H31" s="9" t="str">
        <f t="shared" si="0"/>
        <v>$</v>
      </c>
      <c r="I31" s="2"/>
      <c r="J31" s="81"/>
      <c r="K31" s="81"/>
      <c r="L31" s="81"/>
      <c r="M31" s="81"/>
      <c r="N31" s="81"/>
      <c r="O31" s="2"/>
      <c r="P31" s="5">
        <f>IF($E31="Labour",$G31*J31,J31)</f>
        <v>0</v>
      </c>
      <c r="Q31" s="5">
        <f>IF($E31="Labour",$G31*K31,K31)</f>
        <v>0</v>
      </c>
      <c r="R31" s="5">
        <f>IF($E31="Labour",$G31*L31,L31)</f>
        <v>0</v>
      </c>
      <c r="S31" s="5">
        <f>IF($E31="Labour",$G31*M31,M31)</f>
        <v>0</v>
      </c>
      <c r="T31" s="5">
        <f>IF($E31="Labour",$G31*N31,N31)</f>
        <v>0</v>
      </c>
      <c r="Y31"/>
    </row>
    <row r="32" spans="1:25" ht="12.75" customHeight="1" x14ac:dyDescent="0.25">
      <c r="A32" s="4"/>
      <c r="C32" s="79"/>
      <c r="D32" s="80"/>
      <c r="E32" s="78"/>
      <c r="F32" s="2"/>
      <c r="G32" s="62">
        <f>IF($E32="Labour",Assumptions!$B$14,)</f>
        <v>0</v>
      </c>
      <c r="H32" s="9" t="str">
        <f t="shared" si="0"/>
        <v>$</v>
      </c>
      <c r="I32" s="2"/>
      <c r="J32" s="81"/>
      <c r="K32" s="81"/>
      <c r="L32" s="81"/>
      <c r="M32" s="81"/>
      <c r="N32" s="81"/>
      <c r="O32" s="2"/>
      <c r="P32" s="5">
        <f>IF($E32="Labour",$G32*J32,J32)</f>
        <v>0</v>
      </c>
      <c r="Q32" s="5">
        <f>IF($E32="Labour",$G32*K32,K32)</f>
        <v>0</v>
      </c>
      <c r="R32" s="5">
        <f>IF($E32="Labour",$G32*L32,L32)</f>
        <v>0</v>
      </c>
      <c r="S32" s="5">
        <f>IF($E32="Labour",$G32*M32,M32)</f>
        <v>0</v>
      </c>
      <c r="T32" s="5">
        <f>IF($E32="Labour",$G32*N32,N32)</f>
        <v>0</v>
      </c>
      <c r="Y32"/>
    </row>
    <row r="33" spans="1:25" ht="12.75" customHeight="1" x14ac:dyDescent="0.25">
      <c r="A33" s="4"/>
      <c r="C33" s="79"/>
      <c r="D33" s="80"/>
      <c r="E33" s="78"/>
      <c r="F33" s="2"/>
      <c r="G33" s="62">
        <f>IF($E33="Labour",Assumptions!$B$14,)</f>
        <v>0</v>
      </c>
      <c r="H33" s="9" t="str">
        <f t="shared" si="0"/>
        <v>$</v>
      </c>
      <c r="I33" s="2"/>
      <c r="J33" s="81"/>
      <c r="K33" s="81"/>
      <c r="L33" s="81"/>
      <c r="M33" s="81"/>
      <c r="N33" s="81"/>
      <c r="O33" s="2"/>
      <c r="P33" s="5">
        <f>IF($E33="Labour",$G33*J33,J33)</f>
        <v>0</v>
      </c>
      <c r="Q33" s="5">
        <f>IF($E33="Labour",$G33*K33,K33)</f>
        <v>0</v>
      </c>
      <c r="R33" s="5">
        <f>IF($E33="Labour",$G33*L33,L33)</f>
        <v>0</v>
      </c>
      <c r="S33" s="5">
        <f>IF($E33="Labour",$G33*M33,M33)</f>
        <v>0</v>
      </c>
      <c r="T33" s="5">
        <f>IF($E33="Labour",$G33*N33,N33)</f>
        <v>0</v>
      </c>
      <c r="Y33"/>
    </row>
    <row r="34" spans="1:25" ht="12.75" customHeight="1" x14ac:dyDescent="0.25">
      <c r="A34" s="4"/>
      <c r="C34" s="79"/>
      <c r="D34" s="80"/>
      <c r="E34" s="78"/>
      <c r="F34" s="2"/>
      <c r="G34" s="62">
        <f>IF($E34="Labour",Assumptions!$B$14,)</f>
        <v>0</v>
      </c>
      <c r="H34" s="9" t="str">
        <f t="shared" si="0"/>
        <v>$</v>
      </c>
      <c r="I34" s="2"/>
      <c r="J34" s="81"/>
      <c r="K34" s="81"/>
      <c r="L34" s="81"/>
      <c r="M34" s="81"/>
      <c r="N34" s="81"/>
      <c r="O34" s="2"/>
      <c r="P34" s="5">
        <f>IF($E34="Labour",$G34*J34,J34)</f>
        <v>0</v>
      </c>
      <c r="Q34" s="5">
        <f>IF($E34="Labour",$G34*K34,K34)</f>
        <v>0</v>
      </c>
      <c r="R34" s="5">
        <f>IF($E34="Labour",$G34*L34,L34)</f>
        <v>0</v>
      </c>
      <c r="S34" s="5">
        <f>IF($E34="Labour",$G34*M34,M34)</f>
        <v>0</v>
      </c>
      <c r="T34" s="5">
        <f>IF($E34="Labour",$G34*N34,N34)</f>
        <v>0</v>
      </c>
      <c r="Y34"/>
    </row>
    <row r="35" spans="1:25" ht="12.75" customHeight="1" x14ac:dyDescent="0.25">
      <c r="A35" s="4"/>
      <c r="C35" s="79"/>
      <c r="D35" s="80"/>
      <c r="E35" s="78"/>
      <c r="F35" s="2"/>
      <c r="G35" s="62">
        <f>IF($E35="Labour",Assumptions!$B$14,)</f>
        <v>0</v>
      </c>
      <c r="H35" s="9" t="str">
        <f t="shared" si="0"/>
        <v>$</v>
      </c>
      <c r="I35" s="2"/>
      <c r="J35" s="81"/>
      <c r="K35" s="81"/>
      <c r="L35" s="81"/>
      <c r="M35" s="81"/>
      <c r="N35" s="81"/>
      <c r="O35" s="2"/>
      <c r="P35" s="5">
        <f>IF($E35="Labour",$G35*J35,J35)</f>
        <v>0</v>
      </c>
      <c r="Q35" s="5">
        <f>IF($E35="Labour",$G35*K35,K35)</f>
        <v>0</v>
      </c>
      <c r="R35" s="5">
        <f>IF($E35="Labour",$G35*L35,L35)</f>
        <v>0</v>
      </c>
      <c r="S35" s="5">
        <f>IF($E35="Labour",$G35*M35,M35)</f>
        <v>0</v>
      </c>
      <c r="T35" s="5">
        <f>IF($E35="Labour",$G35*N35,N35)</f>
        <v>0</v>
      </c>
      <c r="Y35"/>
    </row>
    <row r="36" spans="1:25" ht="12.75" customHeight="1" x14ac:dyDescent="0.25">
      <c r="A36" s="4"/>
      <c r="C36" s="79"/>
      <c r="D36" s="80"/>
      <c r="E36" s="78"/>
      <c r="F36" s="2"/>
      <c r="G36" s="62">
        <f>IF($E36="Labour",Assumptions!$B$14,)</f>
        <v>0</v>
      </c>
      <c r="H36" s="9" t="str">
        <f t="shared" si="0"/>
        <v>$</v>
      </c>
      <c r="I36" s="2"/>
      <c r="J36" s="81"/>
      <c r="K36" s="81"/>
      <c r="L36" s="81"/>
      <c r="M36" s="81"/>
      <c r="N36" s="81"/>
      <c r="O36" s="2"/>
      <c r="P36" s="5">
        <f>IF($E36="Labour",$G36*J36,J36)</f>
        <v>0</v>
      </c>
      <c r="Q36" s="5">
        <f>IF($E36="Labour",$G36*K36,K36)</f>
        <v>0</v>
      </c>
      <c r="R36" s="5">
        <f>IF($E36="Labour",$G36*L36,L36)</f>
        <v>0</v>
      </c>
      <c r="S36" s="5">
        <f>IF($E36="Labour",$G36*M36,M36)</f>
        <v>0</v>
      </c>
      <c r="T36" s="5">
        <f>IF($E36="Labour",$G36*N36,N36)</f>
        <v>0</v>
      </c>
      <c r="Y36"/>
    </row>
    <row r="37" spans="1:25" ht="12.75" customHeight="1" x14ac:dyDescent="0.25">
      <c r="A37" s="4"/>
      <c r="C37" s="79"/>
      <c r="D37" s="80"/>
      <c r="E37" s="78"/>
      <c r="F37" s="2"/>
      <c r="G37" s="62">
        <f>IF($E37="Labour",Assumptions!$B$14,)</f>
        <v>0</v>
      </c>
      <c r="H37" s="9" t="str">
        <f t="shared" si="0"/>
        <v>$</v>
      </c>
      <c r="I37" s="2"/>
      <c r="J37" s="81"/>
      <c r="K37" s="81"/>
      <c r="L37" s="81"/>
      <c r="M37" s="81"/>
      <c r="N37" s="81"/>
      <c r="O37" s="2"/>
      <c r="P37" s="5">
        <f>IF($E37="Labour",$G37*J37,J37)</f>
        <v>0</v>
      </c>
      <c r="Q37" s="5">
        <f>IF($E37="Labour",$G37*K37,K37)</f>
        <v>0</v>
      </c>
      <c r="R37" s="5">
        <f>IF($E37="Labour",$G37*L37,L37)</f>
        <v>0</v>
      </c>
      <c r="S37" s="5">
        <f>IF($E37="Labour",$G37*M37,M37)</f>
        <v>0</v>
      </c>
      <c r="T37" s="5">
        <f>IF($E37="Labour",$G37*N37,N37)</f>
        <v>0</v>
      </c>
      <c r="Y37"/>
    </row>
    <row r="38" spans="1:25" ht="12.75" customHeight="1" x14ac:dyDescent="0.25">
      <c r="A38" s="4"/>
      <c r="C38" s="79"/>
      <c r="D38" s="80"/>
      <c r="E38" s="78"/>
      <c r="F38" s="2"/>
      <c r="G38" s="62">
        <f>IF($E38="Labour",Assumptions!$B$14,)</f>
        <v>0</v>
      </c>
      <c r="H38" s="9" t="str">
        <f t="shared" si="0"/>
        <v>$</v>
      </c>
      <c r="I38" s="2"/>
      <c r="J38" s="81"/>
      <c r="K38" s="81"/>
      <c r="L38" s="81"/>
      <c r="M38" s="81"/>
      <c r="N38" s="81"/>
      <c r="O38" s="2"/>
      <c r="P38" s="5">
        <f>IF($E38="Labour",$G38*J38,J38)</f>
        <v>0</v>
      </c>
      <c r="Q38" s="5">
        <f>IF($E38="Labour",$G38*K38,K38)</f>
        <v>0</v>
      </c>
      <c r="R38" s="5">
        <f>IF($E38="Labour",$G38*L38,L38)</f>
        <v>0</v>
      </c>
      <c r="S38" s="5">
        <f>IF($E38="Labour",$G38*M38,M38)</f>
        <v>0</v>
      </c>
      <c r="T38" s="5">
        <f>IF($E38="Labour",$G38*N38,N38)</f>
        <v>0</v>
      </c>
      <c r="Y38"/>
    </row>
    <row r="39" spans="1:25" ht="12.75" customHeight="1" x14ac:dyDescent="0.25">
      <c r="A39" s="4"/>
      <c r="C39" s="79"/>
      <c r="D39" s="80"/>
      <c r="E39" s="78"/>
      <c r="F39" s="2"/>
      <c r="G39" s="62">
        <f>IF($E39="Labour",Assumptions!$B$14,)</f>
        <v>0</v>
      </c>
      <c r="H39" s="9" t="str">
        <f t="shared" si="0"/>
        <v>$</v>
      </c>
      <c r="I39" s="2"/>
      <c r="J39" s="81"/>
      <c r="K39" s="81"/>
      <c r="L39" s="81"/>
      <c r="M39" s="81"/>
      <c r="N39" s="81"/>
      <c r="O39" s="2"/>
      <c r="P39" s="5">
        <f>IF($E39="Labour",$G39*J39,J39)</f>
        <v>0</v>
      </c>
      <c r="Q39" s="5">
        <f>IF($E39="Labour",$G39*K39,K39)</f>
        <v>0</v>
      </c>
      <c r="R39" s="5">
        <f>IF($E39="Labour",$G39*L39,L39)</f>
        <v>0</v>
      </c>
      <c r="S39" s="5">
        <f>IF($E39="Labour",$G39*M39,M39)</f>
        <v>0</v>
      </c>
      <c r="T39" s="5">
        <f>IF($E39="Labour",$G39*N39,N39)</f>
        <v>0</v>
      </c>
      <c r="Y39"/>
    </row>
    <row r="40" spans="1:25" ht="12.75" customHeight="1" x14ac:dyDescent="0.2">
      <c r="A40" s="4"/>
      <c r="C40" s="79"/>
      <c r="D40" s="80"/>
      <c r="E40" s="78"/>
      <c r="G40" s="62">
        <f>IF($E40="Labour",Assumptions!$B$14,)</f>
        <v>0</v>
      </c>
      <c r="H40" s="9" t="str">
        <f t="shared" si="0"/>
        <v>$</v>
      </c>
      <c r="J40" s="81"/>
      <c r="K40" s="81"/>
      <c r="L40" s="81"/>
      <c r="M40" s="81"/>
      <c r="N40" s="81"/>
      <c r="P40" s="5">
        <f>IF($E40="Labour",$G40*J40,J40)</f>
        <v>0</v>
      </c>
      <c r="Q40" s="5">
        <f>IF($E40="Labour",$G40*K40,K40)</f>
        <v>0</v>
      </c>
      <c r="R40" s="5">
        <f>IF($E40="Labour",$G40*L40,L40)</f>
        <v>0</v>
      </c>
      <c r="S40" s="5">
        <f>IF($E40="Labour",$G40*M40,M40)</f>
        <v>0</v>
      </c>
      <c r="T40" s="5">
        <f>IF($E40="Labour",$G40*N40,N40)</f>
        <v>0</v>
      </c>
    </row>
    <row r="41" spans="1:25" ht="12.75" customHeight="1" x14ac:dyDescent="0.2">
      <c r="A41" s="4"/>
      <c r="C41" s="79"/>
      <c r="D41" s="80"/>
      <c r="E41" s="78"/>
      <c r="G41" s="62">
        <f>IF($E41="Labour",Assumptions!$B$14,)</f>
        <v>0</v>
      </c>
      <c r="H41" s="9" t="str">
        <f t="shared" si="0"/>
        <v>$</v>
      </c>
      <c r="J41" s="81"/>
      <c r="K41" s="81"/>
      <c r="L41" s="81"/>
      <c r="M41" s="81"/>
      <c r="N41" s="81"/>
      <c r="P41" s="5">
        <f>IF($E41="Labour",$G41*J41,J41)</f>
        <v>0</v>
      </c>
      <c r="Q41" s="5">
        <f>IF($E41="Labour",$G41*K41,K41)</f>
        <v>0</v>
      </c>
      <c r="R41" s="5">
        <f>IF($E41="Labour",$G41*L41,L41)</f>
        <v>0</v>
      </c>
      <c r="S41" s="5">
        <f>IF($E41="Labour",$G41*M41,M41)</f>
        <v>0</v>
      </c>
      <c r="T41" s="5">
        <f>IF($E41="Labour",$G41*N41,N41)</f>
        <v>0</v>
      </c>
    </row>
    <row r="42" spans="1:25" ht="12.75" customHeight="1" x14ac:dyDescent="0.2">
      <c r="A42" s="4"/>
      <c r="C42" s="79"/>
      <c r="D42" s="80"/>
      <c r="E42" s="78"/>
      <c r="G42" s="62">
        <f>IF($E42="Labour",Assumptions!$B$14,)</f>
        <v>0</v>
      </c>
      <c r="H42" s="9" t="str">
        <f t="shared" si="0"/>
        <v>$</v>
      </c>
      <c r="J42" s="81"/>
      <c r="K42" s="81"/>
      <c r="L42" s="81"/>
      <c r="M42" s="81"/>
      <c r="N42" s="81"/>
      <c r="P42" s="5">
        <f>IF($E42="Labour",$G42*J42,J42)</f>
        <v>0</v>
      </c>
      <c r="Q42" s="5">
        <f>IF($E42="Labour",$G42*K42,K42)</f>
        <v>0</v>
      </c>
      <c r="R42" s="5">
        <f>IF($E42="Labour",$G42*L42,L42)</f>
        <v>0</v>
      </c>
      <c r="S42" s="5">
        <f>IF($E42="Labour",$G42*M42,M42)</f>
        <v>0</v>
      </c>
      <c r="T42" s="5">
        <f>IF($E42="Labour",$G42*N42,N42)</f>
        <v>0</v>
      </c>
    </row>
    <row r="43" spans="1:25" ht="12.75" customHeight="1" x14ac:dyDescent="0.2">
      <c r="A43" s="4"/>
      <c r="C43" s="79"/>
      <c r="D43" s="80"/>
      <c r="E43" s="78"/>
      <c r="G43" s="62">
        <f>IF($E43="Labour",Assumptions!$B$14,)</f>
        <v>0</v>
      </c>
      <c r="H43" s="9" t="str">
        <f t="shared" si="0"/>
        <v>$</v>
      </c>
      <c r="J43" s="81"/>
      <c r="K43" s="81"/>
      <c r="L43" s="81"/>
      <c r="M43" s="81"/>
      <c r="N43" s="81"/>
      <c r="P43" s="5">
        <f>IF($E43="Labour",$G43*J43,J43)</f>
        <v>0</v>
      </c>
      <c r="Q43" s="5">
        <f>IF($E43="Labour",$G43*K43,K43)</f>
        <v>0</v>
      </c>
      <c r="R43" s="5">
        <f>IF($E43="Labour",$G43*L43,L43)</f>
        <v>0</v>
      </c>
      <c r="S43" s="5">
        <f>IF($E43="Labour",$G43*M43,M43)</f>
        <v>0</v>
      </c>
      <c r="T43" s="5">
        <f>IF($E43="Labour",$G43*N43,N43)</f>
        <v>0</v>
      </c>
    </row>
    <row r="44" spans="1:25" ht="12.75" customHeight="1" x14ac:dyDescent="0.2">
      <c r="A44" s="4"/>
      <c r="C44" s="79"/>
      <c r="D44" s="80"/>
      <c r="E44" s="78"/>
      <c r="G44" s="62">
        <f>IF($E44="Labour",Assumptions!$B$14,)</f>
        <v>0</v>
      </c>
      <c r="H44" s="9" t="str">
        <f t="shared" si="0"/>
        <v>$</v>
      </c>
      <c r="J44" s="81"/>
      <c r="K44" s="81"/>
      <c r="L44" s="81"/>
      <c r="M44" s="81"/>
      <c r="N44" s="81"/>
      <c r="P44" s="5">
        <f>IF($E44="Labour",$G44*J44,J44)</f>
        <v>0</v>
      </c>
      <c r="Q44" s="5">
        <f>IF($E44="Labour",$G44*K44,K44)</f>
        <v>0</v>
      </c>
      <c r="R44" s="5">
        <f>IF($E44="Labour",$G44*L44,L44)</f>
        <v>0</v>
      </c>
      <c r="S44" s="5">
        <f>IF($E44="Labour",$G44*M44,M44)</f>
        <v>0</v>
      </c>
      <c r="T44" s="5">
        <f>IF($E44="Labour",$G44*N44,N44)</f>
        <v>0</v>
      </c>
    </row>
    <row r="45" spans="1:25" ht="12.75" customHeight="1" x14ac:dyDescent="0.2">
      <c r="A45" s="4"/>
      <c r="C45" s="79"/>
      <c r="D45" s="80"/>
      <c r="E45" s="78"/>
      <c r="G45" s="62">
        <f>IF($E45="Labour",Assumptions!$B$14,)</f>
        <v>0</v>
      </c>
      <c r="H45" s="9" t="str">
        <f t="shared" si="0"/>
        <v>$</v>
      </c>
      <c r="J45" s="81"/>
      <c r="K45" s="81"/>
      <c r="L45" s="81"/>
      <c r="M45" s="81"/>
      <c r="N45" s="81"/>
      <c r="P45" s="5">
        <f>IF($E45="Labour",$G45*J45,J45)</f>
        <v>0</v>
      </c>
      <c r="Q45" s="5">
        <f>IF($E45="Labour",$G45*K45,K45)</f>
        <v>0</v>
      </c>
      <c r="R45" s="5">
        <f>IF($E45="Labour",$G45*L45,L45)</f>
        <v>0</v>
      </c>
      <c r="S45" s="5">
        <f>IF($E45="Labour",$G45*M45,M45)</f>
        <v>0</v>
      </c>
      <c r="T45" s="5">
        <f>IF($E45="Labour",$G45*N45,N45)</f>
        <v>0</v>
      </c>
    </row>
    <row r="46" spans="1:25" ht="12.75" customHeight="1" x14ac:dyDescent="0.2">
      <c r="A46" s="4"/>
      <c r="C46" s="79"/>
      <c r="D46" s="80"/>
      <c r="E46" s="78"/>
      <c r="G46" s="62">
        <f>IF($E46="Labour",Assumptions!$B$14,)</f>
        <v>0</v>
      </c>
      <c r="H46" s="9" t="str">
        <f t="shared" si="0"/>
        <v>$</v>
      </c>
      <c r="J46" s="81"/>
      <c r="K46" s="81"/>
      <c r="L46" s="81"/>
      <c r="M46" s="81"/>
      <c r="N46" s="81"/>
      <c r="P46" s="5">
        <f>IF($E46="Labour",$G46*J46,J46)</f>
        <v>0</v>
      </c>
      <c r="Q46" s="5">
        <f>IF($E46="Labour",$G46*K46,K46)</f>
        <v>0</v>
      </c>
      <c r="R46" s="5">
        <f>IF($E46="Labour",$G46*L46,L46)</f>
        <v>0</v>
      </c>
      <c r="S46" s="5">
        <f>IF($E46="Labour",$G46*M46,M46)</f>
        <v>0</v>
      </c>
      <c r="T46" s="5">
        <f>IF($E46="Labour",$G46*N46,N46)</f>
        <v>0</v>
      </c>
    </row>
    <row r="47" spans="1:25" ht="12.75" customHeight="1" x14ac:dyDescent="0.2">
      <c r="A47" s="4"/>
      <c r="C47" s="79"/>
      <c r="D47" s="80"/>
      <c r="E47" s="78"/>
      <c r="G47" s="62">
        <f>IF($E47="Labour",Assumptions!$B$14,)</f>
        <v>0</v>
      </c>
      <c r="H47" s="9" t="str">
        <f t="shared" si="0"/>
        <v>$</v>
      </c>
      <c r="J47" s="81"/>
      <c r="K47" s="81"/>
      <c r="L47" s="81"/>
      <c r="M47" s="81"/>
      <c r="N47" s="81"/>
      <c r="P47" s="5">
        <f>IF($E47="Labour",$G47*J47,J47)</f>
        <v>0</v>
      </c>
      <c r="Q47" s="5">
        <f>IF($E47="Labour",$G47*K47,K47)</f>
        <v>0</v>
      </c>
      <c r="R47" s="5">
        <f>IF($E47="Labour",$G47*L47,L47)</f>
        <v>0</v>
      </c>
      <c r="S47" s="5">
        <f>IF($E47="Labour",$G47*M47,M47)</f>
        <v>0</v>
      </c>
      <c r="T47" s="5">
        <f>IF($E47="Labour",$G47*N47,N47)</f>
        <v>0</v>
      </c>
    </row>
    <row r="48" spans="1:25" ht="12.75" customHeight="1" x14ac:dyDescent="0.2">
      <c r="A48" s="4"/>
      <c r="C48" s="79"/>
      <c r="D48" s="80"/>
      <c r="E48" s="78"/>
      <c r="G48" s="62">
        <f>IF($E48="Labour",Assumptions!$B$14,)</f>
        <v>0</v>
      </c>
      <c r="H48" s="9" t="str">
        <f t="shared" si="0"/>
        <v>$</v>
      </c>
      <c r="J48" s="81"/>
      <c r="K48" s="81"/>
      <c r="L48" s="81"/>
      <c r="M48" s="81"/>
      <c r="N48" s="81"/>
      <c r="P48" s="5">
        <f>IF($E48="Labour",$G48*J48,J48)</f>
        <v>0</v>
      </c>
      <c r="Q48" s="5">
        <f>IF($E48="Labour",$G48*K48,K48)</f>
        <v>0</v>
      </c>
      <c r="R48" s="5">
        <f>IF($E48="Labour",$G48*L48,L48)</f>
        <v>0</v>
      </c>
      <c r="S48" s="5">
        <f>IF($E48="Labour",$G48*M48,M48)</f>
        <v>0</v>
      </c>
      <c r="T48" s="5">
        <f>IF($E48="Labour",$G48*N48,N48)</f>
        <v>0</v>
      </c>
    </row>
    <row r="49" spans="1:25" ht="12.75" customHeight="1" x14ac:dyDescent="0.2">
      <c r="A49" s="4"/>
      <c r="C49" s="79"/>
      <c r="D49" s="80"/>
      <c r="E49" s="78"/>
      <c r="G49" s="62">
        <f>IF($E49="Labour",Assumptions!$B$14,)</f>
        <v>0</v>
      </c>
      <c r="H49" s="9" t="str">
        <f t="shared" si="0"/>
        <v>$</v>
      </c>
      <c r="J49" s="81"/>
      <c r="K49" s="81"/>
      <c r="L49" s="81"/>
      <c r="M49" s="81"/>
      <c r="N49" s="81"/>
      <c r="P49" s="5">
        <f>IF($E49="Labour",$G49*J49,J49)</f>
        <v>0</v>
      </c>
      <c r="Q49" s="5">
        <f>IF($E49="Labour",$G49*K49,K49)</f>
        <v>0</v>
      </c>
      <c r="R49" s="5">
        <f>IF($E49="Labour",$G49*L49,L49)</f>
        <v>0</v>
      </c>
      <c r="S49" s="5">
        <f>IF($E49="Labour",$G49*M49,M49)</f>
        <v>0</v>
      </c>
      <c r="T49" s="5">
        <f>IF($E49="Labour",$G49*N49,N49)</f>
        <v>0</v>
      </c>
    </row>
    <row r="50" spans="1:25" ht="12.75" customHeight="1" x14ac:dyDescent="0.2">
      <c r="A50" s="4"/>
      <c r="C50" s="79"/>
      <c r="D50" s="80"/>
      <c r="E50" s="78"/>
      <c r="G50" s="62">
        <f>IF($E50="Labour",Assumptions!$B$14,)</f>
        <v>0</v>
      </c>
      <c r="H50" s="9" t="str">
        <f t="shared" si="0"/>
        <v>$</v>
      </c>
      <c r="J50" s="81"/>
      <c r="K50" s="81"/>
      <c r="L50" s="81"/>
      <c r="M50" s="81"/>
      <c r="N50" s="81"/>
      <c r="P50" s="5">
        <f>IF($E50="Labour",$G50*J50,J50)</f>
        <v>0</v>
      </c>
      <c r="Q50" s="5">
        <f>IF($E50="Labour",$G50*K50,K50)</f>
        <v>0</v>
      </c>
      <c r="R50" s="5">
        <f>IF($E50="Labour",$G50*L50,L50)</f>
        <v>0</v>
      </c>
      <c r="S50" s="5">
        <f>IF($E50="Labour",$G50*M50,M50)</f>
        <v>0</v>
      </c>
      <c r="T50" s="5">
        <f>IF($E50="Labour",$G50*N50,N50)</f>
        <v>0</v>
      </c>
    </row>
    <row r="51" spans="1:25" ht="12.75" customHeight="1" x14ac:dyDescent="0.2">
      <c r="A51" s="4"/>
      <c r="C51" s="79"/>
      <c r="D51" s="80"/>
      <c r="E51" s="78"/>
      <c r="G51" s="62">
        <f>IF($E51="Labour",Assumptions!$B$14,)</f>
        <v>0</v>
      </c>
      <c r="H51" s="9" t="str">
        <f t="shared" si="0"/>
        <v>$</v>
      </c>
      <c r="J51" s="81"/>
      <c r="K51" s="81"/>
      <c r="L51" s="81"/>
      <c r="M51" s="81"/>
      <c r="N51" s="81"/>
      <c r="P51" s="5">
        <f>IF($E51="Labour",$G51*J51,J51)</f>
        <v>0</v>
      </c>
      <c r="Q51" s="5">
        <f>IF($E51="Labour",$G51*K51,K51)</f>
        <v>0</v>
      </c>
      <c r="R51" s="5">
        <f>IF($E51="Labour",$G51*L51,L51)</f>
        <v>0</v>
      </c>
      <c r="S51" s="5">
        <f>IF($E51="Labour",$G51*M51,M51)</f>
        <v>0</v>
      </c>
      <c r="T51" s="5">
        <f>IF($E51="Labour",$G51*N51,N51)</f>
        <v>0</v>
      </c>
    </row>
    <row r="52" spans="1:25" ht="12.75" customHeight="1" x14ac:dyDescent="0.2">
      <c r="A52" s="4"/>
      <c r="C52" s="79"/>
      <c r="D52" s="80"/>
      <c r="E52" s="78"/>
      <c r="G52" s="62">
        <f>IF($E52="Labour",Assumptions!$B$14,)</f>
        <v>0</v>
      </c>
      <c r="H52" s="9" t="str">
        <f t="shared" si="0"/>
        <v>$</v>
      </c>
      <c r="J52" s="81"/>
      <c r="K52" s="81"/>
      <c r="L52" s="81"/>
      <c r="M52" s="81"/>
      <c r="N52" s="81"/>
      <c r="P52" s="5">
        <f>IF($E52="Labour",$G52*J52,J52)</f>
        <v>0</v>
      </c>
      <c r="Q52" s="5">
        <f>IF($E52="Labour",$G52*K52,K52)</f>
        <v>0</v>
      </c>
      <c r="R52" s="5">
        <f>IF($E52="Labour",$G52*L52,L52)</f>
        <v>0</v>
      </c>
      <c r="S52" s="5">
        <f>IF($E52="Labour",$G52*M52,M52)</f>
        <v>0</v>
      </c>
      <c r="T52" s="5">
        <f>IF($E52="Labour",$G52*N52,N52)</f>
        <v>0</v>
      </c>
    </row>
    <row r="53" spans="1:25" ht="12.75" customHeight="1" x14ac:dyDescent="0.2">
      <c r="A53" s="4"/>
      <c r="C53" s="79"/>
      <c r="D53" s="80"/>
      <c r="E53" s="78"/>
      <c r="G53" s="62">
        <f>IF($E53="Labour",Assumptions!$B$14,)</f>
        <v>0</v>
      </c>
      <c r="H53" s="9" t="str">
        <f t="shared" si="0"/>
        <v>$</v>
      </c>
      <c r="J53" s="81"/>
      <c r="K53" s="81"/>
      <c r="L53" s="81"/>
      <c r="M53" s="81"/>
      <c r="N53" s="81"/>
      <c r="P53" s="5">
        <f>IF($E53="Labour",$G53*J53,J53)</f>
        <v>0</v>
      </c>
      <c r="Q53" s="5">
        <f>IF($E53="Labour",$G53*K53,K53)</f>
        <v>0</v>
      </c>
      <c r="R53" s="5">
        <f>IF($E53="Labour",$G53*L53,L53)</f>
        <v>0</v>
      </c>
      <c r="S53" s="5">
        <f>IF($E53="Labour",$G53*M53,M53)</f>
        <v>0</v>
      </c>
      <c r="T53" s="5">
        <f>IF($E53="Labour",$G53*N53,N53)</f>
        <v>0</v>
      </c>
    </row>
    <row r="54" spans="1:25" ht="12.75" customHeight="1" x14ac:dyDescent="0.2">
      <c r="A54" s="4"/>
      <c r="C54" s="79"/>
      <c r="D54" s="80"/>
      <c r="E54" s="78"/>
      <c r="G54" s="62">
        <f>IF($E54="Labour",Assumptions!$B$14,)</f>
        <v>0</v>
      </c>
      <c r="H54" s="9" t="str">
        <f t="shared" si="0"/>
        <v>$</v>
      </c>
      <c r="J54" s="81"/>
      <c r="K54" s="81"/>
      <c r="L54" s="81"/>
      <c r="M54" s="81"/>
      <c r="N54" s="81"/>
      <c r="P54" s="5">
        <f>IF($E54="Labour",$G54*J54,J54)</f>
        <v>0</v>
      </c>
      <c r="Q54" s="5">
        <f>IF($E54="Labour",$G54*K54,K54)</f>
        <v>0</v>
      </c>
      <c r="R54" s="5">
        <f>IF($E54="Labour",$G54*L54,L54)</f>
        <v>0</v>
      </c>
      <c r="S54" s="5">
        <f>IF($E54="Labour",$G54*M54,M54)</f>
        <v>0</v>
      </c>
      <c r="T54" s="5">
        <f>IF($E54="Labour",$G54*N54,N54)</f>
        <v>0</v>
      </c>
      <c r="U54" s="105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63</v>
      </c>
      <c r="F57" s="2"/>
      <c r="I57" s="2"/>
      <c r="O57" s="2"/>
      <c r="P57" s="67" t="s">
        <v>4</v>
      </c>
      <c r="Q57" s="67" t="s">
        <v>5</v>
      </c>
      <c r="R57" s="67" t="s">
        <v>6</v>
      </c>
      <c r="S57" s="67" t="s">
        <v>7</v>
      </c>
      <c r="T57" s="67" t="s">
        <v>8</v>
      </c>
      <c r="U57" s="67" t="s">
        <v>0</v>
      </c>
      <c r="Y57"/>
    </row>
    <row r="58" spans="1:25" ht="12.75" customHeight="1" x14ac:dyDescent="0.2">
      <c r="C58" s="24" t="s">
        <v>9</v>
      </c>
      <c r="D58" s="24" t="s">
        <v>48</v>
      </c>
      <c r="E58" s="24"/>
      <c r="F58" s="2"/>
      <c r="G58" s="64"/>
      <c r="H58" s="65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1">SUMIFS(Q$10:Q$54,$E$10:$E$54,$C58,$D$10:$D$54,$D58)</f>
        <v>0</v>
      </c>
      <c r="R58" s="25">
        <f t="shared" si="1"/>
        <v>0</v>
      </c>
      <c r="S58" s="25">
        <f t="shared" si="1"/>
        <v>0</v>
      </c>
      <c r="T58" s="25">
        <f t="shared" si="1"/>
        <v>0</v>
      </c>
      <c r="U58" s="69">
        <f>SUM(P58:T58)</f>
        <v>0</v>
      </c>
    </row>
    <row r="59" spans="1:25" ht="12.75" customHeight="1" x14ac:dyDescent="0.2">
      <c r="C59" s="1" t="s">
        <v>10</v>
      </c>
      <c r="D59" s="1" t="s">
        <v>48</v>
      </c>
      <c r="F59" s="2"/>
      <c r="G59" s="66"/>
      <c r="I59" s="2"/>
      <c r="O59" s="2"/>
      <c r="P59" s="6">
        <f t="shared" ref="P59:P60" si="2">SUMIFS(P$10:P$54,$E$10:$E$54,$C59,$D$10:$D$54,$D59)</f>
        <v>0</v>
      </c>
      <c r="Q59" s="6">
        <f t="shared" si="1"/>
        <v>0</v>
      </c>
      <c r="R59" s="6">
        <f t="shared" si="1"/>
        <v>0</v>
      </c>
      <c r="S59" s="6">
        <f t="shared" si="1"/>
        <v>0</v>
      </c>
      <c r="T59" s="6">
        <f t="shared" si="1"/>
        <v>0</v>
      </c>
      <c r="U59" s="70">
        <f t="shared" ref="U59:U67" si="3">SUM(P59:T59)</f>
        <v>0</v>
      </c>
    </row>
    <row r="60" spans="1:25" ht="12.75" customHeight="1" x14ac:dyDescent="0.2">
      <c r="C60" s="1" t="s">
        <v>11</v>
      </c>
      <c r="D60" s="1" t="s">
        <v>48</v>
      </c>
      <c r="F60" s="2"/>
      <c r="G60" s="66"/>
      <c r="I60" s="2"/>
      <c r="O60" s="2"/>
      <c r="P60" s="6">
        <f t="shared" si="2"/>
        <v>0</v>
      </c>
      <c r="Q60" s="6">
        <f t="shared" si="1"/>
        <v>0</v>
      </c>
      <c r="R60" s="6">
        <f t="shared" si="1"/>
        <v>0</v>
      </c>
      <c r="S60" s="6">
        <f t="shared" si="1"/>
        <v>0</v>
      </c>
      <c r="T60" s="6">
        <f t="shared" si="1"/>
        <v>0</v>
      </c>
      <c r="U60" s="70">
        <f t="shared" si="3"/>
        <v>0</v>
      </c>
    </row>
    <row r="61" spans="1:25" ht="12.75" customHeight="1" x14ac:dyDescent="0.2">
      <c r="C61" s="21" t="s">
        <v>12</v>
      </c>
      <c r="D61" s="21" t="s">
        <v>48</v>
      </c>
      <c r="E61" s="100"/>
      <c r="F61" s="102"/>
      <c r="G61" s="101"/>
      <c r="H61" s="103"/>
      <c r="I61" s="102"/>
      <c r="J61" s="100"/>
      <c r="K61" s="100"/>
      <c r="L61" s="100"/>
      <c r="M61" s="100"/>
      <c r="N61" s="100"/>
      <c r="O61" s="102"/>
      <c r="P61" s="22">
        <f>SUM(P58:P60)</f>
        <v>0</v>
      </c>
      <c r="Q61" s="22">
        <f t="shared" ref="Q61:U61" si="4">SUM(Q58:Q60)</f>
        <v>0</v>
      </c>
      <c r="R61" s="22">
        <f t="shared" si="4"/>
        <v>0</v>
      </c>
      <c r="S61" s="22">
        <f t="shared" si="4"/>
        <v>0</v>
      </c>
      <c r="T61" s="22">
        <f t="shared" si="4"/>
        <v>0</v>
      </c>
      <c r="U61" s="22">
        <f t="shared" si="4"/>
        <v>0</v>
      </c>
    </row>
    <row r="62" spans="1:25" ht="12.75" customHeight="1" x14ac:dyDescent="0.2">
      <c r="C62" s="1" t="s">
        <v>9</v>
      </c>
      <c r="D62" s="1" t="s">
        <v>45</v>
      </c>
      <c r="F62" s="2"/>
      <c r="G62" s="66"/>
      <c r="I62" s="2"/>
      <c r="O62" s="2"/>
      <c r="P62" s="6">
        <f t="shared" ref="P62:T64" si="5">SUMIFS(P$10:P$54,$E$10:$E$54,$C62,$D$10:$D$54,$D62)</f>
        <v>0</v>
      </c>
      <c r="Q62" s="6">
        <f t="shared" si="5"/>
        <v>0</v>
      </c>
      <c r="R62" s="6">
        <f t="shared" si="5"/>
        <v>0</v>
      </c>
      <c r="S62" s="6">
        <f t="shared" si="5"/>
        <v>0</v>
      </c>
      <c r="T62" s="6">
        <f t="shared" si="5"/>
        <v>0</v>
      </c>
      <c r="U62" s="70">
        <f t="shared" si="3"/>
        <v>0</v>
      </c>
    </row>
    <row r="63" spans="1:25" ht="12.75" customHeight="1" x14ac:dyDescent="0.2">
      <c r="C63" s="1" t="s">
        <v>10</v>
      </c>
      <c r="D63" s="1" t="s">
        <v>45</v>
      </c>
      <c r="F63" s="2"/>
      <c r="G63" s="66"/>
      <c r="I63" s="2"/>
      <c r="O63" s="2"/>
      <c r="P63" s="6">
        <f t="shared" si="5"/>
        <v>0</v>
      </c>
      <c r="Q63" s="6">
        <f t="shared" si="5"/>
        <v>0</v>
      </c>
      <c r="R63" s="6">
        <f t="shared" si="5"/>
        <v>0</v>
      </c>
      <c r="S63" s="6">
        <f t="shared" si="5"/>
        <v>0</v>
      </c>
      <c r="T63" s="6">
        <f t="shared" si="5"/>
        <v>0</v>
      </c>
      <c r="U63" s="70">
        <f t="shared" si="3"/>
        <v>0</v>
      </c>
    </row>
    <row r="64" spans="1:25" ht="12.75" customHeight="1" x14ac:dyDescent="0.2">
      <c r="C64" s="1" t="s">
        <v>11</v>
      </c>
      <c r="D64" s="1" t="s">
        <v>45</v>
      </c>
      <c r="F64" s="2"/>
      <c r="G64" s="66"/>
      <c r="I64" s="2"/>
      <c r="O64" s="2"/>
      <c r="P64" s="6">
        <f t="shared" si="5"/>
        <v>281266.17660000001</v>
      </c>
      <c r="Q64" s="6">
        <f t="shared" si="5"/>
        <v>309392.29426</v>
      </c>
      <c r="R64" s="6">
        <f t="shared" si="5"/>
        <v>340331.82368600008</v>
      </c>
      <c r="S64" s="6">
        <f t="shared" si="5"/>
        <v>374365.00605460006</v>
      </c>
      <c r="T64" s="6">
        <f t="shared" si="5"/>
        <v>411801.70666006015</v>
      </c>
      <c r="U64" s="70">
        <f t="shared" si="3"/>
        <v>1717157.0072606604</v>
      </c>
    </row>
    <row r="65" spans="3:22" ht="12.75" customHeight="1" x14ac:dyDescent="0.2">
      <c r="C65" s="21" t="s">
        <v>13</v>
      </c>
      <c r="D65" s="21" t="s">
        <v>45</v>
      </c>
      <c r="E65" s="100"/>
      <c r="F65" s="102"/>
      <c r="G65" s="101"/>
      <c r="H65" s="103"/>
      <c r="I65" s="102"/>
      <c r="J65" s="100"/>
      <c r="K65" s="100"/>
      <c r="L65" s="100"/>
      <c r="M65" s="100"/>
      <c r="N65" s="100"/>
      <c r="O65" s="102"/>
      <c r="P65" s="22">
        <f>SUM(P62:P64)</f>
        <v>281266.17660000001</v>
      </c>
      <c r="Q65" s="22">
        <f t="shared" ref="Q65" si="6">SUM(Q62:Q64)</f>
        <v>309392.29426</v>
      </c>
      <c r="R65" s="22">
        <f t="shared" ref="R65" si="7">SUM(R62:R64)</f>
        <v>340331.82368600008</v>
      </c>
      <c r="S65" s="22">
        <f t="shared" ref="S65" si="8">SUM(S62:S64)</f>
        <v>374365.00605460006</v>
      </c>
      <c r="T65" s="22">
        <f t="shared" ref="T65" si="9">SUM(T62:T64)</f>
        <v>411801.70666006015</v>
      </c>
      <c r="U65" s="22">
        <f t="shared" ref="U65" si="10">SUM(U62:U64)</f>
        <v>1717157.0072606604</v>
      </c>
    </row>
    <row r="66" spans="3:22" ht="12.75" customHeight="1" x14ac:dyDescent="0.2">
      <c r="F66" s="2"/>
      <c r="G66" s="66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64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281266.17660000001</v>
      </c>
      <c r="Q67" s="8">
        <f t="shared" ref="Q67:T67" si="11">Q61+Q65</f>
        <v>309392.29426</v>
      </c>
      <c r="R67" s="8">
        <f t="shared" si="11"/>
        <v>340331.82368600008</v>
      </c>
      <c r="S67" s="8">
        <f t="shared" si="11"/>
        <v>374365.00605460006</v>
      </c>
      <c r="T67" s="8">
        <f t="shared" si="11"/>
        <v>411801.70666006015</v>
      </c>
      <c r="U67" s="71">
        <f t="shared" si="3"/>
        <v>1717157.0072606604</v>
      </c>
    </row>
    <row r="68" spans="3:22" ht="12.75" customHeight="1" x14ac:dyDescent="0.2">
      <c r="C68" s="45" t="s">
        <v>65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12">Q67-SUM(Q$10:Q$54)</f>
        <v>0</v>
      </c>
      <c r="R68" s="46">
        <f t="shared" si="12"/>
        <v>0</v>
      </c>
      <c r="S68" s="46">
        <f t="shared" si="12"/>
        <v>0</v>
      </c>
      <c r="T68" s="46">
        <f t="shared" si="12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4" t="str">
        <f>"NPV ($ "&amp;Assumptions!$B$12&amp;")"</f>
        <v>NPV ($ June 2024)</v>
      </c>
      <c r="D70" s="55">
        <f>NPV(Real_Discount_rate,P67:T67)</f>
        <v>1540499.0451058303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66</v>
      </c>
      <c r="F73" s="2"/>
      <c r="I73" s="2"/>
      <c r="O73" s="2"/>
      <c r="P73" s="67" t="s">
        <v>4</v>
      </c>
      <c r="Q73" s="67" t="s">
        <v>5</v>
      </c>
      <c r="R73" s="67" t="s">
        <v>6</v>
      </c>
      <c r="S73" s="67" t="s">
        <v>7</v>
      </c>
      <c r="T73" s="67" t="s">
        <v>8</v>
      </c>
      <c r="U73" s="67" t="s">
        <v>0</v>
      </c>
    </row>
    <row r="74" spans="3:22" ht="12.75" customHeight="1" x14ac:dyDescent="0.2">
      <c r="C74" s="24" t="s">
        <v>9</v>
      </c>
      <c r="D74" s="24" t="s">
        <v>48</v>
      </c>
      <c r="E74" s="24"/>
      <c r="F74" s="2"/>
      <c r="G74" s="64"/>
      <c r="H74" s="65"/>
      <c r="I74" s="2"/>
      <c r="J74" s="24"/>
      <c r="K74" s="24"/>
      <c r="L74" s="24"/>
      <c r="M74" s="24"/>
      <c r="N74" s="24"/>
      <c r="O74" s="2"/>
      <c r="P74" s="34">
        <f t="shared" ref="P74:T76" si="13">P58*business_case_dollars</f>
        <v>0</v>
      </c>
      <c r="Q74" s="34">
        <f t="shared" si="13"/>
        <v>0</v>
      </c>
      <c r="R74" s="34">
        <f t="shared" si="13"/>
        <v>0</v>
      </c>
      <c r="S74" s="34">
        <f t="shared" si="13"/>
        <v>0</v>
      </c>
      <c r="T74" s="34">
        <f t="shared" si="13"/>
        <v>0</v>
      </c>
      <c r="U74" s="69">
        <f>SUM(P74:T74)</f>
        <v>0</v>
      </c>
    </row>
    <row r="75" spans="3:22" ht="12.75" customHeight="1" x14ac:dyDescent="0.2">
      <c r="C75" s="1" t="s">
        <v>10</v>
      </c>
      <c r="D75" s="1" t="s">
        <v>48</v>
      </c>
      <c r="F75" s="2"/>
      <c r="G75" s="66"/>
      <c r="I75" s="2"/>
      <c r="O75" s="2"/>
      <c r="P75" s="6">
        <f t="shared" si="13"/>
        <v>0</v>
      </c>
      <c r="Q75" s="6">
        <f t="shared" si="13"/>
        <v>0</v>
      </c>
      <c r="R75" s="6">
        <f t="shared" si="13"/>
        <v>0</v>
      </c>
      <c r="S75" s="6">
        <f t="shared" si="13"/>
        <v>0</v>
      </c>
      <c r="T75" s="6">
        <f t="shared" si="13"/>
        <v>0</v>
      </c>
      <c r="U75" s="70">
        <f t="shared" ref="U75:U83" si="14">SUM(P75:T75)</f>
        <v>0</v>
      </c>
    </row>
    <row r="76" spans="3:22" ht="12.75" customHeight="1" x14ac:dyDescent="0.2">
      <c r="C76" s="1" t="s">
        <v>11</v>
      </c>
      <c r="D76" s="1" t="s">
        <v>48</v>
      </c>
      <c r="F76" s="2"/>
      <c r="G76" s="66"/>
      <c r="I76" s="2"/>
      <c r="O76" s="2"/>
      <c r="P76" s="6">
        <f t="shared" si="13"/>
        <v>0</v>
      </c>
      <c r="Q76" s="6">
        <f t="shared" si="13"/>
        <v>0</v>
      </c>
      <c r="R76" s="6">
        <f t="shared" si="13"/>
        <v>0</v>
      </c>
      <c r="S76" s="6">
        <f t="shared" si="13"/>
        <v>0</v>
      </c>
      <c r="T76" s="6">
        <f t="shared" si="13"/>
        <v>0</v>
      </c>
      <c r="U76" s="70">
        <f t="shared" si="14"/>
        <v>0</v>
      </c>
    </row>
    <row r="77" spans="3:22" ht="12.75" customHeight="1" x14ac:dyDescent="0.2">
      <c r="C77" s="21" t="s">
        <v>12</v>
      </c>
      <c r="D77" s="21" t="s">
        <v>48</v>
      </c>
      <c r="E77" s="100"/>
      <c r="F77" s="102"/>
      <c r="G77" s="101"/>
      <c r="H77" s="103"/>
      <c r="I77" s="102"/>
      <c r="J77" s="100"/>
      <c r="K77" s="100"/>
      <c r="L77" s="100"/>
      <c r="M77" s="100"/>
      <c r="N77" s="100"/>
      <c r="O77" s="102"/>
      <c r="P77" s="22">
        <f>SUM(P74:P76)</f>
        <v>0</v>
      </c>
      <c r="Q77" s="22">
        <f t="shared" ref="Q77" si="15">SUM(Q74:Q76)</f>
        <v>0</v>
      </c>
      <c r="R77" s="22">
        <f t="shared" ref="R77" si="16">SUM(R74:R76)</f>
        <v>0</v>
      </c>
      <c r="S77" s="22">
        <f t="shared" ref="S77" si="17">SUM(S74:S76)</f>
        <v>0</v>
      </c>
      <c r="T77" s="22">
        <f t="shared" ref="T77" si="18">SUM(T74:T76)</f>
        <v>0</v>
      </c>
      <c r="U77" s="22">
        <f t="shared" ref="U77" si="19">SUM(U74:U76)</f>
        <v>0</v>
      </c>
    </row>
    <row r="78" spans="3:22" ht="12.75" customHeight="1" x14ac:dyDescent="0.2">
      <c r="C78" s="1" t="s">
        <v>9</v>
      </c>
      <c r="D78" s="1" t="s">
        <v>45</v>
      </c>
      <c r="F78" s="2"/>
      <c r="G78" s="66"/>
      <c r="I78" s="2"/>
      <c r="O78" s="2"/>
      <c r="P78" s="34">
        <f t="shared" ref="P78:T80" si="20">P62*business_case_dollars</f>
        <v>0</v>
      </c>
      <c r="Q78" s="34">
        <f t="shared" si="20"/>
        <v>0</v>
      </c>
      <c r="R78" s="34">
        <f t="shared" si="20"/>
        <v>0</v>
      </c>
      <c r="S78" s="34">
        <f t="shared" si="20"/>
        <v>0</v>
      </c>
      <c r="T78" s="34">
        <f t="shared" si="20"/>
        <v>0</v>
      </c>
      <c r="U78" s="69">
        <f>SUM(P78:T78)</f>
        <v>0</v>
      </c>
    </row>
    <row r="79" spans="3:22" ht="12.75" customHeight="1" x14ac:dyDescent="0.2">
      <c r="C79" s="1" t="s">
        <v>10</v>
      </c>
      <c r="D79" s="1" t="s">
        <v>45</v>
      </c>
      <c r="F79" s="2"/>
      <c r="G79" s="66"/>
      <c r="I79" s="2"/>
      <c r="O79" s="2"/>
      <c r="P79" s="6">
        <f t="shared" si="20"/>
        <v>0</v>
      </c>
      <c r="Q79" s="6">
        <f t="shared" si="20"/>
        <v>0</v>
      </c>
      <c r="R79" s="6">
        <f t="shared" si="20"/>
        <v>0</v>
      </c>
      <c r="S79" s="6">
        <f t="shared" si="20"/>
        <v>0</v>
      </c>
      <c r="T79" s="6">
        <f t="shared" si="20"/>
        <v>0</v>
      </c>
      <c r="U79" s="70">
        <f t="shared" ref="U79:U80" si="21">SUM(P79:T79)</f>
        <v>0</v>
      </c>
    </row>
    <row r="80" spans="3:22" ht="12.75" customHeight="1" x14ac:dyDescent="0.2">
      <c r="C80" s="1" t="s">
        <v>11</v>
      </c>
      <c r="D80" s="1" t="s">
        <v>45</v>
      </c>
      <c r="F80" s="2"/>
      <c r="G80" s="66"/>
      <c r="I80" s="2"/>
      <c r="O80" s="2"/>
      <c r="P80" s="6">
        <f t="shared" si="20"/>
        <v>313024.68494738382</v>
      </c>
      <c r="Q80" s="6">
        <f t="shared" si="20"/>
        <v>344326.59698579897</v>
      </c>
      <c r="R80" s="6">
        <f t="shared" si="20"/>
        <v>378759.5905581729</v>
      </c>
      <c r="S80" s="6">
        <f t="shared" si="20"/>
        <v>416635.54961399018</v>
      </c>
      <c r="T80" s="6">
        <f t="shared" si="20"/>
        <v>458299.32715791854</v>
      </c>
      <c r="U80" s="70">
        <f t="shared" si="21"/>
        <v>1911045.7492632645</v>
      </c>
    </row>
    <row r="81" spans="3:22" ht="12.75" customHeight="1" x14ac:dyDescent="0.2">
      <c r="C81" s="21" t="s">
        <v>13</v>
      </c>
      <c r="D81" s="21" t="s">
        <v>45</v>
      </c>
      <c r="E81" s="100"/>
      <c r="F81" s="102"/>
      <c r="G81" s="101"/>
      <c r="H81" s="103"/>
      <c r="I81" s="102"/>
      <c r="J81" s="100"/>
      <c r="K81" s="100"/>
      <c r="L81" s="100"/>
      <c r="M81" s="100"/>
      <c r="N81" s="100"/>
      <c r="O81" s="102"/>
      <c r="P81" s="22">
        <f>SUM(P78:P80)</f>
        <v>313024.68494738382</v>
      </c>
      <c r="Q81" s="22">
        <f t="shared" ref="Q81" si="22">SUM(Q78:Q80)</f>
        <v>344326.59698579897</v>
      </c>
      <c r="R81" s="22">
        <f t="shared" ref="R81" si="23">SUM(R78:R80)</f>
        <v>378759.5905581729</v>
      </c>
      <c r="S81" s="22">
        <f t="shared" ref="S81" si="24">SUM(S78:S80)</f>
        <v>416635.54961399018</v>
      </c>
      <c r="T81" s="22">
        <f t="shared" ref="T81" si="25">SUM(T78:T80)</f>
        <v>458299.32715791854</v>
      </c>
      <c r="U81" s="22">
        <f t="shared" ref="U81" si="26">SUM(U78:U80)</f>
        <v>1911045.7492632645</v>
      </c>
    </row>
    <row r="82" spans="3:22" ht="12.75" customHeight="1" x14ac:dyDescent="0.2">
      <c r="F82" s="2"/>
      <c r="G82" s="66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64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313024.68494738382</v>
      </c>
      <c r="Q83" s="8">
        <f t="shared" ref="Q83:T83" si="27">Q77+Q81</f>
        <v>344326.59698579897</v>
      </c>
      <c r="R83" s="8">
        <f t="shared" si="27"/>
        <v>378759.5905581729</v>
      </c>
      <c r="S83" s="8">
        <f t="shared" si="27"/>
        <v>416635.54961399018</v>
      </c>
      <c r="T83" s="8">
        <f t="shared" si="27"/>
        <v>458299.32715791854</v>
      </c>
      <c r="U83" s="71">
        <f t="shared" si="14"/>
        <v>1911045.7492632645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4" t="str">
        <f>"NPV ($ "&amp;Assumptions!$C$35&amp;")"</f>
        <v>NPV ($ June 2026)</v>
      </c>
      <c r="D85" s="55">
        <f>NPV(Real_Discount_rate,P83:T83)</f>
        <v>1714440.8690909694</v>
      </c>
      <c r="F85" s="2"/>
      <c r="I85" s="2"/>
      <c r="O85" s="2"/>
      <c r="P85" s="51"/>
      <c r="Q85" s="51"/>
      <c r="R85" s="51"/>
      <c r="S85" s="51"/>
      <c r="T85" s="51"/>
    </row>
  </sheetData>
  <conditionalFormatting sqref="G10:G54">
    <cfRule type="expression" dxfId="20" priority="8">
      <formula>$E10="Contracts"</formula>
    </cfRule>
    <cfRule type="expression" dxfId="19" priority="9">
      <formula>$E10="Materials"</formula>
    </cfRule>
    <cfRule type="expression" dxfId="18" priority="10">
      <formula>$E10="Labour"</formula>
    </cfRule>
  </conditionalFormatting>
  <conditionalFormatting sqref="P68:U68">
    <cfRule type="expression" dxfId="17" priority="1">
      <formula>ABS(P68)&gt;0.001</formula>
    </cfRule>
  </conditionalFormatting>
  <conditionalFormatting sqref="P84:U84">
    <cfRule type="expression" dxfId="16" priority="2">
      <formula>ABS(P84)&gt;0.001</formula>
    </cfRule>
  </conditionalFormatting>
  <conditionalFormatting sqref="V68">
    <cfRule type="expression" dxfId="15" priority="14">
      <formula>ABS(V68)&gt;0.001</formula>
    </cfRule>
  </conditionalFormatting>
  <conditionalFormatting sqref="V84">
    <cfRule type="expression" dxfId="14" priority="4">
      <formula>ABS(V84)&gt;0.001</formula>
    </cfRule>
  </conditionalFormatting>
  <dataValidations count="2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 Q61:U61 P77:U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85"/>
  <sheetViews>
    <sheetView showGridLines="0" topLeftCell="A49" zoomScale="90" zoomScaleNormal="90" workbookViewId="0">
      <pane xSplit="3" topLeftCell="D1" activePane="topRight" state="frozen"/>
      <selection activeCell="E23" sqref="E23"/>
      <selection pane="topRight" activeCell="P81" sqref="P81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Network management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15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39</v>
      </c>
      <c r="D7" s="63" t="s">
        <v>40</v>
      </c>
      <c r="E7" s="63" t="s">
        <v>41</v>
      </c>
      <c r="F7" s="16"/>
      <c r="G7" s="107" t="s">
        <v>9</v>
      </c>
      <c r="H7" s="19" t="s">
        <v>42</v>
      </c>
      <c r="J7" s="19" t="s">
        <v>43</v>
      </c>
      <c r="K7" s="20"/>
      <c r="L7" s="20"/>
      <c r="M7" s="20"/>
      <c r="N7" s="20"/>
      <c r="P7" s="19" t="s">
        <v>44</v>
      </c>
      <c r="Q7" s="20"/>
      <c r="R7" s="20"/>
      <c r="S7" s="20"/>
      <c r="T7" s="20"/>
    </row>
    <row r="8" spans="1:25" ht="12.75" customHeight="1" x14ac:dyDescent="0.2">
      <c r="A8" s="4"/>
      <c r="B8" s="4"/>
      <c r="C8" s="98"/>
      <c r="D8" s="98" t="s">
        <v>45</v>
      </c>
      <c r="E8" s="98"/>
      <c r="F8" s="16"/>
      <c r="G8" s="108" t="s">
        <v>46</v>
      </c>
      <c r="H8" s="4"/>
      <c r="J8" s="50" t="s">
        <v>4</v>
      </c>
      <c r="K8" s="50" t="s">
        <v>5</v>
      </c>
      <c r="L8" s="50" t="s">
        <v>6</v>
      </c>
      <c r="M8" s="50" t="s">
        <v>7</v>
      </c>
      <c r="N8" s="50" t="s">
        <v>8</v>
      </c>
      <c r="P8" s="50" t="s">
        <v>4</v>
      </c>
      <c r="Q8" s="50" t="s">
        <v>5</v>
      </c>
      <c r="R8" s="50" t="s">
        <v>6</v>
      </c>
      <c r="S8" s="50" t="s">
        <v>7</v>
      </c>
      <c r="T8" s="50" t="s">
        <v>8</v>
      </c>
    </row>
    <row r="9" spans="1:25" ht="12.75" customHeight="1" x14ac:dyDescent="0.2">
      <c r="F9" s="16"/>
    </row>
    <row r="10" spans="1:25" ht="12.75" customHeight="1" x14ac:dyDescent="0.2">
      <c r="A10" s="4"/>
      <c r="C10" s="79" t="s">
        <v>47</v>
      </c>
      <c r="D10" s="80" t="s">
        <v>48</v>
      </c>
      <c r="E10" s="78" t="s">
        <v>9</v>
      </c>
      <c r="F10" s="2"/>
      <c r="G10" s="62">
        <f>IF($E10="Labour",Assumptions!$B$14,)</f>
        <v>145.77740895836223</v>
      </c>
      <c r="H10" s="9" t="str">
        <f>IF($E10="Labour","Hours","$")</f>
        <v>Hours</v>
      </c>
      <c r="I10" s="2"/>
      <c r="J10" s="81"/>
      <c r="K10" s="81">
        <f>3747535/G10</f>
        <v>25707.241106681984</v>
      </c>
      <c r="L10" s="81"/>
      <c r="M10" s="81"/>
      <c r="N10" s="81"/>
      <c r="O10" s="2"/>
      <c r="P10" s="5">
        <f>IF($E10="Labour",$G10*J10,J10)</f>
        <v>0</v>
      </c>
      <c r="Q10" s="5">
        <f>IF($E10="Labour",$G10*K10,K10)</f>
        <v>3747535</v>
      </c>
      <c r="R10" s="5">
        <f>IF($E10="Labour",$G10*L10,L10)</f>
        <v>0</v>
      </c>
      <c r="S10" s="5">
        <f>IF($E10="Labour",$G10*M10,M10)</f>
        <v>0</v>
      </c>
      <c r="T10" s="5">
        <f>IF($E10="Labour",$G10*N10,N10)</f>
        <v>0</v>
      </c>
    </row>
    <row r="11" spans="1:25" ht="12.75" customHeight="1" x14ac:dyDescent="0.2">
      <c r="A11" s="4"/>
      <c r="C11" s="79" t="s">
        <v>47</v>
      </c>
      <c r="D11" s="80" t="s">
        <v>48</v>
      </c>
      <c r="E11" s="78" t="s">
        <v>10</v>
      </c>
      <c r="F11" s="2"/>
      <c r="G11" s="62">
        <f>IF($E11="Labour",Assumptions!$B$14,)</f>
        <v>0</v>
      </c>
      <c r="H11" s="9" t="str">
        <f t="shared" ref="H11:H54" si="0">IF($E11="Labour","Hours","$")</f>
        <v>$</v>
      </c>
      <c r="I11" s="2"/>
      <c r="J11" s="81"/>
      <c r="K11" s="81">
        <v>298099.41000000003</v>
      </c>
      <c r="L11" s="81"/>
      <c r="M11" s="81"/>
      <c r="N11" s="81"/>
      <c r="O11" s="2"/>
      <c r="P11" s="5">
        <f>IF($E11="Labour",$G11*J11,J11)</f>
        <v>0</v>
      </c>
      <c r="Q11" s="5">
        <f>IF($E11="Labour",$G11*K11,K11)</f>
        <v>298099.41000000003</v>
      </c>
      <c r="R11" s="5">
        <f>IF($E11="Labour",$G11*L11,L11)</f>
        <v>0</v>
      </c>
      <c r="S11" s="5">
        <f>IF($E11="Labour",$G11*M11,M11)</f>
        <v>0</v>
      </c>
      <c r="T11" s="5">
        <f>IF($E11="Labour",$G11*N11,N11)</f>
        <v>0</v>
      </c>
    </row>
    <row r="12" spans="1:25" ht="12.75" customHeight="1" x14ac:dyDescent="0.2">
      <c r="A12" s="4"/>
      <c r="C12" s="79" t="s">
        <v>47</v>
      </c>
      <c r="D12" s="80" t="s">
        <v>48</v>
      </c>
      <c r="E12" s="78" t="s">
        <v>11</v>
      </c>
      <c r="F12" s="2"/>
      <c r="G12" s="62">
        <f>IF($E12="Labour",Assumptions!$B$14,)</f>
        <v>0</v>
      </c>
      <c r="H12" s="9" t="str">
        <f t="shared" si="0"/>
        <v>$</v>
      </c>
      <c r="I12" s="2"/>
      <c r="J12" s="81"/>
      <c r="K12" s="81">
        <v>212928.15000000002</v>
      </c>
      <c r="L12" s="81"/>
      <c r="M12" s="81"/>
      <c r="N12" s="81"/>
      <c r="O12" s="2"/>
      <c r="P12" s="5">
        <f>IF($E12="Labour",$G12*J12,J12)</f>
        <v>0</v>
      </c>
      <c r="Q12" s="5">
        <f>IF($E12="Labour",$G12*K12,K12)</f>
        <v>212928.15000000002</v>
      </c>
      <c r="R12" s="5">
        <f>IF($E12="Labour",$G12*L12,L12)</f>
        <v>0</v>
      </c>
      <c r="S12" s="5">
        <f>IF($E12="Labour",$G12*M12,M12)</f>
        <v>0</v>
      </c>
      <c r="T12" s="5">
        <f>IF($E12="Labour",$G12*N12,N12)</f>
        <v>0</v>
      </c>
    </row>
    <row r="13" spans="1:25" ht="12.75" customHeight="1" x14ac:dyDescent="0.25">
      <c r="A13" s="4"/>
      <c r="C13" s="79" t="s">
        <v>49</v>
      </c>
      <c r="D13" s="80" t="s">
        <v>48</v>
      </c>
      <c r="E13" s="78" t="s">
        <v>9</v>
      </c>
      <c r="F13" s="2"/>
      <c r="G13" s="62">
        <f>IF($E13="Labour",Assumptions!$B$14,)</f>
        <v>145.77740895836223</v>
      </c>
      <c r="H13" s="9" t="str">
        <f t="shared" si="0"/>
        <v>Hours</v>
      </c>
      <c r="I13" s="2"/>
      <c r="J13" s="81"/>
      <c r="K13" s="81">
        <f>610392/$G13</f>
        <v>4187.1508374410987</v>
      </c>
      <c r="L13" s="81"/>
      <c r="M13" s="81"/>
      <c r="N13" s="81">
        <f>610392/$G13</f>
        <v>4187.1508374410987</v>
      </c>
      <c r="O13" s="2"/>
      <c r="P13" s="5">
        <f>IF($E13="Labour",$G13*J13,J13)</f>
        <v>0</v>
      </c>
      <c r="Q13" s="5">
        <f>IF($E13="Labour",$G13*K13,K13)</f>
        <v>610391.99999999988</v>
      </c>
      <c r="R13" s="5">
        <f>IF($E13="Labour",$G13*L13,L13)</f>
        <v>0</v>
      </c>
      <c r="S13" s="5">
        <f>IF($E13="Labour",$G13*M13,M13)</f>
        <v>0</v>
      </c>
      <c r="T13" s="5">
        <f>IF($E13="Labour",$G13*N13,N13)</f>
        <v>610391.99999999988</v>
      </c>
      <c r="Y13"/>
    </row>
    <row r="14" spans="1:25" ht="12.75" customHeight="1" x14ac:dyDescent="0.25">
      <c r="A14" s="4"/>
      <c r="C14" s="79" t="s">
        <v>50</v>
      </c>
      <c r="D14" s="80" t="s">
        <v>48</v>
      </c>
      <c r="E14" s="78" t="s">
        <v>9</v>
      </c>
      <c r="F14" s="2"/>
      <c r="G14" s="62">
        <f>IF($E14="Labour",Assumptions!$B$14,)</f>
        <v>145.77740895836223</v>
      </c>
      <c r="H14" s="9" t="str">
        <f t="shared" si="0"/>
        <v>Hours</v>
      </c>
      <c r="I14" s="2"/>
      <c r="J14" s="81">
        <f>900000/G14</f>
        <v>6173.7961075783905</v>
      </c>
      <c r="K14" s="81">
        <f>1350000/$G14</f>
        <v>9260.6941613675863</v>
      </c>
      <c r="L14" s="81">
        <f>2700000/$G14</f>
        <v>18521.388322735173</v>
      </c>
      <c r="M14" s="81">
        <f>2700000/$G14</f>
        <v>18521.388322735173</v>
      </c>
      <c r="N14" s="81"/>
      <c r="O14" s="2"/>
      <c r="P14" s="5">
        <f>IF($E14="Labour",$G14*J14,J14)</f>
        <v>899999.99999999988</v>
      </c>
      <c r="Q14" s="5">
        <f>IF($E14="Labour",$G14*K14,K14)</f>
        <v>1350000</v>
      </c>
      <c r="R14" s="5">
        <f>IF($E14="Labour",$G14*L14,L14)</f>
        <v>2700000</v>
      </c>
      <c r="S14" s="5">
        <f>IF($E14="Labour",$G14*M14,M14)</f>
        <v>2700000</v>
      </c>
      <c r="T14" s="5">
        <f>IF($E14="Labour",$G14*N14,N14)</f>
        <v>0</v>
      </c>
      <c r="Y14"/>
    </row>
    <row r="15" spans="1:25" ht="12.75" customHeight="1" x14ac:dyDescent="0.25">
      <c r="A15" s="4"/>
      <c r="C15" s="79" t="s">
        <v>50</v>
      </c>
      <c r="D15" s="80" t="s">
        <v>48</v>
      </c>
      <c r="E15" s="78" t="s">
        <v>11</v>
      </c>
      <c r="F15" s="2"/>
      <c r="G15" s="62">
        <f>IF($E15="Labour",Assumptions!$B$14,)</f>
        <v>0</v>
      </c>
      <c r="H15" s="9" t="str">
        <f t="shared" si="0"/>
        <v>$</v>
      </c>
      <c r="I15" s="2"/>
      <c r="J15" s="81">
        <v>100000</v>
      </c>
      <c r="K15" s="81">
        <v>150000</v>
      </c>
      <c r="L15" s="81">
        <v>300000</v>
      </c>
      <c r="M15" s="81">
        <v>300000</v>
      </c>
      <c r="N15" s="81"/>
      <c r="O15" s="2"/>
      <c r="P15" s="5">
        <f>IF($E15="Labour",$G15*J15,J15)</f>
        <v>100000</v>
      </c>
      <c r="Q15" s="5">
        <f>IF($E15="Labour",$G15*K15,K15)</f>
        <v>150000</v>
      </c>
      <c r="R15" s="5">
        <f>IF($E15="Labour",$G15*L15,L15)</f>
        <v>300000</v>
      </c>
      <c r="S15" s="5">
        <f>IF($E15="Labour",$G15*M15,M15)</f>
        <v>300000</v>
      </c>
      <c r="T15" s="5">
        <f>IF($E15="Labour",$G15*N15,N15)</f>
        <v>0</v>
      </c>
      <c r="Y15"/>
    </row>
    <row r="16" spans="1:25" ht="12.75" customHeight="1" x14ac:dyDescent="0.25">
      <c r="A16" s="4"/>
      <c r="C16" s="79" t="s">
        <v>51</v>
      </c>
      <c r="D16" s="80" t="s">
        <v>48</v>
      </c>
      <c r="E16" s="78" t="s">
        <v>9</v>
      </c>
      <c r="F16" s="2"/>
      <c r="G16" s="62">
        <f>IF($E16="Labour",Assumptions!$B$14,)</f>
        <v>145.77740895836223</v>
      </c>
      <c r="H16" s="9" t="str">
        <f t="shared" si="0"/>
        <v>Hours</v>
      </c>
      <c r="I16" s="2"/>
      <c r="J16" s="81">
        <f>1168570/G16</f>
        <v>8016.1254638143118</v>
      </c>
      <c r="K16" s="81"/>
      <c r="L16" s="81">
        <f>584285/G16</f>
        <v>4008.0627319071559</v>
      </c>
      <c r="M16" s="81"/>
      <c r="N16" s="81"/>
      <c r="O16" s="2"/>
      <c r="P16" s="5">
        <f>IF($E16="Labour",$G16*J16,J16)</f>
        <v>1168570</v>
      </c>
      <c r="Q16" s="5">
        <f>IF($E16="Labour",$G16*K16,K16)</f>
        <v>0</v>
      </c>
      <c r="R16" s="5">
        <f>IF($E16="Labour",$G16*L16,L16)</f>
        <v>584285</v>
      </c>
      <c r="S16" s="5">
        <f>IF($E16="Labour",$G16*M16,M16)</f>
        <v>0</v>
      </c>
      <c r="T16" s="5">
        <f>IF($E16="Labour",$G16*N16,N16)</f>
        <v>0</v>
      </c>
      <c r="Y16"/>
    </row>
    <row r="17" spans="1:25" ht="12.75" customHeight="1" x14ac:dyDescent="0.25">
      <c r="A17" s="4"/>
      <c r="C17" s="79" t="s">
        <v>51</v>
      </c>
      <c r="D17" s="80" t="s">
        <v>48</v>
      </c>
      <c r="E17" s="78" t="s">
        <v>11</v>
      </c>
      <c r="F17" s="2"/>
      <c r="G17" s="62">
        <f>IF($E17="Labour",Assumptions!$B$14,)</f>
        <v>0</v>
      </c>
      <c r="H17" s="9" t="str">
        <f t="shared" si="0"/>
        <v>$</v>
      </c>
      <c r="I17" s="2"/>
      <c r="J17" s="81">
        <v>432210.94559999998</v>
      </c>
      <c r="K17" s="81"/>
      <c r="L17" s="81">
        <v>216105</v>
      </c>
      <c r="M17" s="81"/>
      <c r="N17" s="81"/>
      <c r="O17" s="2"/>
      <c r="P17" s="5">
        <f>IF($E17="Labour",$G17*J17,J17)</f>
        <v>432210.94559999998</v>
      </c>
      <c r="Q17" s="5">
        <f>IF($E17="Labour",$G17*K17,K17)</f>
        <v>0</v>
      </c>
      <c r="R17" s="5">
        <f>IF($E17="Labour",$G17*L17,L17)</f>
        <v>216105</v>
      </c>
      <c r="S17" s="5">
        <f>IF($E17="Labour",$G17*M17,M17)</f>
        <v>0</v>
      </c>
      <c r="T17" s="5">
        <f>IF($E17="Labour",$G17*N17,N17)</f>
        <v>0</v>
      </c>
      <c r="Y17"/>
    </row>
    <row r="18" spans="1:25" ht="12.75" customHeight="1" x14ac:dyDescent="0.25">
      <c r="A18" s="4"/>
      <c r="C18" s="79" t="s">
        <v>52</v>
      </c>
      <c r="D18" s="80" t="s">
        <v>48</v>
      </c>
      <c r="E18" s="78" t="s">
        <v>9</v>
      </c>
      <c r="F18" s="2"/>
      <c r="G18" s="62">
        <f>IF($E18="Labour",Assumptions!$B$14,)</f>
        <v>145.77740895836223</v>
      </c>
      <c r="H18" s="9" t="str">
        <f t="shared" si="0"/>
        <v>Hours</v>
      </c>
      <c r="I18" s="2"/>
      <c r="J18" s="81">
        <f>500000/G18</f>
        <v>3429.8867264324394</v>
      </c>
      <c r="K18" s="81"/>
      <c r="L18" s="81"/>
      <c r="M18" s="81">
        <f>500000/G18</f>
        <v>3429.8867264324394</v>
      </c>
      <c r="N18" s="81"/>
      <c r="O18" s="2"/>
      <c r="P18" s="5">
        <f>IF($E18="Labour",$G18*J18,J18)</f>
        <v>500000</v>
      </c>
      <c r="Q18" s="5">
        <f>IF($E18="Labour",$G18*K18,K18)</f>
        <v>0</v>
      </c>
      <c r="R18" s="5">
        <f>IF($E18="Labour",$G18*L18,L18)</f>
        <v>0</v>
      </c>
      <c r="S18" s="5">
        <f>IF($E18="Labour",$G18*M18,M18)</f>
        <v>500000</v>
      </c>
      <c r="T18" s="5">
        <f>IF($E18="Labour",$G18*N18,N18)</f>
        <v>0</v>
      </c>
      <c r="Y18"/>
    </row>
    <row r="19" spans="1:25" ht="12.75" customHeight="1" x14ac:dyDescent="0.25">
      <c r="A19" s="4"/>
      <c r="C19" s="79" t="s">
        <v>53</v>
      </c>
      <c r="D19" s="80" t="s">
        <v>48</v>
      </c>
      <c r="E19" s="78" t="s">
        <v>9</v>
      </c>
      <c r="F19" s="2"/>
      <c r="G19" s="62">
        <f>IF($E19="Labour",Assumptions!$B$14,)</f>
        <v>145.77740895836223</v>
      </c>
      <c r="H19" s="9" t="str">
        <f t="shared" si="0"/>
        <v>Hours</v>
      </c>
      <c r="I19" s="2"/>
      <c r="J19" s="81">
        <f>21000/$G19</f>
        <v>144.05524251016246</v>
      </c>
      <c r="K19" s="81">
        <f>21000/$G19</f>
        <v>144.05524251016246</v>
      </c>
      <c r="L19" s="81">
        <f>21000/$G19</f>
        <v>144.05524251016246</v>
      </c>
      <c r="M19" s="81">
        <f>21000/$G19</f>
        <v>144.05524251016246</v>
      </c>
      <c r="N19" s="81">
        <f>21000/$G19</f>
        <v>144.05524251016246</v>
      </c>
      <c r="O19" s="2"/>
      <c r="P19" s="5">
        <f>IF($E19="Labour",$G19*J19,J19)</f>
        <v>21000</v>
      </c>
      <c r="Q19" s="5">
        <f>IF($E19="Labour",$G19*K19,K19)</f>
        <v>21000</v>
      </c>
      <c r="R19" s="5">
        <f>IF($E19="Labour",$G19*L19,L19)</f>
        <v>21000</v>
      </c>
      <c r="S19" s="5">
        <f>IF($E19="Labour",$G19*M19,M19)</f>
        <v>21000</v>
      </c>
      <c r="T19" s="5">
        <f>IF($E19="Labour",$G19*N19,N19)</f>
        <v>21000</v>
      </c>
      <c r="Y19"/>
    </row>
    <row r="20" spans="1:25" ht="12.75" customHeight="1" x14ac:dyDescent="0.25">
      <c r="A20" s="4"/>
      <c r="C20" s="79" t="s">
        <v>53</v>
      </c>
      <c r="D20" s="80" t="s">
        <v>48</v>
      </c>
      <c r="E20" s="78" t="s">
        <v>11</v>
      </c>
      <c r="F20" s="2"/>
      <c r="G20" s="62">
        <f>IF($E20="Labour",Assumptions!$B$14,)</f>
        <v>0</v>
      </c>
      <c r="H20" s="9" t="str">
        <f t="shared" si="0"/>
        <v>$</v>
      </c>
      <c r="I20" s="2"/>
      <c r="J20" s="81">
        <v>49000</v>
      </c>
      <c r="K20" s="81">
        <v>49000</v>
      </c>
      <c r="L20" s="81">
        <v>49000</v>
      </c>
      <c r="M20" s="81">
        <v>49000</v>
      </c>
      <c r="N20" s="81">
        <v>49000</v>
      </c>
      <c r="O20" s="2"/>
      <c r="P20" s="5">
        <f>IF($E20="Labour",$G20*J20,J20)</f>
        <v>49000</v>
      </c>
      <c r="Q20" s="5">
        <f>IF($E20="Labour",$G20*K20,K20)</f>
        <v>49000</v>
      </c>
      <c r="R20" s="5">
        <f>IF($E20="Labour",$G20*L20,L20)</f>
        <v>49000</v>
      </c>
      <c r="S20" s="5">
        <f>IF($E20="Labour",$G20*M20,M20)</f>
        <v>49000</v>
      </c>
      <c r="T20" s="5">
        <f>IF($E20="Labour",$G20*N20,N20)</f>
        <v>49000</v>
      </c>
      <c r="Y20"/>
    </row>
    <row r="21" spans="1:25" ht="12.75" customHeight="1" x14ac:dyDescent="0.25">
      <c r="A21" s="4"/>
      <c r="C21" s="79" t="s">
        <v>54</v>
      </c>
      <c r="D21" s="80" t="s">
        <v>48</v>
      </c>
      <c r="E21" s="78" t="s">
        <v>9</v>
      </c>
      <c r="F21" s="2"/>
      <c r="G21" s="62">
        <f>IF($E21="Labour",Assumptions!$B$14,)</f>
        <v>145.77740895836223</v>
      </c>
      <c r="H21" s="9" t="str">
        <f t="shared" si="0"/>
        <v>Hours</v>
      </c>
      <c r="I21" s="2"/>
      <c r="J21" s="81"/>
      <c r="K21" s="81">
        <f>170000/G21</f>
        <v>1166.1614869870293</v>
      </c>
      <c r="L21" s="81"/>
      <c r="M21" s="81"/>
      <c r="N21" s="81">
        <f>170000/G21</f>
        <v>1166.1614869870293</v>
      </c>
      <c r="O21" s="2"/>
      <c r="P21" s="5">
        <f>IF($E21="Labour",$G21*J21,J21)</f>
        <v>0</v>
      </c>
      <c r="Q21" s="5">
        <f>IF($E21="Labour",$G21*K21,K21)</f>
        <v>170000</v>
      </c>
      <c r="R21" s="5">
        <f>IF($E21="Labour",$G21*L21,L21)</f>
        <v>0</v>
      </c>
      <c r="S21" s="5">
        <f>IF($E21="Labour",$G21*M21,M21)</f>
        <v>0</v>
      </c>
      <c r="T21" s="5">
        <f>IF($E21="Labour",$G21*N21,N21)</f>
        <v>170000</v>
      </c>
      <c r="Y21"/>
    </row>
    <row r="22" spans="1:25" ht="12.75" customHeight="1" x14ac:dyDescent="0.25">
      <c r="A22" s="4"/>
      <c r="C22" s="79" t="s">
        <v>54</v>
      </c>
      <c r="D22" s="80" t="s">
        <v>48</v>
      </c>
      <c r="E22" s="78" t="s">
        <v>10</v>
      </c>
      <c r="F22" s="2"/>
      <c r="G22" s="62">
        <f>IF($E22="Labour",Assumptions!$B$14,)</f>
        <v>0</v>
      </c>
      <c r="H22" s="9" t="str">
        <f t="shared" si="0"/>
        <v>$</v>
      </c>
      <c r="I22" s="2"/>
      <c r="J22" s="81"/>
      <c r="K22" s="81">
        <v>30000</v>
      </c>
      <c r="L22" s="81"/>
      <c r="M22" s="81"/>
      <c r="N22" s="81">
        <v>30000</v>
      </c>
      <c r="O22" s="2"/>
      <c r="P22" s="5">
        <f>IF($E22="Labour",$G22*J22,J22)</f>
        <v>0</v>
      </c>
      <c r="Q22" s="5">
        <f>IF($E22="Labour",$G22*K22,K22)</f>
        <v>30000</v>
      </c>
      <c r="R22" s="5">
        <f>IF($E22="Labour",$G22*L22,L22)</f>
        <v>0</v>
      </c>
      <c r="S22" s="5">
        <f>IF($E22="Labour",$G22*M22,M22)</f>
        <v>0</v>
      </c>
      <c r="T22" s="5">
        <f>IF($E22="Labour",$G22*N22,N22)</f>
        <v>30000</v>
      </c>
      <c r="Y22"/>
    </row>
    <row r="23" spans="1:25" ht="12.75" customHeight="1" x14ac:dyDescent="0.25">
      <c r="A23" s="4"/>
      <c r="C23" s="79" t="s">
        <v>54</v>
      </c>
      <c r="D23" s="80" t="s">
        <v>48</v>
      </c>
      <c r="E23" s="78" t="s">
        <v>11</v>
      </c>
      <c r="F23" s="2"/>
      <c r="G23" s="62">
        <f>IF($E23="Labour",Assumptions!$B$14,)</f>
        <v>0</v>
      </c>
      <c r="H23" s="9" t="str">
        <f t="shared" si="0"/>
        <v>$</v>
      </c>
      <c r="I23" s="2"/>
      <c r="J23" s="81"/>
      <c r="K23" s="81">
        <v>300000</v>
      </c>
      <c r="L23" s="81"/>
      <c r="M23" s="81"/>
      <c r="N23" s="81">
        <v>300000</v>
      </c>
      <c r="O23" s="2"/>
      <c r="P23" s="5">
        <f>IF($E23="Labour",$G23*J23,J23)</f>
        <v>0</v>
      </c>
      <c r="Q23" s="5">
        <f>IF($E23="Labour",$G23*K23,K23)</f>
        <v>300000</v>
      </c>
      <c r="R23" s="5">
        <f>IF($E23="Labour",$G23*L23,L23)</f>
        <v>0</v>
      </c>
      <c r="S23" s="5">
        <f>IF($E23="Labour",$G23*M23,M23)</f>
        <v>0</v>
      </c>
      <c r="T23" s="5">
        <f>IF($E23="Labour",$G23*N23,N23)</f>
        <v>300000</v>
      </c>
      <c r="Y23"/>
    </row>
    <row r="24" spans="1:25" ht="12.75" customHeight="1" x14ac:dyDescent="0.25">
      <c r="A24" s="4"/>
      <c r="C24" s="79" t="s">
        <v>55</v>
      </c>
      <c r="D24" s="80" t="s">
        <v>48</v>
      </c>
      <c r="E24" s="78" t="s">
        <v>9</v>
      </c>
      <c r="F24" s="2"/>
      <c r="G24" s="62">
        <f>IF($E24="Labour",Assumptions!$B$14,)</f>
        <v>145.77740895836223</v>
      </c>
      <c r="H24" s="9" t="str">
        <f t="shared" si="0"/>
        <v>Hours</v>
      </c>
      <c r="I24" s="2"/>
      <c r="J24" s="81">
        <f>1218750/$G24</f>
        <v>8360.3488956790716</v>
      </c>
      <c r="K24" s="81">
        <f>1218750/$G24</f>
        <v>8360.3488956790716</v>
      </c>
      <c r="L24" s="81">
        <f>1218750/$G24</f>
        <v>8360.3488956790716</v>
      </c>
      <c r="M24" s="81">
        <f>1218750/$G24</f>
        <v>8360.3488956790716</v>
      </c>
      <c r="N24" s="81">
        <f>1218750/$G24</f>
        <v>8360.3488956790716</v>
      </c>
      <c r="O24" s="2"/>
      <c r="P24" s="5">
        <f>IF($E24="Labour",$G24*J24,J24)</f>
        <v>1218750</v>
      </c>
      <c r="Q24" s="5">
        <f>IF($E24="Labour",$G24*K24,K24)</f>
        <v>1218750</v>
      </c>
      <c r="R24" s="5">
        <f>IF($E24="Labour",$G24*L24,L24)</f>
        <v>1218750</v>
      </c>
      <c r="S24" s="5">
        <f>IF($E24="Labour",$G24*M24,M24)</f>
        <v>1218750</v>
      </c>
      <c r="T24" s="5">
        <f>IF($E24="Labour",$G24*N24,N24)</f>
        <v>1218750</v>
      </c>
      <c r="Y24"/>
    </row>
    <row r="25" spans="1:25" ht="12.75" customHeight="1" x14ac:dyDescent="0.25">
      <c r="A25" s="4"/>
      <c r="C25" s="79" t="s">
        <v>55</v>
      </c>
      <c r="D25" s="80" t="s">
        <v>48</v>
      </c>
      <c r="E25" s="78" t="s">
        <v>10</v>
      </c>
      <c r="F25" s="2"/>
      <c r="G25" s="62">
        <f>IF($E25="Labour",Assumptions!$B$14,)</f>
        <v>0</v>
      </c>
      <c r="H25" s="9" t="str">
        <f t="shared" si="0"/>
        <v>$</v>
      </c>
      <c r="I25" s="2"/>
      <c r="J25" s="81">
        <v>187500</v>
      </c>
      <c r="K25" s="81">
        <v>187500</v>
      </c>
      <c r="L25" s="81">
        <v>187500</v>
      </c>
      <c r="M25" s="81">
        <v>187500</v>
      </c>
      <c r="N25" s="81">
        <v>187500</v>
      </c>
      <c r="O25" s="2"/>
      <c r="P25" s="5">
        <f>IF($E25="Labour",$G25*J25,J25)</f>
        <v>187500</v>
      </c>
      <c r="Q25" s="5">
        <f>IF($E25="Labour",$G25*K25,K25)</f>
        <v>187500</v>
      </c>
      <c r="R25" s="5">
        <f>IF($E25="Labour",$G25*L25,L25)</f>
        <v>187500</v>
      </c>
      <c r="S25" s="5">
        <f>IF($E25="Labour",$G25*M25,M25)</f>
        <v>187500</v>
      </c>
      <c r="T25" s="5">
        <f>IF($E25="Labour",$G25*N25,N25)</f>
        <v>187500</v>
      </c>
      <c r="Y25"/>
    </row>
    <row r="26" spans="1:25" ht="12.75" customHeight="1" x14ac:dyDescent="0.25">
      <c r="A26" s="4"/>
      <c r="C26" s="79" t="s">
        <v>55</v>
      </c>
      <c r="D26" s="80" t="s">
        <v>48</v>
      </c>
      <c r="E26" s="78" t="s">
        <v>11</v>
      </c>
      <c r="F26" s="2"/>
      <c r="G26" s="62">
        <f>IF($E26="Labour",Assumptions!$B$14,)</f>
        <v>0</v>
      </c>
      <c r="H26" s="9" t="str">
        <f t="shared" si="0"/>
        <v>$</v>
      </c>
      <c r="I26" s="2"/>
      <c r="J26" s="81">
        <v>468750</v>
      </c>
      <c r="K26" s="81">
        <v>468750</v>
      </c>
      <c r="L26" s="81">
        <v>468750</v>
      </c>
      <c r="M26" s="81">
        <v>468750</v>
      </c>
      <c r="N26" s="81">
        <v>468750</v>
      </c>
      <c r="O26" s="2"/>
      <c r="P26" s="5">
        <f>IF($E26="Labour",$G26*J26,J26)</f>
        <v>468750</v>
      </c>
      <c r="Q26" s="5">
        <f>IF($E26="Labour",$G26*K26,K26)</f>
        <v>468750</v>
      </c>
      <c r="R26" s="5">
        <f>IF($E26="Labour",$G26*L26,L26)</f>
        <v>468750</v>
      </c>
      <c r="S26" s="5">
        <f>IF($E26="Labour",$G26*M26,M26)</f>
        <v>468750</v>
      </c>
      <c r="T26" s="5">
        <f>IF($E26="Labour",$G26*N26,N26)</f>
        <v>468750</v>
      </c>
      <c r="Y26"/>
    </row>
    <row r="27" spans="1:25" ht="12.75" customHeight="1" x14ac:dyDescent="0.25">
      <c r="A27" s="4"/>
      <c r="C27" s="79" t="s">
        <v>56</v>
      </c>
      <c r="D27" s="80" t="s">
        <v>48</v>
      </c>
      <c r="E27" s="78" t="s">
        <v>9</v>
      </c>
      <c r="F27" s="2"/>
      <c r="G27" s="62">
        <f>IF($E27="Labour",Assumptions!$B$14,)</f>
        <v>145.77740895836223</v>
      </c>
      <c r="H27" s="9" t="str">
        <f t="shared" si="0"/>
        <v>Hours</v>
      </c>
      <c r="I27" s="2"/>
      <c r="J27" s="81">
        <f>1500000/G27</f>
        <v>10289.660179297318</v>
      </c>
      <c r="K27" s="81"/>
      <c r="L27" s="81"/>
      <c r="M27" s="81">
        <f>1800000/$G24</f>
        <v>12347.592215156781</v>
      </c>
      <c r="N27" s="81">
        <f>1800000/$G24</f>
        <v>12347.592215156781</v>
      </c>
      <c r="O27" s="2"/>
      <c r="P27" s="5">
        <f>IF($E27="Labour",$G27*J27,J27)</f>
        <v>1500000</v>
      </c>
      <c r="Q27" s="5">
        <f>IF($E27="Labour",$G27*K27,K27)</f>
        <v>0</v>
      </c>
      <c r="R27" s="5">
        <f>IF($E27="Labour",$G27*L27,L27)</f>
        <v>0</v>
      </c>
      <c r="S27" s="5">
        <f>IF($E27="Labour",$G27*M27,M27)</f>
        <v>1799999.9999999998</v>
      </c>
      <c r="T27" s="5">
        <f>IF($E27="Labour",$G27*N27,N27)</f>
        <v>1799999.9999999998</v>
      </c>
      <c r="Y27"/>
    </row>
    <row r="28" spans="1:25" ht="12.75" customHeight="1" x14ac:dyDescent="0.25">
      <c r="A28" s="4"/>
      <c r="C28" s="79" t="s">
        <v>56</v>
      </c>
      <c r="D28" s="80" t="s">
        <v>48</v>
      </c>
      <c r="E28" s="78" t="s">
        <v>10</v>
      </c>
      <c r="F28" s="2"/>
      <c r="G28" s="62">
        <f>IF($E28="Labour",Assumptions!$B$14,)</f>
        <v>0</v>
      </c>
      <c r="H28" s="9" t="str">
        <f t="shared" si="0"/>
        <v>$</v>
      </c>
      <c r="I28" s="2"/>
      <c r="J28" s="81">
        <v>375000</v>
      </c>
      <c r="K28" s="81"/>
      <c r="L28" s="81"/>
      <c r="M28" s="81">
        <v>450000</v>
      </c>
      <c r="N28" s="81">
        <v>450000</v>
      </c>
      <c r="O28" s="2"/>
      <c r="P28" s="5">
        <f>IF($E28="Labour",$G28*J28,J28)</f>
        <v>375000</v>
      </c>
      <c r="Q28" s="5">
        <f>IF($E28="Labour",$G28*K28,K28)</f>
        <v>0</v>
      </c>
      <c r="R28" s="5">
        <f>IF($E28="Labour",$G28*L28,L28)</f>
        <v>0</v>
      </c>
      <c r="S28" s="5">
        <f>IF($E28="Labour",$G28*M28,M28)</f>
        <v>450000</v>
      </c>
      <c r="T28" s="5">
        <f>IF($E28="Labour",$G28*N28,N28)</f>
        <v>450000</v>
      </c>
      <c r="Y28"/>
    </row>
    <row r="29" spans="1:25" ht="12.75" customHeight="1" x14ac:dyDescent="0.25">
      <c r="A29" s="4"/>
      <c r="C29" s="79" t="s">
        <v>56</v>
      </c>
      <c r="D29" s="80" t="s">
        <v>48</v>
      </c>
      <c r="E29" s="78" t="s">
        <v>11</v>
      </c>
      <c r="F29" s="2"/>
      <c r="G29" s="62">
        <f>IF($E29="Labour",Assumptions!$B$14,)</f>
        <v>0</v>
      </c>
      <c r="H29" s="9" t="str">
        <f t="shared" si="0"/>
        <v>$</v>
      </c>
      <c r="I29" s="2"/>
      <c r="J29" s="81">
        <v>625000</v>
      </c>
      <c r="K29" s="81"/>
      <c r="L29" s="81"/>
      <c r="M29" s="81">
        <v>750000</v>
      </c>
      <c r="N29" s="81">
        <v>750000</v>
      </c>
      <c r="O29" s="2"/>
      <c r="P29" s="5">
        <f>IF($E29="Labour",$G29*J29,J29)</f>
        <v>625000</v>
      </c>
      <c r="Q29" s="5">
        <f>IF($E29="Labour",$G29*K29,K29)</f>
        <v>0</v>
      </c>
      <c r="R29" s="5">
        <f>IF($E29="Labour",$G29*L29,L29)</f>
        <v>0</v>
      </c>
      <c r="S29" s="5">
        <f>IF($E29="Labour",$G29*M29,M29)</f>
        <v>750000</v>
      </c>
      <c r="T29" s="5">
        <f>IF($E29="Labour",$G29*N29,N29)</f>
        <v>750000</v>
      </c>
      <c r="Y29"/>
    </row>
    <row r="30" spans="1:25" ht="12.75" customHeight="1" x14ac:dyDescent="0.25">
      <c r="A30" s="4"/>
      <c r="C30" s="79" t="s">
        <v>57</v>
      </c>
      <c r="D30" s="80" t="s">
        <v>48</v>
      </c>
      <c r="E30" s="78" t="s">
        <v>9</v>
      </c>
      <c r="F30" s="2"/>
      <c r="G30" s="62">
        <f>IF($E30="Labour",Assumptions!$B$14,)</f>
        <v>145.77740895836223</v>
      </c>
      <c r="H30" s="9" t="str">
        <f t="shared" si="0"/>
        <v>Hours</v>
      </c>
      <c r="I30" s="2"/>
      <c r="J30" s="81"/>
      <c r="K30" s="81"/>
      <c r="L30" s="81">
        <f>490000/G30</f>
        <v>3361.2889919037907</v>
      </c>
      <c r="M30" s="81"/>
      <c r="N30" s="81">
        <f>700000/G30</f>
        <v>4801.8414170054148</v>
      </c>
      <c r="O30" s="2"/>
      <c r="P30" s="5">
        <f>IF($E30="Labour",$G30*J30,J30)</f>
        <v>0</v>
      </c>
      <c r="Q30" s="5">
        <f>IF($E30="Labour",$G30*K30,K30)</f>
        <v>0</v>
      </c>
      <c r="R30" s="5">
        <f>IF($E30="Labour",$G30*L30,L30)</f>
        <v>490000</v>
      </c>
      <c r="S30" s="5">
        <f>IF($E30="Labour",$G30*M30,M30)</f>
        <v>0</v>
      </c>
      <c r="T30" s="5">
        <f>IF($E30="Labour",$G30*N30,N30)</f>
        <v>699999.99999999988</v>
      </c>
      <c r="Y30"/>
    </row>
    <row r="31" spans="1:25" ht="12.75" customHeight="1" x14ac:dyDescent="0.25">
      <c r="A31" s="4"/>
      <c r="C31" s="79" t="s">
        <v>57</v>
      </c>
      <c r="D31" s="80" t="s">
        <v>48</v>
      </c>
      <c r="E31" s="78" t="s">
        <v>10</v>
      </c>
      <c r="F31" s="2"/>
      <c r="G31" s="62">
        <f>IF($E31="Labour",Assumptions!$B$14,)</f>
        <v>0</v>
      </c>
      <c r="H31" s="9" t="str">
        <f t="shared" si="0"/>
        <v>$</v>
      </c>
      <c r="I31" s="2"/>
      <c r="J31" s="81"/>
      <c r="K31" s="81"/>
      <c r="L31" s="81">
        <v>105000</v>
      </c>
      <c r="M31" s="81"/>
      <c r="N31" s="81">
        <v>150000</v>
      </c>
      <c r="O31" s="2"/>
      <c r="P31" s="5">
        <f>IF($E31="Labour",$G31*J31,J31)</f>
        <v>0</v>
      </c>
      <c r="Q31" s="5">
        <f>IF($E31="Labour",$G31*K31,K31)</f>
        <v>0</v>
      </c>
      <c r="R31" s="5">
        <f>IF($E31="Labour",$G31*L31,L31)</f>
        <v>105000</v>
      </c>
      <c r="S31" s="5">
        <f>IF($E31="Labour",$G31*M31,M31)</f>
        <v>0</v>
      </c>
      <c r="T31" s="5">
        <f>IF($E31="Labour",$G31*N31,N31)</f>
        <v>150000</v>
      </c>
      <c r="Y31"/>
    </row>
    <row r="32" spans="1:25" ht="12.75" customHeight="1" x14ac:dyDescent="0.25">
      <c r="A32" s="4"/>
      <c r="C32" s="79" t="s">
        <v>57</v>
      </c>
      <c r="D32" s="80" t="s">
        <v>48</v>
      </c>
      <c r="E32" s="78" t="s">
        <v>11</v>
      </c>
      <c r="F32" s="2"/>
      <c r="G32" s="62">
        <f>IF($E32="Labour",Assumptions!$B$14,)</f>
        <v>0</v>
      </c>
      <c r="H32" s="9" t="str">
        <f t="shared" si="0"/>
        <v>$</v>
      </c>
      <c r="I32" s="2"/>
      <c r="J32" s="81"/>
      <c r="K32" s="81"/>
      <c r="L32" s="81">
        <v>105000</v>
      </c>
      <c r="M32" s="81"/>
      <c r="N32" s="81">
        <v>150000</v>
      </c>
      <c r="O32" s="2"/>
      <c r="P32" s="5">
        <f>IF($E32="Labour",$G32*J32,J32)</f>
        <v>0</v>
      </c>
      <c r="Q32" s="5">
        <f>IF($E32="Labour",$G32*K32,K32)</f>
        <v>0</v>
      </c>
      <c r="R32" s="5">
        <f>IF($E32="Labour",$G32*L32,L32)</f>
        <v>105000</v>
      </c>
      <c r="S32" s="5">
        <f>IF($E32="Labour",$G32*M32,M32)</f>
        <v>0</v>
      </c>
      <c r="T32" s="5">
        <f>IF($E32="Labour",$G32*N32,N32)</f>
        <v>150000</v>
      </c>
      <c r="Y32"/>
    </row>
    <row r="33" spans="1:25" ht="12.75" customHeight="1" x14ac:dyDescent="0.25">
      <c r="A33" s="4"/>
      <c r="C33" s="79" t="s">
        <v>58</v>
      </c>
      <c r="D33" s="80" t="s">
        <v>48</v>
      </c>
      <c r="E33" s="78" t="s">
        <v>9</v>
      </c>
      <c r="F33" s="2"/>
      <c r="G33" s="62">
        <f>IF($E33="Labour",Assumptions!$B$14,)</f>
        <v>145.77740895836223</v>
      </c>
      <c r="H33" s="9" t="str">
        <f t="shared" si="0"/>
        <v>Hours</v>
      </c>
      <c r="I33" s="2"/>
      <c r="J33" s="81">
        <f>490000/G33</f>
        <v>3361.2889919037907</v>
      </c>
      <c r="K33" s="81"/>
      <c r="L33" s="81"/>
      <c r="M33" s="81"/>
      <c r="N33" s="81"/>
      <c r="O33" s="2"/>
      <c r="P33" s="5">
        <f>IF($E33="Labour",$G33*J33,J33)</f>
        <v>490000</v>
      </c>
      <c r="Q33" s="5">
        <f>IF($E33="Labour",$G33*K33,K33)</f>
        <v>0</v>
      </c>
      <c r="R33" s="5">
        <f>IF($E33="Labour",$G33*L33,L33)</f>
        <v>0</v>
      </c>
      <c r="S33" s="5">
        <f>IF($E33="Labour",$G33*M33,M33)</f>
        <v>0</v>
      </c>
      <c r="T33" s="5">
        <f>IF($E33="Labour",$G33*N33,N33)</f>
        <v>0</v>
      </c>
      <c r="Y33"/>
    </row>
    <row r="34" spans="1:25" ht="12.75" customHeight="1" x14ac:dyDescent="0.25">
      <c r="A34" s="4"/>
      <c r="C34" s="79" t="s">
        <v>58</v>
      </c>
      <c r="D34" s="80" t="s">
        <v>48</v>
      </c>
      <c r="E34" s="78" t="s">
        <v>10</v>
      </c>
      <c r="F34" s="2"/>
      <c r="G34" s="62">
        <f>IF($E34="Labour",Assumptions!$B$14,)</f>
        <v>0</v>
      </c>
      <c r="H34" s="9" t="str">
        <f t="shared" si="0"/>
        <v>$</v>
      </c>
      <c r="I34" s="2"/>
      <c r="J34" s="81">
        <v>105000</v>
      </c>
      <c r="K34" s="81"/>
      <c r="L34" s="81"/>
      <c r="M34" s="81"/>
      <c r="N34" s="81"/>
      <c r="O34" s="2"/>
      <c r="P34" s="5">
        <f>IF($E34="Labour",$G34*J34,J34)</f>
        <v>105000</v>
      </c>
      <c r="Q34" s="5">
        <f>IF($E34="Labour",$G34*K34,K34)</f>
        <v>0</v>
      </c>
      <c r="R34" s="5">
        <f>IF($E34="Labour",$G34*L34,L34)</f>
        <v>0</v>
      </c>
      <c r="S34" s="5">
        <f>IF($E34="Labour",$G34*M34,M34)</f>
        <v>0</v>
      </c>
      <c r="T34" s="5">
        <f>IF($E34="Labour",$G34*N34,N34)</f>
        <v>0</v>
      </c>
      <c r="Y34"/>
    </row>
    <row r="35" spans="1:25" ht="12.75" customHeight="1" x14ac:dyDescent="0.25">
      <c r="A35" s="4"/>
      <c r="C35" s="79" t="s">
        <v>58</v>
      </c>
      <c r="D35" s="80" t="s">
        <v>48</v>
      </c>
      <c r="E35" s="78" t="s">
        <v>11</v>
      </c>
      <c r="F35" s="2"/>
      <c r="G35" s="62">
        <f>IF($E35="Labour",Assumptions!$B$14,)</f>
        <v>0</v>
      </c>
      <c r="H35" s="9" t="str">
        <f t="shared" si="0"/>
        <v>$</v>
      </c>
      <c r="I35" s="2"/>
      <c r="J35" s="81">
        <v>105000</v>
      </c>
      <c r="K35" s="81"/>
      <c r="L35" s="81"/>
      <c r="M35" s="81"/>
      <c r="N35" s="81"/>
      <c r="O35" s="2"/>
      <c r="P35" s="5">
        <f>IF($E35="Labour",$G35*J35,J35)</f>
        <v>105000</v>
      </c>
      <c r="Q35" s="5">
        <f>IF($E35="Labour",$G35*K35,K35)</f>
        <v>0</v>
      </c>
      <c r="R35" s="5">
        <f>IF($E35="Labour",$G35*L35,L35)</f>
        <v>0</v>
      </c>
      <c r="S35" s="5">
        <f>IF($E35="Labour",$G35*M35,M35)</f>
        <v>0</v>
      </c>
      <c r="T35" s="5">
        <f>IF($E35="Labour",$G35*N35,N35)</f>
        <v>0</v>
      </c>
      <c r="Y35"/>
    </row>
    <row r="36" spans="1:25" ht="12.75" customHeight="1" x14ac:dyDescent="0.25">
      <c r="A36" s="4"/>
      <c r="C36" s="79" t="s">
        <v>59</v>
      </c>
      <c r="D36" s="80" t="s">
        <v>48</v>
      </c>
      <c r="E36" s="78" t="s">
        <v>9</v>
      </c>
      <c r="F36" s="2"/>
      <c r="G36" s="62">
        <f>IF($E36="Labour",Assumptions!$B$14,)</f>
        <v>145.77740895836223</v>
      </c>
      <c r="H36" s="9" t="str">
        <f t="shared" si="0"/>
        <v>Hours</v>
      </c>
      <c r="I36" s="2"/>
      <c r="J36" s="81"/>
      <c r="K36" s="81"/>
      <c r="L36" s="81"/>
      <c r="M36" s="81"/>
      <c r="N36" s="81">
        <f>497250/$G36</f>
        <v>3411.0223494370612</v>
      </c>
      <c r="O36" s="2"/>
      <c r="P36" s="5">
        <f>IF($E36="Labour",$G36*J36,J36)</f>
        <v>0</v>
      </c>
      <c r="Q36" s="5">
        <f>IF($E36="Labour",$G36*K36,K36)</f>
        <v>0</v>
      </c>
      <c r="R36" s="5">
        <f>IF($E36="Labour",$G36*L36,L36)</f>
        <v>0</v>
      </c>
      <c r="S36" s="5">
        <f>IF($E36="Labour",$G36*M36,M36)</f>
        <v>0</v>
      </c>
      <c r="T36" s="5">
        <f>IF($E36="Labour",$G36*N36,N36)</f>
        <v>497250</v>
      </c>
      <c r="Y36"/>
    </row>
    <row r="37" spans="1:25" ht="12.75" customHeight="1" x14ac:dyDescent="0.25">
      <c r="A37" s="4"/>
      <c r="C37" s="79" t="s">
        <v>59</v>
      </c>
      <c r="D37" s="80" t="s">
        <v>48</v>
      </c>
      <c r="E37" s="78" t="s">
        <v>10</v>
      </c>
      <c r="F37" s="2"/>
      <c r="G37" s="62">
        <f>IF($E37="Labour",Assumptions!$B$14,)</f>
        <v>0</v>
      </c>
      <c r="H37" s="9" t="str">
        <f t="shared" si="0"/>
        <v>$</v>
      </c>
      <c r="I37" s="2"/>
      <c r="J37" s="81"/>
      <c r="K37" s="81"/>
      <c r="L37" s="81"/>
      <c r="M37" s="81"/>
      <c r="N37" s="81">
        <v>33150</v>
      </c>
      <c r="O37" s="2"/>
      <c r="P37" s="5">
        <f>IF($E37="Labour",$G37*J37,J37)</f>
        <v>0</v>
      </c>
      <c r="Q37" s="5">
        <f>IF($E37="Labour",$G37*K37,K37)</f>
        <v>0</v>
      </c>
      <c r="R37" s="5">
        <f>IF($E37="Labour",$G37*L37,L37)</f>
        <v>0</v>
      </c>
      <c r="S37" s="5">
        <f>IF($E37="Labour",$G37*M37,M37)</f>
        <v>0</v>
      </c>
      <c r="T37" s="5">
        <f>IF($E37="Labour",$G37*N37,N37)</f>
        <v>33150</v>
      </c>
      <c r="Y37"/>
    </row>
    <row r="38" spans="1:25" ht="12.75" customHeight="1" x14ac:dyDescent="0.25">
      <c r="A38" s="4"/>
      <c r="C38" s="79" t="s">
        <v>59</v>
      </c>
      <c r="D38" s="80" t="s">
        <v>48</v>
      </c>
      <c r="E38" s="78" t="s">
        <v>11</v>
      </c>
      <c r="F38" s="2"/>
      <c r="G38" s="62">
        <f>IF($E38="Labour",Assumptions!$B$14,)</f>
        <v>0</v>
      </c>
      <c r="H38" s="9" t="str">
        <f t="shared" si="0"/>
        <v>$</v>
      </c>
      <c r="I38" s="2"/>
      <c r="J38" s="81"/>
      <c r="K38" s="81"/>
      <c r="L38" s="81"/>
      <c r="M38" s="81"/>
      <c r="N38" s="81">
        <v>132600</v>
      </c>
      <c r="O38" s="2"/>
      <c r="P38" s="5">
        <f>IF($E38="Labour",$G38*J38,J38)</f>
        <v>0</v>
      </c>
      <c r="Q38" s="5">
        <f>IF($E38="Labour",$G38*K38,K38)</f>
        <v>0</v>
      </c>
      <c r="R38" s="5">
        <f>IF($E38="Labour",$G38*L38,L38)</f>
        <v>0</v>
      </c>
      <c r="S38" s="5">
        <f>IF($E38="Labour",$G38*M38,M38)</f>
        <v>0</v>
      </c>
      <c r="T38" s="5">
        <f>IF($E38="Labour",$G38*N38,N38)</f>
        <v>132600</v>
      </c>
      <c r="Y38"/>
    </row>
    <row r="39" spans="1:25" ht="12.75" customHeight="1" x14ac:dyDescent="0.25">
      <c r="A39" s="4"/>
      <c r="C39" s="79" t="s">
        <v>60</v>
      </c>
      <c r="D39" s="80" t="s">
        <v>48</v>
      </c>
      <c r="E39" s="78" t="s">
        <v>9</v>
      </c>
      <c r="F39" s="2"/>
      <c r="G39" s="62">
        <f>IF($E39="Labour",Assumptions!$B$14,)</f>
        <v>145.77740895836223</v>
      </c>
      <c r="H39" s="9" t="str">
        <f t="shared" si="0"/>
        <v>Hours</v>
      </c>
      <c r="I39" s="2"/>
      <c r="J39" s="81"/>
      <c r="K39" s="81">
        <f>747500/G39</f>
        <v>5127.6806560164969</v>
      </c>
      <c r="L39" s="81"/>
      <c r="M39" s="81"/>
      <c r="N39" s="81"/>
      <c r="O39" s="2"/>
      <c r="P39" s="5">
        <f>IF($E39="Labour",$G39*J39,J39)</f>
        <v>0</v>
      </c>
      <c r="Q39" s="5">
        <f>IF($E39="Labour",$G39*K39,K39)</f>
        <v>747500</v>
      </c>
      <c r="R39" s="5">
        <f>IF($E39="Labour",$G39*L39,L39)</f>
        <v>0</v>
      </c>
      <c r="S39" s="5">
        <f>IF($E39="Labour",$G39*M39,M39)</f>
        <v>0</v>
      </c>
      <c r="T39" s="5">
        <f>IF($E39="Labour",$G39*N39,N39)</f>
        <v>0</v>
      </c>
      <c r="Y39"/>
    </row>
    <row r="40" spans="1:25" ht="12.75" customHeight="1" x14ac:dyDescent="0.2">
      <c r="A40" s="4"/>
      <c r="C40" s="79" t="s">
        <v>60</v>
      </c>
      <c r="D40" s="80" t="s">
        <v>48</v>
      </c>
      <c r="E40" s="78" t="s">
        <v>10</v>
      </c>
      <c r="G40" s="62">
        <f>IF($E40="Labour",Assumptions!$B$14,)</f>
        <v>0</v>
      </c>
      <c r="H40" s="9" t="str">
        <f t="shared" si="0"/>
        <v>$</v>
      </c>
      <c r="J40" s="81"/>
      <c r="K40" s="81">
        <v>172500</v>
      </c>
      <c r="L40" s="81"/>
      <c r="M40" s="81"/>
      <c r="N40" s="81"/>
      <c r="P40" s="5">
        <f>IF($E40="Labour",$G40*J40,J40)</f>
        <v>0</v>
      </c>
      <c r="Q40" s="5">
        <f>IF($E40="Labour",$G40*K40,K40)</f>
        <v>172500</v>
      </c>
      <c r="R40" s="5">
        <f>IF($E40="Labour",$G40*L40,L40)</f>
        <v>0</v>
      </c>
      <c r="S40" s="5">
        <f>IF($E40="Labour",$G40*M40,M40)</f>
        <v>0</v>
      </c>
      <c r="T40" s="5">
        <f>IF($E40="Labour",$G40*N40,N40)</f>
        <v>0</v>
      </c>
    </row>
    <row r="41" spans="1:25" ht="12.75" customHeight="1" x14ac:dyDescent="0.2">
      <c r="A41" s="4"/>
      <c r="C41" s="79" t="s">
        <v>60</v>
      </c>
      <c r="D41" s="80" t="s">
        <v>48</v>
      </c>
      <c r="E41" s="78" t="s">
        <v>11</v>
      </c>
      <c r="G41" s="62">
        <f>IF($E41="Labour",Assumptions!$B$14,)</f>
        <v>0</v>
      </c>
      <c r="H41" s="9" t="str">
        <f t="shared" si="0"/>
        <v>$</v>
      </c>
      <c r="J41" s="81"/>
      <c r="K41" s="81">
        <v>230000</v>
      </c>
      <c r="L41" s="81"/>
      <c r="M41" s="81"/>
      <c r="N41" s="81"/>
      <c r="P41" s="5">
        <f>IF($E41="Labour",$G41*J41,J41)</f>
        <v>0</v>
      </c>
      <c r="Q41" s="5">
        <f>IF($E41="Labour",$G41*K41,K41)</f>
        <v>230000</v>
      </c>
      <c r="R41" s="5">
        <f>IF($E41="Labour",$G41*L41,L41)</f>
        <v>0</v>
      </c>
      <c r="S41" s="5">
        <f>IF($E41="Labour",$G41*M41,M41)</f>
        <v>0</v>
      </c>
      <c r="T41" s="5">
        <f>IF($E41="Labour",$G41*N41,N41)</f>
        <v>0</v>
      </c>
    </row>
    <row r="42" spans="1:25" ht="12.75" customHeight="1" x14ac:dyDescent="0.2">
      <c r="A42" s="4"/>
      <c r="C42" s="79" t="s">
        <v>61</v>
      </c>
      <c r="D42" s="80" t="s">
        <v>48</v>
      </c>
      <c r="E42" s="78" t="s">
        <v>9</v>
      </c>
      <c r="G42" s="62">
        <f>IF($E42="Labour",Assumptions!$B$14,)</f>
        <v>145.77740895836223</v>
      </c>
      <c r="H42" s="9" t="str">
        <f t="shared" si="0"/>
        <v>Hours</v>
      </c>
      <c r="J42" s="81"/>
      <c r="K42" s="81">
        <f>507000/G42</f>
        <v>3477.9051406024937</v>
      </c>
      <c r="L42" s="81"/>
      <c r="M42" s="81"/>
      <c r="N42" s="81"/>
      <c r="P42" s="5">
        <f>IF($E42="Labour",$G42*J42,J42)</f>
        <v>0</v>
      </c>
      <c r="Q42" s="5">
        <f>IF($E42="Labour",$G42*K42,K42)</f>
        <v>507000</v>
      </c>
      <c r="R42" s="5">
        <f>IF($E42="Labour",$G42*L42,L42)</f>
        <v>0</v>
      </c>
      <c r="S42" s="5">
        <f>IF($E42="Labour",$G42*M42,M42)</f>
        <v>0</v>
      </c>
      <c r="T42" s="5">
        <f>IF($E42="Labour",$G42*N42,N42)</f>
        <v>0</v>
      </c>
    </row>
    <row r="43" spans="1:25" ht="12.75" customHeight="1" x14ac:dyDescent="0.2">
      <c r="A43" s="4"/>
      <c r="C43" s="79" t="s">
        <v>61</v>
      </c>
      <c r="D43" s="80" t="s">
        <v>48</v>
      </c>
      <c r="E43" s="78" t="s">
        <v>10</v>
      </c>
      <c r="G43" s="62">
        <f>IF($E43="Labour",Assumptions!$B$14,)</f>
        <v>0</v>
      </c>
      <c r="H43" s="9" t="str">
        <f t="shared" si="0"/>
        <v>$</v>
      </c>
      <c r="J43" s="81"/>
      <c r="K43" s="81">
        <v>126750</v>
      </c>
      <c r="L43" s="81"/>
      <c r="M43" s="81"/>
      <c r="N43" s="81"/>
      <c r="P43" s="5">
        <f>IF($E43="Labour",$G43*J43,J43)</f>
        <v>0</v>
      </c>
      <c r="Q43" s="5">
        <f>IF($E43="Labour",$G43*K43,K43)</f>
        <v>126750</v>
      </c>
      <c r="R43" s="5">
        <f>IF($E43="Labour",$G43*L43,L43)</f>
        <v>0</v>
      </c>
      <c r="S43" s="5">
        <f>IF($E43="Labour",$G43*M43,M43)</f>
        <v>0</v>
      </c>
      <c r="T43" s="5">
        <f>IF($E43="Labour",$G43*N43,N43)</f>
        <v>0</v>
      </c>
    </row>
    <row r="44" spans="1:25" ht="12.75" customHeight="1" x14ac:dyDescent="0.2">
      <c r="A44" s="4"/>
      <c r="C44" s="79" t="s">
        <v>61</v>
      </c>
      <c r="D44" s="80" t="s">
        <v>48</v>
      </c>
      <c r="E44" s="78" t="s">
        <v>11</v>
      </c>
      <c r="G44" s="62">
        <f>IF($E44="Labour",Assumptions!$B$14,)</f>
        <v>0</v>
      </c>
      <c r="H44" s="9" t="str">
        <f t="shared" si="0"/>
        <v>$</v>
      </c>
      <c r="J44" s="81"/>
      <c r="K44" s="81">
        <v>211250</v>
      </c>
      <c r="L44" s="81"/>
      <c r="M44" s="81"/>
      <c r="N44" s="81"/>
      <c r="P44" s="5">
        <f>IF($E44="Labour",$G44*J44,J44)</f>
        <v>0</v>
      </c>
      <c r="Q44" s="5">
        <f>IF($E44="Labour",$G44*K44,K44)</f>
        <v>211250</v>
      </c>
      <c r="R44" s="5">
        <f>IF($E44="Labour",$G44*L44,L44)</f>
        <v>0</v>
      </c>
      <c r="S44" s="5">
        <f>IF($E44="Labour",$G44*M44,M44)</f>
        <v>0</v>
      </c>
      <c r="T44" s="5">
        <f>IF($E44="Labour",$G44*N44,N44)</f>
        <v>0</v>
      </c>
    </row>
    <row r="45" spans="1:25" ht="12.75" customHeight="1" x14ac:dyDescent="0.2">
      <c r="A45" s="4"/>
      <c r="C45" s="79" t="s">
        <v>62</v>
      </c>
      <c r="D45" s="80" t="s">
        <v>48</v>
      </c>
      <c r="E45" s="78" t="s">
        <v>9</v>
      </c>
      <c r="G45" s="62">
        <f>IF($E45="Labour",Assumptions!$B$14,)</f>
        <v>145.77740895836223</v>
      </c>
      <c r="H45" s="9" t="str">
        <f t="shared" si="0"/>
        <v>Hours</v>
      </c>
      <c r="J45" s="81">
        <f>150000/G45</f>
        <v>1028.9660179297318</v>
      </c>
      <c r="K45" s="81">
        <f>1312500/G45</f>
        <v>9003.4526568851543</v>
      </c>
      <c r="L45" s="81">
        <f>150486/G45</f>
        <v>1032.2998678278241</v>
      </c>
      <c r="M45" s="81">
        <f>1500000/G45</f>
        <v>10289.660179297318</v>
      </c>
      <c r="N45" s="81">
        <f>150486/G45</f>
        <v>1032.2998678278241</v>
      </c>
      <c r="P45" s="5">
        <f>IF($E45="Labour",$G45*J45,J45)</f>
        <v>150000</v>
      </c>
      <c r="Q45" s="5">
        <f>IF($E45="Labour",$G45*K45,K45)</f>
        <v>1312500</v>
      </c>
      <c r="R45" s="5">
        <f>IF($E45="Labour",$G45*L45,L45)</f>
        <v>150486</v>
      </c>
      <c r="S45" s="5">
        <f>IF($E45="Labour",$G45*M45,M45)</f>
        <v>1500000</v>
      </c>
      <c r="T45" s="5">
        <f>IF($E45="Labour",$G45*N45,N45)</f>
        <v>150486</v>
      </c>
    </row>
    <row r="46" spans="1:25" ht="12.75" customHeight="1" x14ac:dyDescent="0.2">
      <c r="A46" s="4"/>
      <c r="C46" s="79" t="s">
        <v>62</v>
      </c>
      <c r="D46" s="80" t="s">
        <v>48</v>
      </c>
      <c r="E46" s="78" t="s">
        <v>10</v>
      </c>
      <c r="G46" s="62">
        <f>IF($E46="Labour",Assumptions!$B$14,)</f>
        <v>0</v>
      </c>
      <c r="H46" s="9" t="str">
        <f t="shared" si="0"/>
        <v>$</v>
      </c>
      <c r="J46" s="81">
        <v>10000</v>
      </c>
      <c r="K46" s="81">
        <v>87500</v>
      </c>
      <c r="L46" s="81">
        <v>10000</v>
      </c>
      <c r="M46" s="81">
        <v>100000</v>
      </c>
      <c r="N46" s="81">
        <v>10000</v>
      </c>
      <c r="P46" s="5">
        <f>IF($E46="Labour",$G46*J46,J46)</f>
        <v>10000</v>
      </c>
      <c r="Q46" s="5">
        <f>IF($E46="Labour",$G46*K46,K46)</f>
        <v>87500</v>
      </c>
      <c r="R46" s="5">
        <f>IF($E46="Labour",$G46*L46,L46)</f>
        <v>10000</v>
      </c>
      <c r="S46" s="5">
        <f>IF($E46="Labour",$G46*M46,M46)</f>
        <v>100000</v>
      </c>
      <c r="T46" s="5">
        <f>IF($E46="Labour",$G46*N46,N46)</f>
        <v>10000</v>
      </c>
    </row>
    <row r="47" spans="1:25" ht="12.75" customHeight="1" x14ac:dyDescent="0.2">
      <c r="A47" s="4"/>
      <c r="C47" s="79" t="s">
        <v>62</v>
      </c>
      <c r="D47" s="80" t="s">
        <v>48</v>
      </c>
      <c r="E47" s="78" t="s">
        <v>11</v>
      </c>
      <c r="G47" s="62">
        <f>IF($E47="Labour",Assumptions!$B$14,)</f>
        <v>0</v>
      </c>
      <c r="H47" s="9" t="str">
        <f t="shared" si="0"/>
        <v>$</v>
      </c>
      <c r="J47" s="81">
        <v>40000</v>
      </c>
      <c r="K47" s="81">
        <v>350000</v>
      </c>
      <c r="L47" s="81">
        <v>40000</v>
      </c>
      <c r="M47" s="81">
        <v>400000</v>
      </c>
      <c r="N47" s="81">
        <v>40000</v>
      </c>
      <c r="P47" s="5">
        <f>IF($E47="Labour",$G47*J47,J47)</f>
        <v>40000</v>
      </c>
      <c r="Q47" s="5">
        <f>IF($E47="Labour",$G47*K47,K47)</f>
        <v>350000</v>
      </c>
      <c r="R47" s="5">
        <f>IF($E47="Labour",$G47*L47,L47)</f>
        <v>40000</v>
      </c>
      <c r="S47" s="5">
        <f>IF($E47="Labour",$G47*M47,M47)</f>
        <v>400000</v>
      </c>
      <c r="T47" s="5">
        <f>IF($E47="Labour",$G47*N47,N47)</f>
        <v>40000</v>
      </c>
    </row>
    <row r="48" spans="1:25" ht="12.75" customHeight="1" x14ac:dyDescent="0.2">
      <c r="A48" s="4"/>
      <c r="C48" s="79" t="s">
        <v>70</v>
      </c>
      <c r="D48" s="80" t="s">
        <v>48</v>
      </c>
      <c r="E48" s="78" t="s">
        <v>9</v>
      </c>
      <c r="G48" s="62">
        <f>IF($E48="Labour",Assumptions!$B$14,)</f>
        <v>145.77740895836223</v>
      </c>
      <c r="H48" s="9" t="str">
        <f t="shared" si="0"/>
        <v>Hours</v>
      </c>
      <c r="J48" s="81">
        <f>1065442/G48</f>
        <v>7308.6907471672621</v>
      </c>
      <c r="K48" s="81"/>
      <c r="L48" s="81"/>
      <c r="M48" s="81"/>
      <c r="N48" s="81"/>
      <c r="P48" s="5">
        <f>IF($E48="Labour",$G48*J48,J48)</f>
        <v>1065442</v>
      </c>
      <c r="Q48" s="5">
        <f>IF($E48="Labour",$G48*K48,K48)</f>
        <v>0</v>
      </c>
      <c r="R48" s="5">
        <f>IF($E48="Labour",$G48*L48,L48)</f>
        <v>0</v>
      </c>
      <c r="S48" s="5">
        <f>IF($E48="Labour",$G48*M48,M48)</f>
        <v>0</v>
      </c>
      <c r="T48" s="5">
        <f>IF($E48="Labour",$G48*N48,N48)</f>
        <v>0</v>
      </c>
    </row>
    <row r="49" spans="1:25" ht="12.75" customHeight="1" x14ac:dyDescent="0.2">
      <c r="A49" s="4"/>
      <c r="C49" s="79" t="s">
        <v>70</v>
      </c>
      <c r="D49" s="80" t="s">
        <v>48</v>
      </c>
      <c r="E49" s="78" t="s">
        <v>10</v>
      </c>
      <c r="G49" s="62">
        <f>IF($E49="Labour",Assumptions!$B$14,)</f>
        <v>0</v>
      </c>
      <c r="H49" s="9" t="str">
        <f t="shared" si="0"/>
        <v>$</v>
      </c>
      <c r="J49" s="81">
        <v>27241</v>
      </c>
      <c r="K49" s="81"/>
      <c r="L49" s="81"/>
      <c r="M49" s="81"/>
      <c r="N49" s="81"/>
      <c r="P49" s="5">
        <f>IF($E49="Labour",$G49*J49,J49)</f>
        <v>27241</v>
      </c>
      <c r="Q49" s="5">
        <f>IF($E49="Labour",$G49*K49,K49)</f>
        <v>0</v>
      </c>
      <c r="R49" s="5">
        <f>IF($E49="Labour",$G49*L49,L49)</f>
        <v>0</v>
      </c>
      <c r="S49" s="5">
        <f>IF($E49="Labour",$G49*M49,M49)</f>
        <v>0</v>
      </c>
      <c r="T49" s="5">
        <f>IF($E49="Labour",$G49*N49,N49)</f>
        <v>0</v>
      </c>
    </row>
    <row r="50" spans="1:25" ht="12.75" customHeight="1" x14ac:dyDescent="0.2">
      <c r="A50" s="4"/>
      <c r="C50" s="79" t="s">
        <v>70</v>
      </c>
      <c r="D50" s="80" t="s">
        <v>48</v>
      </c>
      <c r="E50" s="78" t="s">
        <v>11</v>
      </c>
      <c r="G50" s="62">
        <f>IF($E50="Labour",Assumptions!$B$14,)</f>
        <v>0</v>
      </c>
      <c r="H50" s="9" t="str">
        <f t="shared" si="0"/>
        <v>$</v>
      </c>
      <c r="J50" s="81">
        <v>11316</v>
      </c>
      <c r="K50" s="81"/>
      <c r="L50" s="81"/>
      <c r="M50" s="81"/>
      <c r="N50" s="81"/>
      <c r="P50" s="5">
        <f>IF($E50="Labour",$G50*J50,J50)</f>
        <v>11316</v>
      </c>
      <c r="Q50" s="5">
        <f>IF($E50="Labour",$G50*K50,K50)</f>
        <v>0</v>
      </c>
      <c r="R50" s="5">
        <f>IF($E50="Labour",$G50*L50,L50)</f>
        <v>0</v>
      </c>
      <c r="S50" s="5">
        <f>IF($E50="Labour",$G50*M50,M50)</f>
        <v>0</v>
      </c>
      <c r="T50" s="5">
        <f>IF($E50="Labour",$G50*N50,N50)</f>
        <v>0</v>
      </c>
    </row>
    <row r="51" spans="1:25" ht="12.75" customHeight="1" x14ac:dyDescent="0.2">
      <c r="A51" s="4"/>
      <c r="C51" s="79" t="s">
        <v>71</v>
      </c>
      <c r="D51" s="80" t="s">
        <v>48</v>
      </c>
      <c r="E51" s="78" t="s">
        <v>9</v>
      </c>
      <c r="G51" s="62">
        <f>IF($E51="Labour",Assumptions!$B$14,)</f>
        <v>145.77740895836223</v>
      </c>
      <c r="H51" s="9" t="str">
        <f t="shared" si="0"/>
        <v>Hours</v>
      </c>
      <c r="J51" s="81">
        <f>877551/G51</f>
        <v>6019.8010533350271</v>
      </c>
      <c r="K51" s="81"/>
      <c r="L51" s="81"/>
      <c r="M51" s="81"/>
      <c r="N51" s="81"/>
      <c r="P51" s="5">
        <f>IF($E51="Labour",$G51*J51,J51)</f>
        <v>877551</v>
      </c>
      <c r="Q51" s="5">
        <f>IF($E51="Labour",$G51*K51,K51)</f>
        <v>0</v>
      </c>
      <c r="R51" s="5">
        <f>IF($E51="Labour",$G51*L51,L51)</f>
        <v>0</v>
      </c>
      <c r="S51" s="5">
        <f>IF($E51="Labour",$G51*M51,M51)</f>
        <v>0</v>
      </c>
      <c r="T51" s="5">
        <f>IF($E51="Labour",$G51*N51,N51)</f>
        <v>0</v>
      </c>
    </row>
    <row r="52" spans="1:25" ht="12.75" customHeight="1" x14ac:dyDescent="0.2">
      <c r="A52" s="4"/>
      <c r="C52" s="79" t="s">
        <v>71</v>
      </c>
      <c r="D52" s="80" t="s">
        <v>48</v>
      </c>
      <c r="E52" s="78" t="s">
        <v>10</v>
      </c>
      <c r="G52" s="62">
        <f>IF($E52="Labour",Assumptions!$B$14,)</f>
        <v>0</v>
      </c>
      <c r="H52" s="9" t="str">
        <f t="shared" si="0"/>
        <v>$</v>
      </c>
      <c r="J52" s="81">
        <v>108627</v>
      </c>
      <c r="K52" s="81"/>
      <c r="L52" s="81"/>
      <c r="M52" s="81"/>
      <c r="N52" s="81"/>
      <c r="P52" s="5">
        <f>IF($E52="Labour",$G52*J52,J52)</f>
        <v>108627</v>
      </c>
      <c r="Q52" s="5">
        <f>IF($E52="Labour",$G52*K52,K52)</f>
        <v>0</v>
      </c>
      <c r="R52" s="5">
        <f>IF($E52="Labour",$G52*L52,L52)</f>
        <v>0</v>
      </c>
      <c r="S52" s="5">
        <f>IF($E52="Labour",$G52*M52,M52)</f>
        <v>0</v>
      </c>
      <c r="T52" s="5">
        <f>IF($E52="Labour",$G52*N52,N52)</f>
        <v>0</v>
      </c>
    </row>
    <row r="53" spans="1:25" ht="12.75" customHeight="1" x14ac:dyDescent="0.2">
      <c r="A53" s="4"/>
      <c r="C53" s="79" t="s">
        <v>71</v>
      </c>
      <c r="D53" s="80" t="s">
        <v>48</v>
      </c>
      <c r="E53" s="78" t="s">
        <v>11</v>
      </c>
      <c r="G53" s="62">
        <f>IF($E53="Labour",Assumptions!$B$14,)</f>
        <v>0</v>
      </c>
      <c r="H53" s="9" t="str">
        <f t="shared" si="0"/>
        <v>$</v>
      </c>
      <c r="J53" s="81">
        <v>117823</v>
      </c>
      <c r="K53" s="81"/>
      <c r="L53" s="81"/>
      <c r="M53" s="81"/>
      <c r="N53" s="81"/>
      <c r="P53" s="5">
        <f>IF($E53="Labour",$G53*J53,J53)</f>
        <v>117823</v>
      </c>
      <c r="Q53" s="5">
        <f>IF($E53="Labour",$G53*K53,K53)</f>
        <v>0</v>
      </c>
      <c r="R53" s="5">
        <f>IF($E53="Labour",$G53*L53,L53)</f>
        <v>0</v>
      </c>
      <c r="S53" s="5">
        <f>IF($E53="Labour",$G53*M53,M53)</f>
        <v>0</v>
      </c>
      <c r="T53" s="5">
        <f>IF($E53="Labour",$G53*N53,N53)</f>
        <v>0</v>
      </c>
    </row>
    <row r="54" spans="1:25" ht="12.75" customHeight="1" x14ac:dyDescent="0.2">
      <c r="A54" s="4"/>
      <c r="C54" s="79"/>
      <c r="D54" s="80"/>
      <c r="E54" s="78"/>
      <c r="G54" s="62">
        <f>IF($E54="Labour",Assumptions!$B$14,)</f>
        <v>0</v>
      </c>
      <c r="H54" s="9" t="str">
        <f t="shared" si="0"/>
        <v>$</v>
      </c>
      <c r="J54" s="81"/>
      <c r="K54" s="81"/>
      <c r="L54" s="81"/>
      <c r="M54" s="81"/>
      <c r="N54" s="81"/>
      <c r="P54" s="5">
        <f>IF($E54="Labour",$G54*J54,J54)</f>
        <v>0</v>
      </c>
      <c r="Q54" s="5">
        <f>IF($E54="Labour",$G54*K54,K54)</f>
        <v>0</v>
      </c>
      <c r="R54" s="5">
        <f>IF($E54="Labour",$G54*L54,L54)</f>
        <v>0</v>
      </c>
      <c r="S54" s="5">
        <f>IF($E54="Labour",$G54*M54,M54)</f>
        <v>0</v>
      </c>
      <c r="T54" s="5">
        <f>IF($E54="Labour",$G54*N54,N54)</f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63</v>
      </c>
      <c r="F57" s="2"/>
      <c r="I57" s="2"/>
      <c r="O57" s="2"/>
      <c r="P57" s="67" t="s">
        <v>4</v>
      </c>
      <c r="Q57" s="67" t="s">
        <v>5</v>
      </c>
      <c r="R57" s="67" t="s">
        <v>6</v>
      </c>
      <c r="S57" s="67" t="s">
        <v>7</v>
      </c>
      <c r="T57" s="67" t="s">
        <v>8</v>
      </c>
      <c r="U57" s="67" t="s">
        <v>0</v>
      </c>
      <c r="Y57"/>
    </row>
    <row r="58" spans="1:25" ht="12.75" customHeight="1" x14ac:dyDescent="0.2">
      <c r="C58" s="24" t="s">
        <v>9</v>
      </c>
      <c r="D58" s="24" t="s">
        <v>48</v>
      </c>
      <c r="E58" s="24"/>
      <c r="F58" s="2"/>
      <c r="G58" s="64"/>
      <c r="H58" s="65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7891313</v>
      </c>
      <c r="Q58" s="25">
        <f t="shared" ref="Q58:T60" si="1">SUMIFS(Q$10:Q$54,$E$10:$E$54,$C58,$D$10:$D$54,$D58)</f>
        <v>9684677</v>
      </c>
      <c r="R58" s="25">
        <f t="shared" si="1"/>
        <v>5164521</v>
      </c>
      <c r="S58" s="25">
        <f t="shared" si="1"/>
        <v>7739750</v>
      </c>
      <c r="T58" s="25">
        <f t="shared" si="1"/>
        <v>5167878</v>
      </c>
      <c r="U58" s="69">
        <f>SUM(P58:T58)</f>
        <v>35648139</v>
      </c>
    </row>
    <row r="59" spans="1:25" ht="12.75" customHeight="1" x14ac:dyDescent="0.2">
      <c r="C59" s="1" t="s">
        <v>10</v>
      </c>
      <c r="D59" s="1" t="s">
        <v>48</v>
      </c>
      <c r="F59" s="2"/>
      <c r="G59" s="66"/>
      <c r="I59" s="2"/>
      <c r="O59" s="2"/>
      <c r="P59" s="6">
        <f t="shared" ref="P59:P60" si="2">SUMIFS(P$10:P$54,$E$10:$E$54,$C59,$D$10:$D$54,$D59)</f>
        <v>813368</v>
      </c>
      <c r="Q59" s="6">
        <f t="shared" si="1"/>
        <v>902349.41</v>
      </c>
      <c r="R59" s="6">
        <f t="shared" si="1"/>
        <v>302500</v>
      </c>
      <c r="S59" s="6">
        <f t="shared" si="1"/>
        <v>737500</v>
      </c>
      <c r="T59" s="6">
        <f t="shared" si="1"/>
        <v>860650</v>
      </c>
      <c r="U59" s="70">
        <f t="shared" ref="U59:U64" si="3">SUM(P59:T59)</f>
        <v>3616367.41</v>
      </c>
    </row>
    <row r="60" spans="1:25" ht="12.75" customHeight="1" x14ac:dyDescent="0.2">
      <c r="C60" s="1" t="s">
        <v>11</v>
      </c>
      <c r="D60" s="1" t="s">
        <v>48</v>
      </c>
      <c r="F60" s="2"/>
      <c r="G60" s="66"/>
      <c r="I60" s="2"/>
      <c r="O60" s="2"/>
      <c r="P60" s="6">
        <f t="shared" si="2"/>
        <v>1949099.9456</v>
      </c>
      <c r="Q60" s="6">
        <f t="shared" si="1"/>
        <v>1971928.15</v>
      </c>
      <c r="R60" s="6">
        <f t="shared" si="1"/>
        <v>1178855</v>
      </c>
      <c r="S60" s="6">
        <f t="shared" si="1"/>
        <v>1967750</v>
      </c>
      <c r="T60" s="6">
        <f t="shared" si="1"/>
        <v>1890350</v>
      </c>
      <c r="U60" s="70">
        <f t="shared" si="3"/>
        <v>8957983.0955999997</v>
      </c>
    </row>
    <row r="61" spans="1:25" ht="12.75" customHeight="1" x14ac:dyDescent="0.2">
      <c r="C61" s="21" t="s">
        <v>12</v>
      </c>
      <c r="D61" s="21" t="s">
        <v>48</v>
      </c>
      <c r="E61" s="100"/>
      <c r="F61" s="102"/>
      <c r="G61" s="101"/>
      <c r="H61" s="103"/>
      <c r="I61" s="102"/>
      <c r="J61" s="100"/>
      <c r="K61" s="100"/>
      <c r="L61" s="100"/>
      <c r="M61" s="100"/>
      <c r="N61" s="100"/>
      <c r="O61" s="102"/>
      <c r="P61" s="22">
        <f>SUM(P58:P60)</f>
        <v>10653780.945599999</v>
      </c>
      <c r="Q61" s="22">
        <f t="shared" ref="Q61:U61" si="4">SUM(Q58:Q60)</f>
        <v>12558954.560000001</v>
      </c>
      <c r="R61" s="22">
        <f t="shared" si="4"/>
        <v>6645876</v>
      </c>
      <c r="S61" s="22">
        <f t="shared" si="4"/>
        <v>10445000</v>
      </c>
      <c r="T61" s="22">
        <f t="shared" si="4"/>
        <v>7918878</v>
      </c>
      <c r="U61" s="22">
        <f t="shared" si="4"/>
        <v>48222489.505599998</v>
      </c>
    </row>
    <row r="62" spans="1:25" ht="12.75" customHeight="1" x14ac:dyDescent="0.2">
      <c r="C62" s="1" t="s">
        <v>9</v>
      </c>
      <c r="D62" s="1" t="s">
        <v>45</v>
      </c>
      <c r="F62" s="2"/>
      <c r="G62" s="66"/>
      <c r="I62" s="2"/>
      <c r="O62" s="2"/>
      <c r="P62" s="6">
        <f t="shared" ref="P62:T64" si="5">SUMIFS(P$10:P$54,$E$10:$E$54,$C62,$D$10:$D$54,$D62)</f>
        <v>0</v>
      </c>
      <c r="Q62" s="6">
        <f t="shared" si="5"/>
        <v>0</v>
      </c>
      <c r="R62" s="6">
        <f t="shared" si="5"/>
        <v>0</v>
      </c>
      <c r="S62" s="6">
        <f t="shared" si="5"/>
        <v>0</v>
      </c>
      <c r="T62" s="6">
        <f t="shared" si="5"/>
        <v>0</v>
      </c>
      <c r="U62" s="70">
        <f t="shared" si="3"/>
        <v>0</v>
      </c>
    </row>
    <row r="63" spans="1:25" ht="12.75" customHeight="1" x14ac:dyDescent="0.2">
      <c r="C63" s="1" t="s">
        <v>10</v>
      </c>
      <c r="D63" s="1" t="s">
        <v>45</v>
      </c>
      <c r="F63" s="2"/>
      <c r="G63" s="66"/>
      <c r="I63" s="2"/>
      <c r="O63" s="2"/>
      <c r="P63" s="6">
        <f t="shared" si="5"/>
        <v>0</v>
      </c>
      <c r="Q63" s="6">
        <f t="shared" si="5"/>
        <v>0</v>
      </c>
      <c r="R63" s="6">
        <f t="shared" si="5"/>
        <v>0</v>
      </c>
      <c r="S63" s="6">
        <f t="shared" si="5"/>
        <v>0</v>
      </c>
      <c r="T63" s="6">
        <f t="shared" si="5"/>
        <v>0</v>
      </c>
      <c r="U63" s="70">
        <f t="shared" si="3"/>
        <v>0</v>
      </c>
    </row>
    <row r="64" spans="1:25" ht="12.75" customHeight="1" x14ac:dyDescent="0.2">
      <c r="C64" s="1" t="s">
        <v>11</v>
      </c>
      <c r="D64" s="1" t="s">
        <v>45</v>
      </c>
      <c r="F64" s="2"/>
      <c r="G64" s="66"/>
      <c r="I64" s="2"/>
      <c r="O64" s="2"/>
      <c r="P64" s="6">
        <f t="shared" si="5"/>
        <v>0</v>
      </c>
      <c r="Q64" s="6">
        <f t="shared" si="5"/>
        <v>0</v>
      </c>
      <c r="R64" s="6">
        <f t="shared" si="5"/>
        <v>0</v>
      </c>
      <c r="S64" s="6">
        <f t="shared" si="5"/>
        <v>0</v>
      </c>
      <c r="T64" s="6">
        <f t="shared" si="5"/>
        <v>0</v>
      </c>
      <c r="U64" s="70">
        <f t="shared" si="3"/>
        <v>0</v>
      </c>
    </row>
    <row r="65" spans="3:22" ht="12.75" customHeight="1" x14ac:dyDescent="0.2">
      <c r="C65" s="21" t="s">
        <v>13</v>
      </c>
      <c r="D65" s="21" t="s">
        <v>45</v>
      </c>
      <c r="E65" s="100"/>
      <c r="F65" s="102"/>
      <c r="G65" s="101"/>
      <c r="H65" s="103"/>
      <c r="I65" s="102"/>
      <c r="J65" s="100"/>
      <c r="K65" s="100"/>
      <c r="L65" s="100"/>
      <c r="M65" s="100"/>
      <c r="N65" s="100"/>
      <c r="O65" s="102"/>
      <c r="P65" s="22">
        <f>SUM(P62:P64)</f>
        <v>0</v>
      </c>
      <c r="Q65" s="22">
        <f t="shared" ref="Q65:U65" si="6">SUM(Q62:Q64)</f>
        <v>0</v>
      </c>
      <c r="R65" s="22">
        <f t="shared" si="6"/>
        <v>0</v>
      </c>
      <c r="S65" s="22">
        <f t="shared" si="6"/>
        <v>0</v>
      </c>
      <c r="T65" s="22">
        <f t="shared" si="6"/>
        <v>0</v>
      </c>
      <c r="U65" s="22">
        <f t="shared" si="6"/>
        <v>0</v>
      </c>
    </row>
    <row r="66" spans="3:22" ht="12.75" customHeight="1" x14ac:dyDescent="0.2">
      <c r="F66" s="2"/>
      <c r="G66" s="66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64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10653780.945599999</v>
      </c>
      <c r="Q67" s="8">
        <f t="shared" ref="Q67:T67" si="7">Q61+Q65</f>
        <v>12558954.560000001</v>
      </c>
      <c r="R67" s="8">
        <f t="shared" si="7"/>
        <v>6645876</v>
      </c>
      <c r="S67" s="8">
        <f t="shared" si="7"/>
        <v>10445000</v>
      </c>
      <c r="T67" s="8">
        <f t="shared" si="7"/>
        <v>7918878</v>
      </c>
      <c r="U67" s="71">
        <f t="shared" ref="U67" si="8">SUM(P67:T67)</f>
        <v>48222489.505599998</v>
      </c>
    </row>
    <row r="68" spans="3:22" ht="12.75" customHeight="1" x14ac:dyDescent="0.2">
      <c r="C68" s="45" t="s">
        <v>65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9">Q67-SUM(Q$10:Q$54)</f>
        <v>0</v>
      </c>
      <c r="R68" s="46">
        <f t="shared" si="9"/>
        <v>0</v>
      </c>
      <c r="S68" s="46">
        <f t="shared" si="9"/>
        <v>0</v>
      </c>
      <c r="T68" s="46">
        <f t="shared" si="9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4" t="str">
        <f>"NPV ($ "&amp;Assumptions!$B$12&amp;")"</f>
        <v>NPV ($ June 2024)</v>
      </c>
      <c r="D70" s="55">
        <f>NPV(Real_Discount_rate,P67:T67)</f>
        <v>43781322.864087492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66</v>
      </c>
      <c r="F73" s="2"/>
      <c r="I73" s="2"/>
      <c r="O73" s="2"/>
      <c r="P73" s="67" t="s">
        <v>4</v>
      </c>
      <c r="Q73" s="67" t="s">
        <v>5</v>
      </c>
      <c r="R73" s="67" t="s">
        <v>6</v>
      </c>
      <c r="S73" s="67" t="s">
        <v>7</v>
      </c>
      <c r="T73" s="67" t="s">
        <v>8</v>
      </c>
      <c r="U73" s="67" t="s">
        <v>0</v>
      </c>
    </row>
    <row r="74" spans="3:22" ht="12.75" customHeight="1" x14ac:dyDescent="0.2">
      <c r="C74" s="24" t="s">
        <v>9</v>
      </c>
      <c r="D74" s="24" t="s">
        <v>48</v>
      </c>
      <c r="E74" s="24"/>
      <c r="F74" s="2"/>
      <c r="G74" s="64"/>
      <c r="H74" s="65"/>
      <c r="I74" s="2"/>
      <c r="J74" s="24"/>
      <c r="K74" s="24"/>
      <c r="L74" s="24"/>
      <c r="M74" s="24"/>
      <c r="N74" s="24"/>
      <c r="O74" s="2"/>
      <c r="P74" s="25">
        <f t="shared" ref="P74:T76" si="10">P58*business_case_dollars</f>
        <v>8782342.034531692</v>
      </c>
      <c r="Q74" s="25">
        <f t="shared" si="10"/>
        <v>10778199.509759946</v>
      </c>
      <c r="R74" s="25">
        <f t="shared" si="10"/>
        <v>5747660.7335840883</v>
      </c>
      <c r="S74" s="25">
        <f t="shared" si="10"/>
        <v>8613665.6551028527</v>
      </c>
      <c r="T74" s="25">
        <f t="shared" si="10"/>
        <v>5751396.7813381087</v>
      </c>
      <c r="U74" s="69">
        <f>SUM(P74:T74)</f>
        <v>39673264.714316688</v>
      </c>
    </row>
    <row r="75" spans="3:22" ht="12.75" customHeight="1" x14ac:dyDescent="0.2">
      <c r="C75" s="1" t="s">
        <v>10</v>
      </c>
      <c r="D75" s="1" t="s">
        <v>48</v>
      </c>
      <c r="F75" s="2"/>
      <c r="G75" s="66"/>
      <c r="I75" s="2"/>
      <c r="O75" s="2"/>
      <c r="P75" s="6">
        <f t="shared" si="10"/>
        <v>905207.53339057439</v>
      </c>
      <c r="Q75" s="6">
        <f t="shared" si="10"/>
        <v>1004236.0698755545</v>
      </c>
      <c r="R75" s="6">
        <f t="shared" si="10"/>
        <v>336656.07554102049</v>
      </c>
      <c r="S75" s="6">
        <f t="shared" si="10"/>
        <v>820773.07673224004</v>
      </c>
      <c r="T75" s="6">
        <f t="shared" si="10"/>
        <v>957828.26913844387</v>
      </c>
      <c r="U75" s="70">
        <f t="shared" ref="U75:U76" si="11">SUM(P75:T75)</f>
        <v>4024701.0246778331</v>
      </c>
    </row>
    <row r="76" spans="3:22" ht="12.75" customHeight="1" x14ac:dyDescent="0.2">
      <c r="C76" s="1" t="s">
        <v>11</v>
      </c>
      <c r="D76" s="1" t="s">
        <v>48</v>
      </c>
      <c r="F76" s="2"/>
      <c r="G76" s="66"/>
      <c r="I76" s="2"/>
      <c r="O76" s="2"/>
      <c r="P76" s="6">
        <f t="shared" si="10"/>
        <v>2169177.9785881406</v>
      </c>
      <c r="Q76" s="6">
        <f t="shared" si="10"/>
        <v>2194583.7759598834</v>
      </c>
      <c r="R76" s="6">
        <f t="shared" si="10"/>
        <v>1311962.6377914369</v>
      </c>
      <c r="S76" s="6">
        <f t="shared" si="10"/>
        <v>2189933.8599862577</v>
      </c>
      <c r="T76" s="6">
        <f t="shared" si="10"/>
        <v>2103794.4211536134</v>
      </c>
      <c r="U76" s="70">
        <f t="shared" si="11"/>
        <v>9969452.6734793335</v>
      </c>
    </row>
    <row r="77" spans="3:22" ht="12.75" customHeight="1" x14ac:dyDescent="0.2">
      <c r="C77" s="21" t="s">
        <v>12</v>
      </c>
      <c r="D77" s="21" t="s">
        <v>48</v>
      </c>
      <c r="E77" s="100"/>
      <c r="F77" s="102"/>
      <c r="G77" s="101"/>
      <c r="H77" s="103"/>
      <c r="I77" s="102"/>
      <c r="J77" s="100"/>
      <c r="K77" s="100"/>
      <c r="L77" s="100"/>
      <c r="M77" s="100"/>
      <c r="N77" s="100"/>
      <c r="O77" s="102"/>
      <c r="P77" s="22">
        <f>SUM(P74:P76)</f>
        <v>11856727.546510406</v>
      </c>
      <c r="Q77" s="22">
        <f t="shared" ref="Q77:U77" si="12">SUM(Q74:Q76)</f>
        <v>13977019.355595384</v>
      </c>
      <c r="R77" s="22">
        <f t="shared" si="12"/>
        <v>7396279.4469165457</v>
      </c>
      <c r="S77" s="22">
        <f t="shared" si="12"/>
        <v>11624372.59182135</v>
      </c>
      <c r="T77" s="22">
        <f t="shared" si="12"/>
        <v>8813019.4716301672</v>
      </c>
      <c r="U77" s="22">
        <f t="shared" si="12"/>
        <v>53667418.412473857</v>
      </c>
    </row>
    <row r="78" spans="3:22" ht="12.75" customHeight="1" x14ac:dyDescent="0.2">
      <c r="C78" s="1" t="s">
        <v>9</v>
      </c>
      <c r="D78" s="1" t="s">
        <v>45</v>
      </c>
      <c r="F78" s="2"/>
      <c r="G78" s="66"/>
      <c r="I78" s="2"/>
      <c r="O78" s="2"/>
      <c r="P78" s="25">
        <f t="shared" ref="P78:T80" si="13">P62*business_case_dollars</f>
        <v>0</v>
      </c>
      <c r="Q78" s="25">
        <f t="shared" si="13"/>
        <v>0</v>
      </c>
      <c r="R78" s="25">
        <f t="shared" si="13"/>
        <v>0</v>
      </c>
      <c r="S78" s="25">
        <f t="shared" si="13"/>
        <v>0</v>
      </c>
      <c r="T78" s="25">
        <f t="shared" si="13"/>
        <v>0</v>
      </c>
      <c r="U78" s="69">
        <f>SUM(P78:T78)</f>
        <v>0</v>
      </c>
    </row>
    <row r="79" spans="3:22" ht="12.75" customHeight="1" x14ac:dyDescent="0.2">
      <c r="C79" s="1" t="s">
        <v>10</v>
      </c>
      <c r="D79" s="1" t="s">
        <v>45</v>
      </c>
      <c r="F79" s="2"/>
      <c r="G79" s="66"/>
      <c r="I79" s="2"/>
      <c r="O79" s="2"/>
      <c r="P79" s="6">
        <f t="shared" si="13"/>
        <v>0</v>
      </c>
      <c r="Q79" s="6">
        <f t="shared" si="13"/>
        <v>0</v>
      </c>
      <c r="R79" s="6">
        <f t="shared" si="13"/>
        <v>0</v>
      </c>
      <c r="S79" s="6">
        <f t="shared" si="13"/>
        <v>0</v>
      </c>
      <c r="T79" s="6">
        <f t="shared" si="13"/>
        <v>0</v>
      </c>
      <c r="U79" s="70">
        <f t="shared" ref="U79:U80" si="14">SUM(P79:T79)</f>
        <v>0</v>
      </c>
    </row>
    <row r="80" spans="3:22" ht="12.75" customHeight="1" x14ac:dyDescent="0.2">
      <c r="C80" s="1" t="s">
        <v>11</v>
      </c>
      <c r="D80" s="1" t="s">
        <v>45</v>
      </c>
      <c r="F80" s="2"/>
      <c r="G80" s="66"/>
      <c r="I80" s="2"/>
      <c r="O80" s="2"/>
      <c r="P80" s="6">
        <f t="shared" si="13"/>
        <v>0</v>
      </c>
      <c r="Q80" s="6">
        <f t="shared" si="13"/>
        <v>0</v>
      </c>
      <c r="R80" s="6">
        <f t="shared" si="13"/>
        <v>0</v>
      </c>
      <c r="S80" s="6">
        <f t="shared" si="13"/>
        <v>0</v>
      </c>
      <c r="T80" s="6">
        <f t="shared" si="13"/>
        <v>0</v>
      </c>
      <c r="U80" s="70">
        <f t="shared" si="14"/>
        <v>0</v>
      </c>
    </row>
    <row r="81" spans="3:22" ht="12.75" customHeight="1" x14ac:dyDescent="0.2">
      <c r="C81" s="21" t="s">
        <v>13</v>
      </c>
      <c r="D81" s="21" t="s">
        <v>45</v>
      </c>
      <c r="E81" s="100"/>
      <c r="F81" s="102"/>
      <c r="G81" s="101"/>
      <c r="H81" s="103"/>
      <c r="I81" s="102"/>
      <c r="J81" s="100"/>
      <c r="K81" s="100"/>
      <c r="L81" s="100"/>
      <c r="M81" s="100"/>
      <c r="N81" s="100"/>
      <c r="O81" s="102"/>
      <c r="P81" s="22">
        <f>SUM(P78:P80)</f>
        <v>0</v>
      </c>
      <c r="Q81" s="22">
        <f t="shared" ref="Q81:U81" si="15">SUM(Q78:Q80)</f>
        <v>0</v>
      </c>
      <c r="R81" s="22">
        <f t="shared" si="15"/>
        <v>0</v>
      </c>
      <c r="S81" s="22">
        <f t="shared" si="15"/>
        <v>0</v>
      </c>
      <c r="T81" s="22">
        <f t="shared" si="15"/>
        <v>0</v>
      </c>
      <c r="U81" s="22">
        <f t="shared" si="15"/>
        <v>0</v>
      </c>
    </row>
    <row r="82" spans="3:22" ht="12.75" customHeight="1" x14ac:dyDescent="0.2">
      <c r="F82" s="2"/>
      <c r="G82" s="66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64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11856727.546510406</v>
      </c>
      <c r="Q83" s="8">
        <f t="shared" ref="Q83:T83" si="16">Q77+Q81</f>
        <v>13977019.355595384</v>
      </c>
      <c r="R83" s="8">
        <f t="shared" si="16"/>
        <v>7396279.4469165457</v>
      </c>
      <c r="S83" s="8">
        <f t="shared" si="16"/>
        <v>11624372.59182135</v>
      </c>
      <c r="T83" s="8">
        <f t="shared" si="16"/>
        <v>8813019.4716301672</v>
      </c>
      <c r="U83" s="71">
        <f t="shared" ref="U83" si="17">SUM(P83:T83)</f>
        <v>53667418.412473857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4" t="str">
        <f>"NPV ($ "&amp;Assumptions!$C$35&amp;")"</f>
        <v>NPV ($ June 2026)</v>
      </c>
      <c r="D85" s="55">
        <f>NPV(Real_Discount_rate,P83:T83)</f>
        <v>48724787.892291062</v>
      </c>
      <c r="F85" s="2"/>
      <c r="I85" s="2"/>
      <c r="O85" s="2"/>
      <c r="P85" s="51"/>
      <c r="Q85" s="51"/>
      <c r="R85" s="51"/>
      <c r="S85" s="51"/>
      <c r="T85" s="51"/>
    </row>
  </sheetData>
  <conditionalFormatting sqref="G10:G54">
    <cfRule type="expression" dxfId="13" priority="6">
      <formula>$E10="Contracts"</formula>
    </cfRule>
    <cfRule type="expression" dxfId="12" priority="7">
      <formula>$E10="Materials"</formula>
    </cfRule>
    <cfRule type="expression" dxfId="11" priority="8">
      <formula>$E10="Labour"</formula>
    </cfRule>
  </conditionalFormatting>
  <conditionalFormatting sqref="P68:U68">
    <cfRule type="expression" dxfId="10" priority="1">
      <formula>ABS(P68)&gt;0.001</formula>
    </cfRule>
  </conditionalFormatting>
  <conditionalFormatting sqref="P84:U84">
    <cfRule type="expression" dxfId="9" priority="2">
      <formula>ABS(P84)&gt;0.001</formula>
    </cfRule>
  </conditionalFormatting>
  <conditionalFormatting sqref="V68">
    <cfRule type="expression" dxfId="8" priority="12">
      <formula>ABS(V68)&gt;0.001</formula>
    </cfRule>
  </conditionalFormatting>
  <conditionalFormatting sqref="V84">
    <cfRule type="expression" dxfId="7" priority="3">
      <formula>ABS(V84)&gt;0.001</formula>
    </cfRule>
  </conditionalFormatting>
  <dataValidations count="2">
    <dataValidation type="list" allowBlank="1" showInputMessage="1" showErrorMessage="1" sqref="E10:E54" xr:uid="{B30C51E7-6CCB-4165-857D-6C68F6D5B597}">
      <formula1>"Labour, Materials, Contracts"</formula1>
    </dataValidation>
    <dataValidation type="list" allowBlank="1" showInputMessage="1" showErrorMessage="1" sqref="D10:D54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85"/>
  <sheetViews>
    <sheetView showGridLines="0" topLeftCell="A49" zoomScale="90" zoomScaleNormal="90" workbookViewId="0">
      <pane xSplit="3" topLeftCell="D1" activePane="topRight" state="frozen"/>
      <selection activeCell="E23" sqref="E23"/>
      <selection pane="topRight" activeCell="P77" sqref="P77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Network management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16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39</v>
      </c>
      <c r="D7" s="63" t="s">
        <v>40</v>
      </c>
      <c r="E7" s="63" t="s">
        <v>41</v>
      </c>
      <c r="F7" s="16"/>
      <c r="G7" s="107" t="s">
        <v>9</v>
      </c>
      <c r="H7" s="19" t="s">
        <v>42</v>
      </c>
      <c r="J7" s="19" t="s">
        <v>43</v>
      </c>
      <c r="K7" s="20"/>
      <c r="L7" s="20"/>
      <c r="M7" s="20"/>
      <c r="N7" s="20"/>
      <c r="P7" s="19" t="s">
        <v>44</v>
      </c>
      <c r="Q7" s="20"/>
      <c r="R7" s="20"/>
      <c r="S7" s="20"/>
      <c r="T7" s="20"/>
    </row>
    <row r="8" spans="1:25" ht="12.75" customHeight="1" x14ac:dyDescent="0.2">
      <c r="A8" s="4"/>
      <c r="B8" s="4"/>
      <c r="C8" s="98"/>
      <c r="D8" s="98" t="s">
        <v>45</v>
      </c>
      <c r="E8" s="98"/>
      <c r="F8" s="16"/>
      <c r="G8" s="108" t="s">
        <v>46</v>
      </c>
      <c r="H8" s="4"/>
      <c r="J8" s="50" t="s">
        <v>4</v>
      </c>
      <c r="K8" s="50" t="s">
        <v>5</v>
      </c>
      <c r="L8" s="50" t="s">
        <v>6</v>
      </c>
      <c r="M8" s="50" t="s">
        <v>7</v>
      </c>
      <c r="N8" s="50" t="s">
        <v>8</v>
      </c>
      <c r="P8" s="50" t="s">
        <v>4</v>
      </c>
      <c r="Q8" s="50" t="s">
        <v>5</v>
      </c>
      <c r="R8" s="50" t="s">
        <v>6</v>
      </c>
      <c r="S8" s="50" t="s">
        <v>7</v>
      </c>
      <c r="T8" s="50" t="s">
        <v>8</v>
      </c>
    </row>
    <row r="9" spans="1:25" ht="12.75" customHeight="1" x14ac:dyDescent="0.2">
      <c r="F9" s="16"/>
    </row>
    <row r="10" spans="1:25" ht="12.75" customHeight="1" x14ac:dyDescent="0.2">
      <c r="A10" s="4"/>
      <c r="C10" s="79" t="s">
        <v>47</v>
      </c>
      <c r="D10" s="80" t="s">
        <v>48</v>
      </c>
      <c r="E10" s="78" t="s">
        <v>9</v>
      </c>
      <c r="F10" s="2"/>
      <c r="G10" s="62">
        <f>IF($E10="Labour",Assumptions!$B$14,)</f>
        <v>145.77740895836223</v>
      </c>
      <c r="H10" s="9" t="str">
        <f>IF($E10="Labour","Hours","$")</f>
        <v>Hours</v>
      </c>
      <c r="I10" s="2"/>
      <c r="J10" s="81"/>
      <c r="K10" s="81">
        <f>2248521/G10</f>
        <v>15424.34466400919</v>
      </c>
      <c r="L10" s="81"/>
      <c r="M10" s="81">
        <v>15474.288277601765</v>
      </c>
      <c r="N10" s="81"/>
      <c r="O10" s="2"/>
      <c r="P10" s="5">
        <f>IF($E10="Labour",$G10*J10,J10)</f>
        <v>0</v>
      </c>
      <c r="Q10" s="5">
        <f>IF($E10="Labour",$G10*K10,K10)</f>
        <v>2248521</v>
      </c>
      <c r="R10" s="5">
        <f>IF($E10="Labour",$G10*L10,L10)</f>
        <v>0</v>
      </c>
      <c r="S10" s="5">
        <f>IF($E10="Labour",$G10*M10,M10)</f>
        <v>2255801.6505835433</v>
      </c>
      <c r="T10" s="5">
        <f>IF($E10="Labour",$G10*N10,N10)</f>
        <v>0</v>
      </c>
    </row>
    <row r="11" spans="1:25" ht="12.75" customHeight="1" x14ac:dyDescent="0.2">
      <c r="A11" s="4"/>
      <c r="C11" s="79" t="s">
        <v>47</v>
      </c>
      <c r="D11" s="80" t="s">
        <v>48</v>
      </c>
      <c r="E11" s="78" t="s">
        <v>10</v>
      </c>
      <c r="F11" s="2"/>
      <c r="G11" s="62">
        <f>IF($E11="Labour",Assumptions!$B$14,)</f>
        <v>0</v>
      </c>
      <c r="H11" s="9" t="str">
        <f t="shared" ref="H11:H54" si="0">IF($E11="Labour","Hours","$")</f>
        <v>$</v>
      </c>
      <c r="I11" s="2"/>
      <c r="J11" s="81"/>
      <c r="K11" s="81">
        <v>127757</v>
      </c>
      <c r="L11" s="81"/>
      <c r="M11" s="81">
        <v>127757</v>
      </c>
      <c r="N11" s="81"/>
      <c r="O11" s="2"/>
      <c r="P11" s="5">
        <f>IF($E11="Labour",$G11*J11,J11)</f>
        <v>0</v>
      </c>
      <c r="Q11" s="5">
        <f>IF($E11="Labour",$G11*K11,K11)</f>
        <v>127757</v>
      </c>
      <c r="R11" s="5">
        <f>IF($E11="Labour",$G11*L11,L11)</f>
        <v>0</v>
      </c>
      <c r="S11" s="5">
        <f>IF($E11="Labour",$G11*M11,M11)</f>
        <v>127757</v>
      </c>
      <c r="T11" s="5">
        <f>IF($E11="Labour",$G11*N11,N11)</f>
        <v>0</v>
      </c>
    </row>
    <row r="12" spans="1:25" ht="12.75" customHeight="1" x14ac:dyDescent="0.2">
      <c r="A12" s="4"/>
      <c r="C12" s="79" t="s">
        <v>47</v>
      </c>
      <c r="D12" s="80" t="s">
        <v>48</v>
      </c>
      <c r="E12" s="78" t="s">
        <v>11</v>
      </c>
      <c r="F12" s="2"/>
      <c r="G12" s="62">
        <f>IF($E12="Labour",Assumptions!$B$14,)</f>
        <v>0</v>
      </c>
      <c r="H12" s="9" t="str">
        <f t="shared" si="0"/>
        <v>$</v>
      </c>
      <c r="I12" s="2"/>
      <c r="J12" s="81"/>
      <c r="K12" s="81">
        <v>178860</v>
      </c>
      <c r="L12" s="81"/>
      <c r="M12" s="81">
        <v>178860</v>
      </c>
      <c r="N12" s="81"/>
      <c r="O12" s="2"/>
      <c r="P12" s="5">
        <f>IF($E12="Labour",$G12*J12,J12)</f>
        <v>0</v>
      </c>
      <c r="Q12" s="5">
        <f>IF($E12="Labour",$G12*K12,K12)</f>
        <v>178860</v>
      </c>
      <c r="R12" s="5">
        <f>IF($E12="Labour",$G12*L12,L12)</f>
        <v>0</v>
      </c>
      <c r="S12" s="5">
        <f>IF($E12="Labour",$G12*M12,M12)</f>
        <v>178860</v>
      </c>
      <c r="T12" s="5">
        <f>IF($E12="Labour",$G12*N12,N12)</f>
        <v>0</v>
      </c>
    </row>
    <row r="13" spans="1:25" ht="12.75" customHeight="1" x14ac:dyDescent="0.25">
      <c r="A13" s="4"/>
      <c r="C13" s="79" t="s">
        <v>49</v>
      </c>
      <c r="D13" s="80" t="s">
        <v>48</v>
      </c>
      <c r="E13" s="78" t="s">
        <v>9</v>
      </c>
      <c r="F13" s="2"/>
      <c r="G13" s="62">
        <f>IF($E13="Labour",Assumptions!$B$14,)</f>
        <v>145.77740895836223</v>
      </c>
      <c r="H13" s="9" t="str">
        <f t="shared" si="0"/>
        <v>Hours</v>
      </c>
      <c r="I13" s="2"/>
      <c r="J13" s="81">
        <f>488314/$G13</f>
        <v>3349.7234138622603</v>
      </c>
      <c r="K13" s="81"/>
      <c r="L13" s="81"/>
      <c r="M13" s="81"/>
      <c r="N13" s="81"/>
      <c r="O13" s="2"/>
      <c r="P13" s="5">
        <f>IF($E13="Labour",$G13*J13,J13)</f>
        <v>488313.99999999994</v>
      </c>
      <c r="Q13" s="5">
        <f>IF($E13="Labour",$G13*K13,K13)</f>
        <v>0</v>
      </c>
      <c r="R13" s="5">
        <f>IF($E13="Labour",$G13*L13,L13)</f>
        <v>0</v>
      </c>
      <c r="S13" s="5">
        <f>IF($E13="Labour",$G13*M13,M13)</f>
        <v>0</v>
      </c>
      <c r="T13" s="5">
        <f>IF($E13="Labour",$G13*N13,N13)</f>
        <v>0</v>
      </c>
      <c r="Y13"/>
    </row>
    <row r="14" spans="1:25" ht="12.75" customHeight="1" x14ac:dyDescent="0.25">
      <c r="A14" s="4"/>
      <c r="C14" s="79" t="s">
        <v>50</v>
      </c>
      <c r="D14" s="80" t="s">
        <v>48</v>
      </c>
      <c r="E14" s="78" t="s">
        <v>9</v>
      </c>
      <c r="F14" s="2"/>
      <c r="G14" s="62">
        <f>IF($E14="Labour",Assumptions!$B$14,)</f>
        <v>145.77740895836223</v>
      </c>
      <c r="H14" s="9" t="str">
        <f t="shared" si="0"/>
        <v>Hours</v>
      </c>
      <c r="I14" s="2"/>
      <c r="J14" s="81">
        <f>1080000/G14</f>
        <v>7408.5553290940688</v>
      </c>
      <c r="K14" s="81">
        <f>1620000/G14</f>
        <v>11112.832993641105</v>
      </c>
      <c r="L14" s="81">
        <f>3240000/$G14</f>
        <v>22225.665987282209</v>
      </c>
      <c r="M14" s="81">
        <f>3240000/$G14</f>
        <v>22225.665987282209</v>
      </c>
      <c r="N14" s="81"/>
      <c r="O14" s="2"/>
      <c r="P14" s="5">
        <f>IF($E14="Labour",$G14*J14,J14)</f>
        <v>1080000</v>
      </c>
      <c r="Q14" s="5">
        <f>IF($E14="Labour",$G14*K14,K14)</f>
        <v>1620000.0000000002</v>
      </c>
      <c r="R14" s="5">
        <f>IF($E14="Labour",$G14*L14,L14)</f>
        <v>3240000.0000000005</v>
      </c>
      <c r="S14" s="5">
        <f>IF($E14="Labour",$G14*M14,M14)</f>
        <v>3240000.0000000005</v>
      </c>
      <c r="T14" s="5">
        <f>IF($E14="Labour",$G14*N14,N14)</f>
        <v>0</v>
      </c>
      <c r="Y14"/>
    </row>
    <row r="15" spans="1:25" ht="12.75" customHeight="1" x14ac:dyDescent="0.25">
      <c r="A15" s="4"/>
      <c r="C15" s="79" t="s">
        <v>50</v>
      </c>
      <c r="D15" s="80" t="s">
        <v>48</v>
      </c>
      <c r="E15" s="78" t="s">
        <v>11</v>
      </c>
      <c r="F15" s="2"/>
      <c r="G15" s="62">
        <f>IF($E15="Labour",Assumptions!$B$14,)</f>
        <v>0</v>
      </c>
      <c r="H15" s="9" t="str">
        <f t="shared" si="0"/>
        <v>$</v>
      </c>
      <c r="I15" s="2"/>
      <c r="J15" s="81">
        <v>120000</v>
      </c>
      <c r="K15" s="81">
        <v>180000</v>
      </c>
      <c r="L15" s="81">
        <v>360000</v>
      </c>
      <c r="M15" s="81">
        <v>360000</v>
      </c>
      <c r="N15" s="81"/>
      <c r="O15" s="2"/>
      <c r="P15" s="5">
        <f>IF($E15="Labour",$G15*J15,J15)</f>
        <v>120000</v>
      </c>
      <c r="Q15" s="5">
        <f>IF($E15="Labour",$G15*K15,K15)</f>
        <v>180000</v>
      </c>
      <c r="R15" s="5">
        <f>IF($E15="Labour",$G15*L15,L15)</f>
        <v>360000</v>
      </c>
      <c r="S15" s="5">
        <f>IF($E15="Labour",$G15*M15,M15)</f>
        <v>360000</v>
      </c>
      <c r="T15" s="5">
        <f>IF($E15="Labour",$G15*N15,N15)</f>
        <v>0</v>
      </c>
      <c r="Y15"/>
    </row>
    <row r="16" spans="1:25" ht="12.75" customHeight="1" x14ac:dyDescent="0.25">
      <c r="A16" s="4"/>
      <c r="C16" s="79" t="s">
        <v>51</v>
      </c>
      <c r="D16" s="80" t="s">
        <v>48</v>
      </c>
      <c r="E16" s="78" t="s">
        <v>9</v>
      </c>
      <c r="F16" s="2"/>
      <c r="G16" s="62">
        <f>IF($E16="Labour",Assumptions!$B$14,)</f>
        <v>145.77740895836223</v>
      </c>
      <c r="H16" s="9" t="str">
        <f t="shared" si="0"/>
        <v>Hours</v>
      </c>
      <c r="I16" s="2"/>
      <c r="J16" s="81">
        <f>701142/$G16</f>
        <v>4809.6752782885869</v>
      </c>
      <c r="K16" s="81"/>
      <c r="L16" s="81">
        <f>701142/$G16</f>
        <v>4809.6752782885869</v>
      </c>
      <c r="M16" s="81"/>
      <c r="N16" s="81">
        <f>701142/$G16</f>
        <v>4809.6752782885869</v>
      </c>
      <c r="O16" s="2"/>
      <c r="P16" s="5">
        <f>IF($E16="Labour",$G16*J16,J16)</f>
        <v>701142</v>
      </c>
      <c r="Q16" s="5">
        <f>IF($E16="Labour",$G16*K16,K16)</f>
        <v>0</v>
      </c>
      <c r="R16" s="5">
        <f>IF($E16="Labour",$G16*L16,L16)</f>
        <v>701142</v>
      </c>
      <c r="S16" s="5">
        <f>IF($E16="Labour",$G16*M16,M16)</f>
        <v>0</v>
      </c>
      <c r="T16" s="5">
        <f>IF($E16="Labour",$G16*N16,N16)</f>
        <v>701142</v>
      </c>
      <c r="Y16"/>
    </row>
    <row r="17" spans="1:25" ht="12.75" customHeight="1" x14ac:dyDescent="0.25">
      <c r="A17" s="4"/>
      <c r="C17" s="79" t="s">
        <v>51</v>
      </c>
      <c r="D17" s="80" t="s">
        <v>48</v>
      </c>
      <c r="E17" s="78" t="s">
        <v>11</v>
      </c>
      <c r="F17" s="2"/>
      <c r="G17" s="62">
        <f>IF($E17="Labour",Assumptions!$B$14,)</f>
        <v>0</v>
      </c>
      <c r="H17" s="9" t="str">
        <f t="shared" si="0"/>
        <v>$</v>
      </c>
      <c r="I17" s="2"/>
      <c r="J17" s="81">
        <v>259326.56735999993</v>
      </c>
      <c r="K17" s="81"/>
      <c r="L17" s="81">
        <v>259326.56735999993</v>
      </c>
      <c r="M17" s="81"/>
      <c r="N17" s="81">
        <v>259326.56735999993</v>
      </c>
      <c r="O17" s="2"/>
      <c r="P17" s="5">
        <f>IF($E17="Labour",$G17*J17,J17)</f>
        <v>259326.56735999993</v>
      </c>
      <c r="Q17" s="5">
        <f>IF($E17="Labour",$G17*K17,K17)</f>
        <v>0</v>
      </c>
      <c r="R17" s="5">
        <f>IF($E17="Labour",$G17*L17,L17)</f>
        <v>259326.56735999993</v>
      </c>
      <c r="S17" s="5">
        <f>IF($E17="Labour",$G17*M17,M17)</f>
        <v>0</v>
      </c>
      <c r="T17" s="5">
        <f>IF($E17="Labour",$G17*N17,N17)</f>
        <v>259326.56735999993</v>
      </c>
      <c r="Y17"/>
    </row>
    <row r="18" spans="1:25" ht="12.75" customHeight="1" x14ac:dyDescent="0.25">
      <c r="A18" s="4"/>
      <c r="C18" s="79" t="s">
        <v>52</v>
      </c>
      <c r="D18" s="80" t="s">
        <v>48</v>
      </c>
      <c r="E18" s="78" t="s">
        <v>9</v>
      </c>
      <c r="F18" s="2"/>
      <c r="G18" s="62">
        <f>IF($E18="Labour",Assumptions!$B$14,)</f>
        <v>145.77740895836223</v>
      </c>
      <c r="H18" s="9" t="str">
        <f t="shared" si="0"/>
        <v>Hours</v>
      </c>
      <c r="I18" s="2"/>
      <c r="J18" s="81">
        <f>400000/$G18</f>
        <v>2743.9093811459516</v>
      </c>
      <c r="K18" s="81"/>
      <c r="L18" s="81">
        <f>400000/$G18</f>
        <v>2743.9093811459516</v>
      </c>
      <c r="M18" s="81"/>
      <c r="N18" s="81">
        <f>400000/$G18</f>
        <v>2743.9093811459516</v>
      </c>
      <c r="O18" s="2"/>
      <c r="P18" s="5">
        <f>IF($E18="Labour",$G18*J18,J18)</f>
        <v>400000</v>
      </c>
      <c r="Q18" s="5">
        <f>IF($E18="Labour",$G18*K18,K18)</f>
        <v>0</v>
      </c>
      <c r="R18" s="5">
        <f>IF($E18="Labour",$G18*L18,L18)</f>
        <v>400000</v>
      </c>
      <c r="S18" s="5">
        <f>IF($E18="Labour",$G18*M18,M18)</f>
        <v>0</v>
      </c>
      <c r="T18" s="5">
        <f>IF($E18="Labour",$G18*N18,N18)</f>
        <v>400000</v>
      </c>
      <c r="Y18"/>
    </row>
    <row r="19" spans="1:25" ht="12.75" customHeight="1" x14ac:dyDescent="0.25">
      <c r="A19" s="4"/>
      <c r="C19" s="79" t="s">
        <v>53</v>
      </c>
      <c r="D19" s="80" t="s">
        <v>48</v>
      </c>
      <c r="E19" s="78" t="s">
        <v>9</v>
      </c>
      <c r="F19" s="2"/>
      <c r="G19" s="62">
        <f>IF($E19="Labour",Assumptions!$B$14,)</f>
        <v>145.77740895836223</v>
      </c>
      <c r="H19" s="9" t="str">
        <f t="shared" si="0"/>
        <v>Hours</v>
      </c>
      <c r="I19" s="2"/>
      <c r="J19" s="81">
        <f>25200/$G19</f>
        <v>172.86629101219495</v>
      </c>
      <c r="K19" s="81">
        <f>25200/$G19</f>
        <v>172.86629101219495</v>
      </c>
      <c r="L19" s="81">
        <f>25200/$G19</f>
        <v>172.86629101219495</v>
      </c>
      <c r="M19" s="81">
        <f>25200/$G19</f>
        <v>172.86629101219495</v>
      </c>
      <c r="N19" s="81">
        <f>25200/$G19</f>
        <v>172.86629101219495</v>
      </c>
      <c r="O19" s="2"/>
      <c r="P19" s="5">
        <f>IF($E19="Labour",$G19*J19,J19)</f>
        <v>25200</v>
      </c>
      <c r="Q19" s="5">
        <f>IF($E19="Labour",$G19*K19,K19)</f>
        <v>25200</v>
      </c>
      <c r="R19" s="5">
        <f>IF($E19="Labour",$G19*L19,L19)</f>
        <v>25200</v>
      </c>
      <c r="S19" s="5">
        <f>IF($E19="Labour",$G19*M19,M19)</f>
        <v>25200</v>
      </c>
      <c r="T19" s="5">
        <f>IF($E19="Labour",$G19*N19,N19)</f>
        <v>25200</v>
      </c>
      <c r="Y19"/>
    </row>
    <row r="20" spans="1:25" ht="12.75" customHeight="1" x14ac:dyDescent="0.25">
      <c r="A20" s="4"/>
      <c r="C20" s="79" t="s">
        <v>53</v>
      </c>
      <c r="D20" s="80" t="s">
        <v>48</v>
      </c>
      <c r="E20" s="78" t="s">
        <v>11</v>
      </c>
      <c r="F20" s="2"/>
      <c r="G20" s="62">
        <f>IF($E20="Labour",Assumptions!$B$14,)</f>
        <v>0</v>
      </c>
      <c r="H20" s="9" t="str">
        <f t="shared" si="0"/>
        <v>$</v>
      </c>
      <c r="I20" s="2"/>
      <c r="J20" s="81">
        <v>58800</v>
      </c>
      <c r="K20" s="81">
        <v>58800</v>
      </c>
      <c r="L20" s="81">
        <v>58800</v>
      </c>
      <c r="M20" s="81">
        <v>58800</v>
      </c>
      <c r="N20" s="81">
        <v>58800</v>
      </c>
      <c r="O20" s="2"/>
      <c r="P20" s="5">
        <f>IF($E20="Labour",$G20*J20,J20)</f>
        <v>58800</v>
      </c>
      <c r="Q20" s="5">
        <f>IF($E20="Labour",$G20*K20,K20)</f>
        <v>58800</v>
      </c>
      <c r="R20" s="5">
        <f>IF($E20="Labour",$G20*L20,L20)</f>
        <v>58800</v>
      </c>
      <c r="S20" s="5">
        <f>IF($E20="Labour",$G20*M20,M20)</f>
        <v>58800</v>
      </c>
      <c r="T20" s="5">
        <f>IF($E20="Labour",$G20*N20,N20)</f>
        <v>58800</v>
      </c>
      <c r="Y20"/>
    </row>
    <row r="21" spans="1:25" ht="12.75" customHeight="1" x14ac:dyDescent="0.25">
      <c r="A21" s="4"/>
      <c r="C21" s="79" t="s">
        <v>54</v>
      </c>
      <c r="D21" s="80" t="s">
        <v>48</v>
      </c>
      <c r="E21" s="78" t="s">
        <v>9</v>
      </c>
      <c r="F21" s="2"/>
      <c r="G21" s="62">
        <f>IF($E21="Labour",Assumptions!$B$14,)</f>
        <v>145.77740895836223</v>
      </c>
      <c r="H21" s="9" t="str">
        <f t="shared" si="0"/>
        <v>Hours</v>
      </c>
      <c r="I21" s="2"/>
      <c r="J21" s="81">
        <v>932.92918958962355</v>
      </c>
      <c r="K21" s="81"/>
      <c r="L21" s="81">
        <f>J21</f>
        <v>932.92918958962355</v>
      </c>
      <c r="M21" s="81"/>
      <c r="N21" s="81">
        <f>L21</f>
        <v>932.92918958962355</v>
      </c>
      <c r="O21" s="2"/>
      <c r="P21" s="5">
        <f>IF($E21="Labour",$G21*J21,J21)</f>
        <v>136000</v>
      </c>
      <c r="Q21" s="5">
        <f>IF($E21="Labour",$G21*K21,K21)</f>
        <v>0</v>
      </c>
      <c r="R21" s="5">
        <f>IF($E21="Labour",$G21*L21,L21)</f>
        <v>136000</v>
      </c>
      <c r="S21" s="5">
        <f>IF($E21="Labour",$G21*M21,M21)</f>
        <v>0</v>
      </c>
      <c r="T21" s="5">
        <f>IF($E21="Labour",$G21*N21,N21)</f>
        <v>136000</v>
      </c>
      <c r="Y21"/>
    </row>
    <row r="22" spans="1:25" ht="12.75" customHeight="1" x14ac:dyDescent="0.25">
      <c r="A22" s="4"/>
      <c r="C22" s="79" t="s">
        <v>54</v>
      </c>
      <c r="D22" s="80" t="s">
        <v>48</v>
      </c>
      <c r="E22" s="78" t="s">
        <v>10</v>
      </c>
      <c r="F22" s="2"/>
      <c r="G22" s="62">
        <f>IF($E22="Labour",Assumptions!$B$14,)</f>
        <v>0</v>
      </c>
      <c r="H22" s="9" t="str">
        <f t="shared" si="0"/>
        <v>$</v>
      </c>
      <c r="I22" s="2"/>
      <c r="J22" s="81">
        <v>24000</v>
      </c>
      <c r="K22" s="81"/>
      <c r="L22" s="81">
        <f>J22</f>
        <v>24000</v>
      </c>
      <c r="M22" s="81"/>
      <c r="N22" s="81">
        <f>L22</f>
        <v>24000</v>
      </c>
      <c r="O22" s="2"/>
      <c r="P22" s="5">
        <f>IF($E22="Labour",$G22*J22,J22)</f>
        <v>24000</v>
      </c>
      <c r="Q22" s="5">
        <f>IF($E22="Labour",$G22*K22,K22)</f>
        <v>0</v>
      </c>
      <c r="R22" s="5">
        <f>IF($E22="Labour",$G22*L22,L22)</f>
        <v>24000</v>
      </c>
      <c r="S22" s="5">
        <f>IF($E22="Labour",$G22*M22,M22)</f>
        <v>0</v>
      </c>
      <c r="T22" s="5">
        <f>IF($E22="Labour",$G22*N22,N22)</f>
        <v>24000</v>
      </c>
      <c r="Y22"/>
    </row>
    <row r="23" spans="1:25" ht="12.75" customHeight="1" x14ac:dyDescent="0.25">
      <c r="A23" s="4"/>
      <c r="C23" s="79" t="s">
        <v>54</v>
      </c>
      <c r="D23" s="80" t="s">
        <v>48</v>
      </c>
      <c r="E23" s="78" t="s">
        <v>11</v>
      </c>
      <c r="F23" s="2"/>
      <c r="G23" s="62">
        <f>IF($E23="Labour",Assumptions!$B$14,)</f>
        <v>0</v>
      </c>
      <c r="H23" s="9" t="str">
        <f t="shared" si="0"/>
        <v>$</v>
      </c>
      <c r="I23" s="2"/>
      <c r="J23" s="81">
        <v>240000</v>
      </c>
      <c r="K23" s="81"/>
      <c r="L23" s="81">
        <f>J23</f>
        <v>240000</v>
      </c>
      <c r="M23" s="81"/>
      <c r="N23" s="81">
        <f>L23</f>
        <v>240000</v>
      </c>
      <c r="O23" s="2"/>
      <c r="P23" s="5">
        <f>IF($E23="Labour",$G23*J23,J23)</f>
        <v>240000</v>
      </c>
      <c r="Q23" s="5">
        <f>IF($E23="Labour",$G23*K23,K23)</f>
        <v>0</v>
      </c>
      <c r="R23" s="5">
        <f>IF($E23="Labour",$G23*L23,L23)</f>
        <v>240000</v>
      </c>
      <c r="S23" s="5">
        <f>IF($E23="Labour",$G23*M23,M23)</f>
        <v>0</v>
      </c>
      <c r="T23" s="5">
        <f>IF($E23="Labour",$G23*N23,N23)</f>
        <v>240000</v>
      </c>
      <c r="Y23"/>
    </row>
    <row r="24" spans="1:25" ht="12.75" customHeight="1" x14ac:dyDescent="0.25">
      <c r="A24" s="4"/>
      <c r="C24" s="79" t="s">
        <v>67</v>
      </c>
      <c r="D24" s="80" t="s">
        <v>48</v>
      </c>
      <c r="E24" s="78" t="s">
        <v>9</v>
      </c>
      <c r="F24" s="2"/>
      <c r="G24" s="62">
        <f>IF($E24="Labour",Assumptions!$B$14,)</f>
        <v>145.77740895836223</v>
      </c>
      <c r="H24" s="9" t="str">
        <f t="shared" si="0"/>
        <v>Hours</v>
      </c>
      <c r="I24" s="2"/>
      <c r="J24" s="81">
        <f>1462500/$G24</f>
        <v>10032.418674814886</v>
      </c>
      <c r="K24" s="81">
        <f>1462500/$G24</f>
        <v>10032.418674814886</v>
      </c>
      <c r="L24" s="81">
        <f>1462500/$G24</f>
        <v>10032.418674814886</v>
      </c>
      <c r="M24" s="81">
        <f>1462500/$G24</f>
        <v>10032.418674814886</v>
      </c>
      <c r="N24" s="81">
        <f>1462500/$G24</f>
        <v>10032.418674814886</v>
      </c>
      <c r="O24" s="2"/>
      <c r="P24" s="5">
        <f>IF($E24="Labour",$G24*J24,J24)</f>
        <v>1462500</v>
      </c>
      <c r="Q24" s="5">
        <f>IF($E24="Labour",$G24*K24,K24)</f>
        <v>1462500</v>
      </c>
      <c r="R24" s="5">
        <f>IF($E24="Labour",$G24*L24,L24)</f>
        <v>1462500</v>
      </c>
      <c r="S24" s="5">
        <f>IF($E24="Labour",$G24*M24,M24)</f>
        <v>1462500</v>
      </c>
      <c r="T24" s="5">
        <f>IF($E24="Labour",$G24*N24,N24)</f>
        <v>1462500</v>
      </c>
      <c r="Y24"/>
    </row>
    <row r="25" spans="1:25" ht="12.75" customHeight="1" x14ac:dyDescent="0.25">
      <c r="A25" s="4"/>
      <c r="C25" s="79" t="s">
        <v>67</v>
      </c>
      <c r="D25" s="80" t="s">
        <v>48</v>
      </c>
      <c r="E25" s="78" t="s">
        <v>10</v>
      </c>
      <c r="F25" s="2"/>
      <c r="G25" s="62">
        <f>IF($E25="Labour",Assumptions!$B$14,)</f>
        <v>0</v>
      </c>
      <c r="H25" s="9" t="str">
        <f t="shared" si="0"/>
        <v>$</v>
      </c>
      <c r="I25" s="2"/>
      <c r="J25" s="81">
        <v>225000</v>
      </c>
      <c r="K25" s="81">
        <v>225000</v>
      </c>
      <c r="L25" s="81">
        <v>225000</v>
      </c>
      <c r="M25" s="81">
        <v>225000</v>
      </c>
      <c r="N25" s="81">
        <v>225000</v>
      </c>
      <c r="O25" s="2"/>
      <c r="P25" s="5">
        <f>IF($E25="Labour",$G25*J25,J25)</f>
        <v>225000</v>
      </c>
      <c r="Q25" s="5">
        <f>IF($E25="Labour",$G25*K25,K25)</f>
        <v>225000</v>
      </c>
      <c r="R25" s="5">
        <f>IF($E25="Labour",$G25*L25,L25)</f>
        <v>225000</v>
      </c>
      <c r="S25" s="5">
        <f>IF($E25="Labour",$G25*M25,M25)</f>
        <v>225000</v>
      </c>
      <c r="T25" s="5">
        <f>IF($E25="Labour",$G25*N25,N25)</f>
        <v>225000</v>
      </c>
      <c r="Y25"/>
    </row>
    <row r="26" spans="1:25" ht="12.75" customHeight="1" x14ac:dyDescent="0.25">
      <c r="A26" s="4"/>
      <c r="C26" s="79" t="s">
        <v>67</v>
      </c>
      <c r="D26" s="80" t="s">
        <v>48</v>
      </c>
      <c r="E26" s="78" t="s">
        <v>11</v>
      </c>
      <c r="F26" s="2"/>
      <c r="G26" s="62">
        <f>IF($E26="Labour",Assumptions!$B$14,)</f>
        <v>0</v>
      </c>
      <c r="H26" s="9" t="str">
        <f t="shared" si="0"/>
        <v>$</v>
      </c>
      <c r="I26" s="2"/>
      <c r="J26" s="81">
        <v>562500</v>
      </c>
      <c r="K26" s="81">
        <v>562500</v>
      </c>
      <c r="L26" s="81">
        <v>562500</v>
      </c>
      <c r="M26" s="81">
        <v>562500</v>
      </c>
      <c r="N26" s="81">
        <v>562500</v>
      </c>
      <c r="O26" s="2"/>
      <c r="P26" s="5">
        <f>IF($E26="Labour",$G26*J26,J26)</f>
        <v>562500</v>
      </c>
      <c r="Q26" s="5">
        <f>IF($E26="Labour",$G26*K26,K26)</f>
        <v>562500</v>
      </c>
      <c r="R26" s="5">
        <f>IF($E26="Labour",$G26*L26,L26)</f>
        <v>562500</v>
      </c>
      <c r="S26" s="5">
        <f>IF($E26="Labour",$G26*M26,M26)</f>
        <v>562500</v>
      </c>
      <c r="T26" s="5">
        <f>IF($E26="Labour",$G26*N26,N26)</f>
        <v>562500</v>
      </c>
      <c r="Y26"/>
    </row>
    <row r="27" spans="1:25" ht="12.75" customHeight="1" x14ac:dyDescent="0.25">
      <c r="A27" s="4"/>
      <c r="C27" s="79" t="s">
        <v>56</v>
      </c>
      <c r="D27" s="80" t="s">
        <v>48</v>
      </c>
      <c r="E27" s="78" t="s">
        <v>9</v>
      </c>
      <c r="F27" s="2"/>
      <c r="G27" s="62">
        <f>IF($E27="Labour",Assumptions!$B$14,)</f>
        <v>145.77740895836223</v>
      </c>
      <c r="H27" s="9" t="str">
        <f t="shared" si="0"/>
        <v>Hours</v>
      </c>
      <c r="I27" s="2"/>
      <c r="J27" s="81">
        <f>1800000/G27</f>
        <v>12347.592215156781</v>
      </c>
      <c r="K27" s="81"/>
      <c r="L27" s="81"/>
      <c r="M27" s="81">
        <f>2160000/$G24</f>
        <v>14817.110658188138</v>
      </c>
      <c r="N27" s="81">
        <f>2160000/$G24</f>
        <v>14817.110658188138</v>
      </c>
      <c r="O27" s="2"/>
      <c r="P27" s="5">
        <f>IF($E27="Labour",$G27*J27,J27)</f>
        <v>1799999.9999999998</v>
      </c>
      <c r="Q27" s="5">
        <f>IF($E27="Labour",$G27*K27,K27)</f>
        <v>0</v>
      </c>
      <c r="R27" s="5">
        <f>IF($E27="Labour",$G27*L27,L27)</f>
        <v>0</v>
      </c>
      <c r="S27" s="5">
        <f>IF($E27="Labour",$G27*M27,M27)</f>
        <v>2160000</v>
      </c>
      <c r="T27" s="5">
        <f>IF($E27="Labour",$G27*N27,N27)</f>
        <v>2160000</v>
      </c>
      <c r="Y27"/>
    </row>
    <row r="28" spans="1:25" ht="12.75" customHeight="1" x14ac:dyDescent="0.25">
      <c r="A28" s="4"/>
      <c r="C28" s="79" t="s">
        <v>56</v>
      </c>
      <c r="D28" s="80" t="s">
        <v>48</v>
      </c>
      <c r="E28" s="78" t="s">
        <v>10</v>
      </c>
      <c r="F28" s="2"/>
      <c r="G28" s="62">
        <f>IF($E28="Labour",Assumptions!$B$14,)</f>
        <v>0</v>
      </c>
      <c r="H28" s="9" t="str">
        <f t="shared" si="0"/>
        <v>$</v>
      </c>
      <c r="I28" s="2"/>
      <c r="J28" s="81">
        <v>450000</v>
      </c>
      <c r="K28" s="81"/>
      <c r="L28" s="81"/>
      <c r="M28" s="81">
        <v>540000</v>
      </c>
      <c r="N28" s="81">
        <v>540000</v>
      </c>
      <c r="O28" s="2"/>
      <c r="P28" s="5">
        <f>IF($E28="Labour",$G28*J28,J28)</f>
        <v>450000</v>
      </c>
      <c r="Q28" s="5">
        <f>IF($E28="Labour",$G28*K28,K28)</f>
        <v>0</v>
      </c>
      <c r="R28" s="5">
        <f>IF($E28="Labour",$G28*L28,L28)</f>
        <v>0</v>
      </c>
      <c r="S28" s="5">
        <f>IF($E28="Labour",$G28*M28,M28)</f>
        <v>540000</v>
      </c>
      <c r="T28" s="5">
        <f>IF($E28="Labour",$G28*N28,N28)</f>
        <v>540000</v>
      </c>
      <c r="Y28"/>
    </row>
    <row r="29" spans="1:25" ht="12.75" customHeight="1" x14ac:dyDescent="0.25">
      <c r="A29" s="4"/>
      <c r="C29" s="79" t="s">
        <v>56</v>
      </c>
      <c r="D29" s="80" t="s">
        <v>48</v>
      </c>
      <c r="E29" s="78" t="s">
        <v>11</v>
      </c>
      <c r="F29" s="2"/>
      <c r="G29" s="62">
        <f>IF($E29="Labour",Assumptions!$B$14,)</f>
        <v>0</v>
      </c>
      <c r="H29" s="9" t="str">
        <f t="shared" si="0"/>
        <v>$</v>
      </c>
      <c r="I29" s="2"/>
      <c r="J29" s="81">
        <v>750000</v>
      </c>
      <c r="K29" s="81"/>
      <c r="L29" s="81"/>
      <c r="M29" s="81">
        <v>900000</v>
      </c>
      <c r="N29" s="81">
        <v>900000</v>
      </c>
      <c r="O29" s="2"/>
      <c r="P29" s="5">
        <f>IF($E29="Labour",$G29*J29,J29)</f>
        <v>750000</v>
      </c>
      <c r="Q29" s="5">
        <f>IF($E29="Labour",$G29*K29,K29)</f>
        <v>0</v>
      </c>
      <c r="R29" s="5">
        <f>IF($E29="Labour",$G29*L29,L29)</f>
        <v>0</v>
      </c>
      <c r="S29" s="5">
        <f>IF($E29="Labour",$G29*M29,M29)</f>
        <v>900000</v>
      </c>
      <c r="T29" s="5">
        <f>IF($E29="Labour",$G29*N29,N29)</f>
        <v>900000</v>
      </c>
      <c r="Y29"/>
    </row>
    <row r="30" spans="1:25" ht="12.75" customHeight="1" x14ac:dyDescent="0.25">
      <c r="A30" s="4"/>
      <c r="C30" s="79" t="s">
        <v>57</v>
      </c>
      <c r="D30" s="80" t="s">
        <v>48</v>
      </c>
      <c r="E30" s="78" t="s">
        <v>9</v>
      </c>
      <c r="F30" s="2"/>
      <c r="G30" s="62">
        <f>IF($E30="Labour",Assumptions!$B$14,)</f>
        <v>145.77740895836223</v>
      </c>
      <c r="H30" s="9" t="str">
        <f t="shared" si="0"/>
        <v>Hours</v>
      </c>
      <c r="I30" s="2"/>
      <c r="J30" s="81">
        <f>476000/$G30</f>
        <v>3265.2521635636822</v>
      </c>
      <c r="K30" s="81"/>
      <c r="L30" s="81">
        <f>476000/$G30</f>
        <v>3265.2521635636822</v>
      </c>
      <c r="M30" s="81"/>
      <c r="N30" s="81">
        <f>476000/$G30</f>
        <v>3265.2521635636822</v>
      </c>
      <c r="O30" s="2"/>
      <c r="P30" s="5">
        <f>IF($E30="Labour",$G30*J30,J30)</f>
        <v>476000</v>
      </c>
      <c r="Q30" s="5">
        <f>IF($E30="Labour",$G30*K30,K30)</f>
        <v>0</v>
      </c>
      <c r="R30" s="5">
        <f>IF($E30="Labour",$G30*L30,L30)</f>
        <v>476000</v>
      </c>
      <c r="S30" s="5">
        <f>IF($E30="Labour",$G30*M30,M30)</f>
        <v>0</v>
      </c>
      <c r="T30" s="5">
        <f>IF($E30="Labour",$G30*N30,N30)</f>
        <v>476000</v>
      </c>
      <c r="Y30"/>
    </row>
    <row r="31" spans="1:25" ht="12.75" customHeight="1" x14ac:dyDescent="0.25">
      <c r="A31" s="4"/>
      <c r="C31" s="79" t="s">
        <v>57</v>
      </c>
      <c r="D31" s="80" t="s">
        <v>48</v>
      </c>
      <c r="E31" s="78" t="s">
        <v>10</v>
      </c>
      <c r="F31" s="2"/>
      <c r="G31" s="62">
        <f>IF($E31="Labour",Assumptions!$B$14,)</f>
        <v>0</v>
      </c>
      <c r="H31" s="9" t="str">
        <f t="shared" si="0"/>
        <v>$</v>
      </c>
      <c r="I31" s="2"/>
      <c r="J31" s="81">
        <v>102000</v>
      </c>
      <c r="K31" s="81"/>
      <c r="L31" s="81">
        <v>102000</v>
      </c>
      <c r="M31" s="81"/>
      <c r="N31" s="81">
        <v>102000</v>
      </c>
      <c r="O31" s="2"/>
      <c r="P31" s="5">
        <f>IF($E31="Labour",$G31*J31,J31)</f>
        <v>102000</v>
      </c>
      <c r="Q31" s="5">
        <f>IF($E31="Labour",$G31*K31,K31)</f>
        <v>0</v>
      </c>
      <c r="R31" s="5">
        <f>IF($E31="Labour",$G31*L31,L31)</f>
        <v>102000</v>
      </c>
      <c r="S31" s="5">
        <f>IF($E31="Labour",$G31*M31,M31)</f>
        <v>0</v>
      </c>
      <c r="T31" s="5">
        <f>IF($E31="Labour",$G31*N31,N31)</f>
        <v>102000</v>
      </c>
      <c r="Y31"/>
    </row>
    <row r="32" spans="1:25" ht="12.75" customHeight="1" x14ac:dyDescent="0.25">
      <c r="A32" s="4"/>
      <c r="C32" s="79" t="s">
        <v>57</v>
      </c>
      <c r="D32" s="80" t="s">
        <v>48</v>
      </c>
      <c r="E32" s="78" t="s">
        <v>11</v>
      </c>
      <c r="F32" s="2"/>
      <c r="G32" s="62">
        <f>IF($E32="Labour",Assumptions!$B$14,)</f>
        <v>0</v>
      </c>
      <c r="H32" s="9" t="str">
        <f t="shared" si="0"/>
        <v>$</v>
      </c>
      <c r="I32" s="2"/>
      <c r="J32" s="81">
        <v>102000</v>
      </c>
      <c r="K32" s="81"/>
      <c r="L32" s="81">
        <v>102000</v>
      </c>
      <c r="M32" s="81"/>
      <c r="N32" s="81">
        <v>102000</v>
      </c>
      <c r="O32" s="2"/>
      <c r="P32" s="5">
        <f>IF($E32="Labour",$G32*J32,J32)</f>
        <v>102000</v>
      </c>
      <c r="Q32" s="5">
        <f>IF($E32="Labour",$G32*K32,K32)</f>
        <v>0</v>
      </c>
      <c r="R32" s="5">
        <f>IF($E32="Labour",$G32*L32,L32)</f>
        <v>102000</v>
      </c>
      <c r="S32" s="5">
        <f>IF($E32="Labour",$G32*M32,M32)</f>
        <v>0</v>
      </c>
      <c r="T32" s="5">
        <f>IF($E32="Labour",$G32*N32,N32)</f>
        <v>102000</v>
      </c>
      <c r="Y32"/>
    </row>
    <row r="33" spans="1:25" ht="12.75" customHeight="1" x14ac:dyDescent="0.25">
      <c r="A33" s="4"/>
      <c r="C33" s="79" t="s">
        <v>58</v>
      </c>
      <c r="D33" s="80" t="s">
        <v>48</v>
      </c>
      <c r="E33" s="78" t="s">
        <v>9</v>
      </c>
      <c r="F33" s="2"/>
      <c r="G33" s="62">
        <f>IF($E33="Labour",Assumptions!$B$14,)</f>
        <v>145.77740895836223</v>
      </c>
      <c r="H33" s="9" t="str">
        <f t="shared" si="0"/>
        <v>Hours</v>
      </c>
      <c r="I33" s="2"/>
      <c r="J33" s="81">
        <f>588000/$G33</f>
        <v>4033.5467902845489</v>
      </c>
      <c r="K33" s="81"/>
      <c r="L33" s="81"/>
      <c r="M33" s="81"/>
      <c r="N33" s="81"/>
      <c r="O33" s="2"/>
      <c r="P33" s="5">
        <f>IF($E33="Labour",$G33*J33,J33)</f>
        <v>588000</v>
      </c>
      <c r="Q33" s="5">
        <f>IF($E33="Labour",$G33*K33,K33)</f>
        <v>0</v>
      </c>
      <c r="R33" s="5">
        <f>IF($E33="Labour",$G33*L33,L33)</f>
        <v>0</v>
      </c>
      <c r="S33" s="5">
        <f>IF($E33="Labour",$G33*M33,M33)</f>
        <v>0</v>
      </c>
      <c r="T33" s="5">
        <f>IF($E33="Labour",$G33*N33,N33)</f>
        <v>0</v>
      </c>
      <c r="Y33"/>
    </row>
    <row r="34" spans="1:25" ht="12.75" customHeight="1" x14ac:dyDescent="0.25">
      <c r="A34" s="4"/>
      <c r="C34" s="79" t="s">
        <v>58</v>
      </c>
      <c r="D34" s="80" t="s">
        <v>48</v>
      </c>
      <c r="E34" s="78" t="s">
        <v>10</v>
      </c>
      <c r="F34" s="2"/>
      <c r="G34" s="62">
        <f>IF($E34="Labour",Assumptions!$B$14,)</f>
        <v>0</v>
      </c>
      <c r="H34" s="9" t="str">
        <f t="shared" si="0"/>
        <v>$</v>
      </c>
      <c r="I34" s="2"/>
      <c r="J34" s="81">
        <v>126000</v>
      </c>
      <c r="K34" s="81"/>
      <c r="L34" s="81"/>
      <c r="M34" s="81"/>
      <c r="N34" s="81"/>
      <c r="O34" s="2"/>
      <c r="P34" s="5">
        <f>IF($E34="Labour",$G34*J34,J34)</f>
        <v>126000</v>
      </c>
      <c r="Q34" s="5">
        <f>IF($E34="Labour",$G34*K34,K34)</f>
        <v>0</v>
      </c>
      <c r="R34" s="5">
        <f>IF($E34="Labour",$G34*L34,L34)</f>
        <v>0</v>
      </c>
      <c r="S34" s="5">
        <f>IF($E34="Labour",$G34*M34,M34)</f>
        <v>0</v>
      </c>
      <c r="T34" s="5">
        <f>IF($E34="Labour",$G34*N34,N34)</f>
        <v>0</v>
      </c>
      <c r="Y34"/>
    </row>
    <row r="35" spans="1:25" ht="12.75" customHeight="1" x14ac:dyDescent="0.25">
      <c r="A35" s="4"/>
      <c r="C35" s="79" t="s">
        <v>58</v>
      </c>
      <c r="D35" s="80" t="s">
        <v>48</v>
      </c>
      <c r="E35" s="78" t="s">
        <v>11</v>
      </c>
      <c r="F35" s="2"/>
      <c r="G35" s="62">
        <f>IF($E35="Labour",Assumptions!$B$14,)</f>
        <v>0</v>
      </c>
      <c r="H35" s="9" t="str">
        <f t="shared" si="0"/>
        <v>$</v>
      </c>
      <c r="I35" s="2"/>
      <c r="J35" s="81">
        <v>126000</v>
      </c>
      <c r="K35" s="81"/>
      <c r="L35" s="81"/>
      <c r="M35" s="81"/>
      <c r="N35" s="81"/>
      <c r="O35" s="2"/>
      <c r="P35" s="5">
        <f>IF($E35="Labour",$G35*J35,J35)</f>
        <v>126000</v>
      </c>
      <c r="Q35" s="5">
        <f>IF($E35="Labour",$G35*K35,K35)</f>
        <v>0</v>
      </c>
      <c r="R35" s="5">
        <f>IF($E35="Labour",$G35*L35,L35)</f>
        <v>0</v>
      </c>
      <c r="S35" s="5">
        <f>IF($E35="Labour",$G35*M35,M35)</f>
        <v>0</v>
      </c>
      <c r="T35" s="5">
        <f>IF($E35="Labour",$G35*N35,N35)</f>
        <v>0</v>
      </c>
      <c r="Y35"/>
    </row>
    <row r="36" spans="1:25" ht="12.75" customHeight="1" x14ac:dyDescent="0.25">
      <c r="A36" s="4"/>
      <c r="C36" s="79" t="s">
        <v>59</v>
      </c>
      <c r="D36" s="80" t="s">
        <v>48</v>
      </c>
      <c r="E36" s="78" t="s">
        <v>9</v>
      </c>
      <c r="F36" s="2"/>
      <c r="G36" s="62">
        <f>IF($E36="Labour",Assumptions!$B$14,)</f>
        <v>145.77740895836223</v>
      </c>
      <c r="H36" s="9" t="str">
        <f t="shared" si="0"/>
        <v>Hours</v>
      </c>
      <c r="I36" s="2"/>
      <c r="J36" s="81"/>
      <c r="K36" s="81"/>
      <c r="L36" s="81"/>
      <c r="M36" s="81"/>
      <c r="N36" s="81">
        <f>596700/G36</f>
        <v>4093.2268193244731</v>
      </c>
      <c r="O36" s="2"/>
      <c r="P36" s="5">
        <f>IF($E36="Labour",$G36*J36,J36)</f>
        <v>0</v>
      </c>
      <c r="Q36" s="5">
        <f>IF($E36="Labour",$G36*K36,K36)</f>
        <v>0</v>
      </c>
      <c r="R36" s="5">
        <f>IF($E36="Labour",$G36*L36,L36)</f>
        <v>0</v>
      </c>
      <c r="S36" s="5">
        <f>IF($E36="Labour",$G36*M36,M36)</f>
        <v>0</v>
      </c>
      <c r="T36" s="5">
        <f>IF($E36="Labour",$G36*N36,N36)</f>
        <v>596700</v>
      </c>
      <c r="Y36"/>
    </row>
    <row r="37" spans="1:25" ht="12.75" customHeight="1" x14ac:dyDescent="0.25">
      <c r="A37" s="4"/>
      <c r="C37" s="79" t="s">
        <v>59</v>
      </c>
      <c r="D37" s="80" t="s">
        <v>48</v>
      </c>
      <c r="E37" s="78" t="s">
        <v>10</v>
      </c>
      <c r="F37" s="2"/>
      <c r="G37" s="62">
        <f>IF($E37="Labour",Assumptions!$B$14,)</f>
        <v>0</v>
      </c>
      <c r="H37" s="9" t="str">
        <f t="shared" si="0"/>
        <v>$</v>
      </c>
      <c r="I37" s="2"/>
      <c r="J37" s="81"/>
      <c r="K37" s="81"/>
      <c r="L37" s="81"/>
      <c r="M37" s="81"/>
      <c r="N37" s="81">
        <v>39780</v>
      </c>
      <c r="O37" s="2"/>
      <c r="P37" s="5">
        <f>IF($E37="Labour",$G37*J37,J37)</f>
        <v>0</v>
      </c>
      <c r="Q37" s="5">
        <f>IF($E37="Labour",$G37*K37,K37)</f>
        <v>0</v>
      </c>
      <c r="R37" s="5">
        <f>IF($E37="Labour",$G37*L37,L37)</f>
        <v>0</v>
      </c>
      <c r="S37" s="5">
        <f>IF($E37="Labour",$G37*M37,M37)</f>
        <v>0</v>
      </c>
      <c r="T37" s="5">
        <f>IF($E37="Labour",$G37*N37,N37)</f>
        <v>39780</v>
      </c>
      <c r="Y37"/>
    </row>
    <row r="38" spans="1:25" ht="12.75" customHeight="1" x14ac:dyDescent="0.25">
      <c r="A38" s="4"/>
      <c r="C38" s="79" t="s">
        <v>59</v>
      </c>
      <c r="D38" s="80" t="s">
        <v>48</v>
      </c>
      <c r="E38" s="78" t="s">
        <v>11</v>
      </c>
      <c r="F38" s="2"/>
      <c r="G38" s="62">
        <f>IF($E38="Labour",Assumptions!$B$14,)</f>
        <v>0</v>
      </c>
      <c r="H38" s="9" t="str">
        <f t="shared" si="0"/>
        <v>$</v>
      </c>
      <c r="I38" s="2"/>
      <c r="J38" s="81"/>
      <c r="K38" s="81"/>
      <c r="L38" s="81"/>
      <c r="M38" s="81"/>
      <c r="N38" s="81">
        <v>159120</v>
      </c>
      <c r="O38" s="2"/>
      <c r="P38" s="5">
        <f>IF($E38="Labour",$G38*J38,J38)</f>
        <v>0</v>
      </c>
      <c r="Q38" s="5">
        <f>IF($E38="Labour",$G38*K38,K38)</f>
        <v>0</v>
      </c>
      <c r="R38" s="5">
        <f>IF($E38="Labour",$G38*L38,L38)</f>
        <v>0</v>
      </c>
      <c r="S38" s="5">
        <f>IF($E38="Labour",$G38*M38,M38)</f>
        <v>0</v>
      </c>
      <c r="T38" s="5">
        <f>IF($E38="Labour",$G38*N38,N38)</f>
        <v>159120</v>
      </c>
      <c r="Y38"/>
    </row>
    <row r="39" spans="1:25" ht="12.75" customHeight="1" x14ac:dyDescent="0.25">
      <c r="A39" s="4"/>
      <c r="C39" s="79" t="s">
        <v>60</v>
      </c>
      <c r="D39" s="80" t="s">
        <v>48</v>
      </c>
      <c r="E39" s="78" t="s">
        <v>9</v>
      </c>
      <c r="F39" s="2"/>
      <c r="G39" s="62">
        <f>IF($E39="Labour",Assumptions!$B$14,)</f>
        <v>145.77740895836223</v>
      </c>
      <c r="H39" s="9" t="str">
        <f t="shared" si="0"/>
        <v>Hours</v>
      </c>
      <c r="I39" s="2"/>
      <c r="J39" s="81"/>
      <c r="K39" s="81">
        <f>448500/G39</f>
        <v>3076.608393609898</v>
      </c>
      <c r="L39" s="81"/>
      <c r="M39" s="81">
        <f>448500/G39</f>
        <v>3076.608393609898</v>
      </c>
      <c r="N39" s="81"/>
      <c r="O39" s="2"/>
      <c r="P39" s="5">
        <f>IF($E39="Labour",$G39*J39,J39)</f>
        <v>0</v>
      </c>
      <c r="Q39" s="5">
        <f>IF($E39="Labour",$G39*K39,K39)</f>
        <v>448500</v>
      </c>
      <c r="R39" s="5">
        <f>IF($E39="Labour",$G39*L39,L39)</f>
        <v>0</v>
      </c>
      <c r="S39" s="5">
        <f>IF($E39="Labour",$G39*M39,M39)</f>
        <v>448500</v>
      </c>
      <c r="T39" s="5">
        <f>IF($E39="Labour",$G39*N39,N39)</f>
        <v>0</v>
      </c>
      <c r="Y39"/>
    </row>
    <row r="40" spans="1:25" ht="12.75" customHeight="1" x14ac:dyDescent="0.2">
      <c r="A40" s="4"/>
      <c r="C40" s="79" t="s">
        <v>60</v>
      </c>
      <c r="D40" s="80" t="s">
        <v>48</v>
      </c>
      <c r="E40" s="78" t="s">
        <v>10</v>
      </c>
      <c r="G40" s="62">
        <f>IF($E40="Labour",Assumptions!$B$14,)</f>
        <v>0</v>
      </c>
      <c r="H40" s="9" t="str">
        <f t="shared" si="0"/>
        <v>$</v>
      </c>
      <c r="J40" s="81"/>
      <c r="K40" s="81">
        <v>103500</v>
      </c>
      <c r="L40" s="81"/>
      <c r="M40" s="81">
        <v>103500</v>
      </c>
      <c r="N40" s="81"/>
      <c r="P40" s="5">
        <f>IF($E40="Labour",$G40*J40,J40)</f>
        <v>0</v>
      </c>
      <c r="Q40" s="5">
        <f>IF($E40="Labour",$G40*K40,K40)</f>
        <v>103500</v>
      </c>
      <c r="R40" s="5">
        <f>IF($E40="Labour",$G40*L40,L40)</f>
        <v>0</v>
      </c>
      <c r="S40" s="5">
        <f>IF($E40="Labour",$G40*M40,M40)</f>
        <v>103500</v>
      </c>
      <c r="T40" s="5">
        <f>IF($E40="Labour",$G40*N40,N40)</f>
        <v>0</v>
      </c>
    </row>
    <row r="41" spans="1:25" ht="12.75" customHeight="1" x14ac:dyDescent="0.2">
      <c r="A41" s="4"/>
      <c r="C41" s="79" t="s">
        <v>60</v>
      </c>
      <c r="D41" s="80" t="s">
        <v>48</v>
      </c>
      <c r="E41" s="78" t="s">
        <v>11</v>
      </c>
      <c r="G41" s="62">
        <f>IF($E41="Labour",Assumptions!$B$14,)</f>
        <v>0</v>
      </c>
      <c r="H41" s="9" t="str">
        <f t="shared" si="0"/>
        <v>$</v>
      </c>
      <c r="J41" s="81"/>
      <c r="K41" s="81">
        <v>138000</v>
      </c>
      <c r="L41" s="81"/>
      <c r="M41" s="81">
        <v>138000</v>
      </c>
      <c r="N41" s="81"/>
      <c r="P41" s="5">
        <f>IF($E41="Labour",$G41*J41,J41)</f>
        <v>0</v>
      </c>
      <c r="Q41" s="5">
        <f>IF($E41="Labour",$G41*K41,K41)</f>
        <v>138000</v>
      </c>
      <c r="R41" s="5">
        <f>IF($E41="Labour",$G41*L41,L41)</f>
        <v>0</v>
      </c>
      <c r="S41" s="5">
        <f>IF($E41="Labour",$G41*M41,M41)</f>
        <v>138000</v>
      </c>
      <c r="T41" s="5">
        <f>IF($E41="Labour",$G41*N41,N41)</f>
        <v>0</v>
      </c>
    </row>
    <row r="42" spans="1:25" ht="12.75" customHeight="1" x14ac:dyDescent="0.2">
      <c r="A42" s="4"/>
      <c r="C42" s="79" t="s">
        <v>61</v>
      </c>
      <c r="D42" s="80" t="s">
        <v>48</v>
      </c>
      <c r="E42" s="78" t="s">
        <v>9</v>
      </c>
      <c r="G42" s="62">
        <f>IF($E42="Labour",Assumptions!$B$14,)</f>
        <v>145.77740895836223</v>
      </c>
      <c r="H42" s="9" t="str">
        <f t="shared" si="0"/>
        <v>Hours</v>
      </c>
      <c r="J42" s="81">
        <f>202800/$G42</f>
        <v>1391.1620562409973</v>
      </c>
      <c r="K42" s="81"/>
      <c r="L42" s="81">
        <f>202800/$G42</f>
        <v>1391.1620562409973</v>
      </c>
      <c r="M42" s="81"/>
      <c r="N42" s="81">
        <f>202800/$G42</f>
        <v>1391.1620562409973</v>
      </c>
      <c r="P42" s="5">
        <f>IF($E42="Labour",$G42*J42,J42)</f>
        <v>202800</v>
      </c>
      <c r="Q42" s="5">
        <f>IF($E42="Labour",$G42*K42,K42)</f>
        <v>0</v>
      </c>
      <c r="R42" s="5">
        <f>IF($E42="Labour",$G42*L42,L42)</f>
        <v>202800</v>
      </c>
      <c r="S42" s="5">
        <f>IF($E42="Labour",$G42*M42,M42)</f>
        <v>0</v>
      </c>
      <c r="T42" s="5">
        <f>IF($E42="Labour",$G42*N42,N42)</f>
        <v>202800</v>
      </c>
    </row>
    <row r="43" spans="1:25" ht="12.75" customHeight="1" x14ac:dyDescent="0.2">
      <c r="A43" s="4"/>
      <c r="C43" s="79" t="s">
        <v>61</v>
      </c>
      <c r="D43" s="80" t="s">
        <v>48</v>
      </c>
      <c r="E43" s="78" t="s">
        <v>10</v>
      </c>
      <c r="G43" s="62">
        <f>IF($E43="Labour",Assumptions!$B$14,)</f>
        <v>0</v>
      </c>
      <c r="H43" s="9" t="str">
        <f t="shared" si="0"/>
        <v>$</v>
      </c>
      <c r="J43" s="81">
        <v>50700</v>
      </c>
      <c r="K43" s="81"/>
      <c r="L43" s="81">
        <v>50700</v>
      </c>
      <c r="M43" s="81"/>
      <c r="N43" s="81">
        <v>50700</v>
      </c>
      <c r="P43" s="5">
        <f>IF($E43="Labour",$G43*J43,J43)</f>
        <v>50700</v>
      </c>
      <c r="Q43" s="5">
        <f>IF($E43="Labour",$G43*K43,K43)</f>
        <v>0</v>
      </c>
      <c r="R43" s="5">
        <f>IF($E43="Labour",$G43*L43,L43)</f>
        <v>50700</v>
      </c>
      <c r="S43" s="5">
        <f>IF($E43="Labour",$G43*M43,M43)</f>
        <v>0</v>
      </c>
      <c r="T43" s="5">
        <f>IF($E43="Labour",$G43*N43,N43)</f>
        <v>50700</v>
      </c>
    </row>
    <row r="44" spans="1:25" ht="12.75" customHeight="1" x14ac:dyDescent="0.2">
      <c r="A44" s="4"/>
      <c r="C44" s="79" t="s">
        <v>61</v>
      </c>
      <c r="D44" s="80" t="s">
        <v>48</v>
      </c>
      <c r="E44" s="78" t="s">
        <v>11</v>
      </c>
      <c r="G44" s="62">
        <f>IF($E44="Labour",Assumptions!$B$14,)</f>
        <v>0</v>
      </c>
      <c r="H44" s="9" t="str">
        <f t="shared" si="0"/>
        <v>$</v>
      </c>
      <c r="J44" s="81">
        <v>84500</v>
      </c>
      <c r="K44" s="81"/>
      <c r="L44" s="81">
        <v>84500</v>
      </c>
      <c r="M44" s="81"/>
      <c r="N44" s="81">
        <v>84500</v>
      </c>
      <c r="P44" s="5">
        <f>IF($E44="Labour",$G44*J44,J44)</f>
        <v>84500</v>
      </c>
      <c r="Q44" s="5">
        <f>IF($E44="Labour",$G44*K44,K44)</f>
        <v>0</v>
      </c>
      <c r="R44" s="5">
        <f>IF($E44="Labour",$G44*L44,L44)</f>
        <v>84500</v>
      </c>
      <c r="S44" s="5">
        <f>IF($E44="Labour",$G44*M44,M44)</f>
        <v>0</v>
      </c>
      <c r="T44" s="5">
        <f>IF($E44="Labour",$G44*N44,N44)</f>
        <v>84500</v>
      </c>
    </row>
    <row r="45" spans="1:25" ht="12.75" customHeight="1" x14ac:dyDescent="0.2">
      <c r="A45" s="4"/>
      <c r="C45" s="79" t="s">
        <v>62</v>
      </c>
      <c r="D45" s="80" t="s">
        <v>48</v>
      </c>
      <c r="E45" s="78" t="s">
        <v>9</v>
      </c>
      <c r="G45" s="62">
        <f>IF($E45="Labour",Assumptions!$B$14,)</f>
        <v>145.77740895836223</v>
      </c>
      <c r="H45" s="9" t="str">
        <f t="shared" si="0"/>
        <v>Hours</v>
      </c>
      <c r="J45" s="81">
        <v>5388</v>
      </c>
      <c r="K45" s="81">
        <v>5388</v>
      </c>
      <c r="L45" s="81">
        <v>5388</v>
      </c>
      <c r="M45" s="81">
        <v>5388</v>
      </c>
      <c r="N45" s="81">
        <v>5388</v>
      </c>
      <c r="P45" s="5">
        <f>IF($E45="Labour",$G45*J45,J45)</f>
        <v>785448.67946765572</v>
      </c>
      <c r="Q45" s="5">
        <f>IF($E45="Labour",$G45*K45,K45)</f>
        <v>785448.67946765572</v>
      </c>
      <c r="R45" s="5">
        <f>IF($E45="Labour",$G45*L45,L45)</f>
        <v>785448.67946765572</v>
      </c>
      <c r="S45" s="5">
        <f>IF($E45="Labour",$G45*M45,M45)</f>
        <v>785448.67946765572</v>
      </c>
      <c r="T45" s="5">
        <f>IF($E45="Labour",$G45*N45,N45)</f>
        <v>785448.67946765572</v>
      </c>
    </row>
    <row r="46" spans="1:25" ht="12.75" customHeight="1" x14ac:dyDescent="0.2">
      <c r="A46" s="4"/>
      <c r="C46" s="79" t="s">
        <v>62</v>
      </c>
      <c r="D46" s="80" t="s">
        <v>48</v>
      </c>
      <c r="E46" s="78" t="s">
        <v>10</v>
      </c>
      <c r="G46" s="62">
        <f>IF($E46="Labour",Assumptions!$B$14,)</f>
        <v>0</v>
      </c>
      <c r="H46" s="9" t="str">
        <f t="shared" si="0"/>
        <v>$</v>
      </c>
      <c r="J46" s="81">
        <v>52200</v>
      </c>
      <c r="K46" s="81">
        <v>52200</v>
      </c>
      <c r="L46" s="81">
        <v>52200</v>
      </c>
      <c r="M46" s="81">
        <v>52200</v>
      </c>
      <c r="N46" s="81">
        <v>52200</v>
      </c>
      <c r="P46" s="5">
        <f>IF($E46="Labour",$G46*J46,J46)</f>
        <v>52200</v>
      </c>
      <c r="Q46" s="5">
        <f>IF($E46="Labour",$G46*K46,K46)</f>
        <v>52200</v>
      </c>
      <c r="R46" s="5">
        <f>IF($E46="Labour",$G46*L46,L46)</f>
        <v>52200</v>
      </c>
      <c r="S46" s="5">
        <f>IF($E46="Labour",$G46*M46,M46)</f>
        <v>52200</v>
      </c>
      <c r="T46" s="5">
        <f>IF($E46="Labour",$G46*N46,N46)</f>
        <v>52200</v>
      </c>
    </row>
    <row r="47" spans="1:25" ht="12.75" customHeight="1" x14ac:dyDescent="0.2">
      <c r="A47" s="4"/>
      <c r="C47" s="79" t="s">
        <v>62</v>
      </c>
      <c r="D47" s="80" t="s">
        <v>48</v>
      </c>
      <c r="E47" s="78" t="s">
        <v>11</v>
      </c>
      <c r="G47" s="62">
        <f>IF($E47="Labour",Assumptions!$B$14,)</f>
        <v>0</v>
      </c>
      <c r="H47" s="9" t="str">
        <f t="shared" si="0"/>
        <v>$</v>
      </c>
      <c r="J47" s="81">
        <v>208800</v>
      </c>
      <c r="K47" s="81"/>
      <c r="L47" s="81">
        <v>208800</v>
      </c>
      <c r="M47" s="81">
        <v>208800</v>
      </c>
      <c r="N47" s="81">
        <v>208800</v>
      </c>
      <c r="P47" s="5">
        <f>IF($E47="Labour",$G47*J47,J47)</f>
        <v>208800</v>
      </c>
      <c r="Q47" s="5">
        <f>IF($E47="Labour",$G47*K47,K47)</f>
        <v>0</v>
      </c>
      <c r="R47" s="5">
        <f>IF($E47="Labour",$G47*L47,L47)</f>
        <v>208800</v>
      </c>
      <c r="S47" s="5">
        <f>IF($E47="Labour",$G47*M47,M47)</f>
        <v>208800</v>
      </c>
      <c r="T47" s="5">
        <f>IF($E47="Labour",$G47*N47,N47)</f>
        <v>208800</v>
      </c>
    </row>
    <row r="48" spans="1:25" ht="12.75" customHeight="1" x14ac:dyDescent="0.2">
      <c r="A48" s="4"/>
      <c r="C48" s="79" t="s">
        <v>70</v>
      </c>
      <c r="D48" s="80" t="s">
        <v>48</v>
      </c>
      <c r="E48" s="78" t="s">
        <v>9</v>
      </c>
      <c r="G48" s="62">
        <f>IF($E48="Labour",Assumptions!$B$14,)</f>
        <v>145.77740895836223</v>
      </c>
      <c r="H48" s="9" t="str">
        <f t="shared" si="0"/>
        <v>Hours</v>
      </c>
      <c r="J48" s="81">
        <f>1278531/G48</f>
        <v>8770.4330124647859</v>
      </c>
      <c r="K48" s="81"/>
      <c r="L48" s="81"/>
      <c r="M48" s="81"/>
      <c r="N48" s="81"/>
      <c r="P48" s="5">
        <f>IF($E48="Labour",$G48*J48,J48)</f>
        <v>1278531</v>
      </c>
      <c r="Q48" s="5">
        <f>IF($E48="Labour",$G48*K48,K48)</f>
        <v>0</v>
      </c>
      <c r="R48" s="5">
        <f>IF($E48="Labour",$G48*L48,L48)</f>
        <v>0</v>
      </c>
      <c r="S48" s="5">
        <f>IF($E48="Labour",$G48*M48,M48)</f>
        <v>0</v>
      </c>
      <c r="T48" s="5">
        <f>IF($E48="Labour",$G48*N48,N48)</f>
        <v>0</v>
      </c>
    </row>
    <row r="49" spans="1:25" ht="12.75" customHeight="1" x14ac:dyDescent="0.2">
      <c r="A49" s="4"/>
      <c r="C49" s="79" t="s">
        <v>70</v>
      </c>
      <c r="D49" s="80" t="s">
        <v>48</v>
      </c>
      <c r="E49" s="78" t="s">
        <v>10</v>
      </c>
      <c r="G49" s="62">
        <f>IF($E49="Labour",Assumptions!$B$14,)</f>
        <v>0</v>
      </c>
      <c r="H49" s="9" t="str">
        <f t="shared" si="0"/>
        <v>$</v>
      </c>
      <c r="J49" s="81">
        <v>32689</v>
      </c>
      <c r="K49" s="81"/>
      <c r="L49" s="81"/>
      <c r="M49" s="81"/>
      <c r="N49" s="81"/>
      <c r="P49" s="5">
        <f>IF($E49="Labour",$G49*J49,J49)</f>
        <v>32689</v>
      </c>
      <c r="Q49" s="5">
        <f>IF($E49="Labour",$G49*K49,K49)</f>
        <v>0</v>
      </c>
      <c r="R49" s="5">
        <f>IF($E49="Labour",$G49*L49,L49)</f>
        <v>0</v>
      </c>
      <c r="S49" s="5">
        <f>IF($E49="Labour",$G49*M49,M49)</f>
        <v>0</v>
      </c>
      <c r="T49" s="5">
        <f>IF($E49="Labour",$G49*N49,N49)</f>
        <v>0</v>
      </c>
    </row>
    <row r="50" spans="1:25" ht="12.75" customHeight="1" x14ac:dyDescent="0.2">
      <c r="A50" s="4"/>
      <c r="C50" s="79" t="s">
        <v>70</v>
      </c>
      <c r="D50" s="80" t="s">
        <v>48</v>
      </c>
      <c r="E50" s="78" t="s">
        <v>11</v>
      </c>
      <c r="G50" s="62">
        <f>IF($E50="Labour",Assumptions!$B$14,)</f>
        <v>0</v>
      </c>
      <c r="H50" s="9" t="str">
        <f t="shared" si="0"/>
        <v>$</v>
      </c>
      <c r="J50" s="81">
        <v>13579</v>
      </c>
      <c r="K50" s="81"/>
      <c r="L50" s="81"/>
      <c r="M50" s="81"/>
      <c r="N50" s="81"/>
      <c r="P50" s="5">
        <f>IF($E50="Labour",$G50*J50,J50)</f>
        <v>13579</v>
      </c>
      <c r="Q50" s="5">
        <f>IF($E50="Labour",$G50*K50,K50)</f>
        <v>0</v>
      </c>
      <c r="R50" s="5">
        <f>IF($E50="Labour",$G50*L50,L50)</f>
        <v>0</v>
      </c>
      <c r="S50" s="5">
        <f>IF($E50="Labour",$G50*M50,M50)</f>
        <v>0</v>
      </c>
      <c r="T50" s="5">
        <f>IF($E50="Labour",$G50*N50,N50)</f>
        <v>0</v>
      </c>
    </row>
    <row r="51" spans="1:25" ht="12.75" customHeight="1" x14ac:dyDescent="0.2">
      <c r="A51" s="4"/>
      <c r="C51" s="79" t="s">
        <v>71</v>
      </c>
      <c r="D51" s="80" t="s">
        <v>48</v>
      </c>
      <c r="E51" s="78" t="s">
        <v>9</v>
      </c>
      <c r="G51" s="62">
        <f>IF($E51="Labour",Assumptions!$B$14,)</f>
        <v>145.77740895836223</v>
      </c>
      <c r="H51" s="9" t="str">
        <f t="shared" si="0"/>
        <v>Hours</v>
      </c>
      <c r="J51" s="81">
        <f>1053061/G51</f>
        <v>7223.759892047342</v>
      </c>
      <c r="K51" s="81"/>
      <c r="L51" s="81"/>
      <c r="M51" s="81"/>
      <c r="N51" s="81"/>
      <c r="P51" s="5">
        <f>IF($E51="Labour",$G51*J51,J51)</f>
        <v>1053061</v>
      </c>
      <c r="Q51" s="5">
        <f>IF($E51="Labour",$G51*K51,K51)</f>
        <v>0</v>
      </c>
      <c r="R51" s="5">
        <f>IF($E51="Labour",$G51*L51,L51)</f>
        <v>0</v>
      </c>
      <c r="S51" s="5">
        <f>IF($E51="Labour",$G51*M51,M51)</f>
        <v>0</v>
      </c>
      <c r="T51" s="5">
        <f>IF($E51="Labour",$G51*N51,N51)</f>
        <v>0</v>
      </c>
    </row>
    <row r="52" spans="1:25" ht="12.75" customHeight="1" x14ac:dyDescent="0.2">
      <c r="A52" s="4"/>
      <c r="C52" s="79" t="s">
        <v>71</v>
      </c>
      <c r="D52" s="80" t="s">
        <v>48</v>
      </c>
      <c r="E52" s="78" t="s">
        <v>10</v>
      </c>
      <c r="G52" s="62">
        <f>IF($E52="Labour",Assumptions!$B$14,)</f>
        <v>0</v>
      </c>
      <c r="H52" s="9" t="str">
        <f t="shared" si="0"/>
        <v>$</v>
      </c>
      <c r="J52" s="81">
        <v>130352</v>
      </c>
      <c r="K52" s="81"/>
      <c r="L52" s="81"/>
      <c r="M52" s="81"/>
      <c r="N52" s="81"/>
      <c r="P52" s="5">
        <f>IF($E52="Labour",$G52*J52,J52)</f>
        <v>130352</v>
      </c>
      <c r="Q52" s="5">
        <f>IF($E52="Labour",$G52*K52,K52)</f>
        <v>0</v>
      </c>
      <c r="R52" s="5">
        <f>IF($E52="Labour",$G52*L52,L52)</f>
        <v>0</v>
      </c>
      <c r="S52" s="5">
        <f>IF($E52="Labour",$G52*M52,M52)</f>
        <v>0</v>
      </c>
      <c r="T52" s="5">
        <f>IF($E52="Labour",$G52*N52,N52)</f>
        <v>0</v>
      </c>
    </row>
    <row r="53" spans="1:25" ht="12.75" customHeight="1" x14ac:dyDescent="0.2">
      <c r="A53" s="4"/>
      <c r="C53" s="79" t="s">
        <v>71</v>
      </c>
      <c r="D53" s="80" t="s">
        <v>48</v>
      </c>
      <c r="E53" s="78" t="s">
        <v>11</v>
      </c>
      <c r="G53" s="62">
        <f>IF($E53="Labour",Assumptions!$B$14,)</f>
        <v>0</v>
      </c>
      <c r="H53" s="9" t="str">
        <f t="shared" si="0"/>
        <v>$</v>
      </c>
      <c r="J53" s="81">
        <v>141387</v>
      </c>
      <c r="K53" s="81"/>
      <c r="L53" s="81"/>
      <c r="M53" s="81"/>
      <c r="N53" s="81"/>
      <c r="P53" s="5">
        <f>IF($E53="Labour",$G53*J53,J53)</f>
        <v>141387</v>
      </c>
      <c r="Q53" s="5">
        <f>IF($E53="Labour",$G53*K53,K53)</f>
        <v>0</v>
      </c>
      <c r="R53" s="5">
        <f>IF($E53="Labour",$G53*L53,L53)</f>
        <v>0</v>
      </c>
      <c r="S53" s="5">
        <f>IF($E53="Labour",$G53*M53,M53)</f>
        <v>0</v>
      </c>
      <c r="T53" s="5">
        <f>IF($E53="Labour",$G53*N53,N53)</f>
        <v>0</v>
      </c>
    </row>
    <row r="54" spans="1:25" ht="12.75" customHeight="1" x14ac:dyDescent="0.2">
      <c r="A54" s="4"/>
      <c r="C54" s="79"/>
      <c r="D54" s="80"/>
      <c r="E54" s="78"/>
      <c r="G54" s="62">
        <f>IF($E54="Labour",Assumptions!$B$14,)</f>
        <v>0</v>
      </c>
      <c r="H54" s="9" t="str">
        <f t="shared" si="0"/>
        <v>$</v>
      </c>
      <c r="J54" s="81"/>
      <c r="K54" s="81"/>
      <c r="L54" s="81"/>
      <c r="M54" s="81"/>
      <c r="N54" s="81"/>
      <c r="P54" s="5">
        <f>IF($E54="Labour",$G54*J54,J54)</f>
        <v>0</v>
      </c>
      <c r="Q54" s="5">
        <f>IF($E54="Labour",$G54*K54,K54)</f>
        <v>0</v>
      </c>
      <c r="R54" s="5">
        <f>IF($E54="Labour",$G54*L54,L54)</f>
        <v>0</v>
      </c>
      <c r="S54" s="5">
        <f>IF($E54="Labour",$G54*M54,M54)</f>
        <v>0</v>
      </c>
      <c r="T54" s="5">
        <f>IF($E54="Labour",$G54*N54,N54)</f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63</v>
      </c>
      <c r="F57" s="2"/>
      <c r="I57" s="2"/>
      <c r="O57" s="2"/>
      <c r="P57" s="67" t="s">
        <v>4</v>
      </c>
      <c r="Q57" s="67" t="s">
        <v>5</v>
      </c>
      <c r="R57" s="67" t="s">
        <v>6</v>
      </c>
      <c r="S57" s="67" t="s">
        <v>7</v>
      </c>
      <c r="T57" s="67" t="s">
        <v>8</v>
      </c>
      <c r="U57" s="67" t="s">
        <v>0</v>
      </c>
      <c r="Y57"/>
    </row>
    <row r="58" spans="1:25" ht="12.75" customHeight="1" x14ac:dyDescent="0.2">
      <c r="C58" s="24" t="s">
        <v>9</v>
      </c>
      <c r="D58" s="24" t="s">
        <v>48</v>
      </c>
      <c r="E58" s="24"/>
      <c r="F58" s="2"/>
      <c r="G58" s="64"/>
      <c r="H58" s="65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10476996.679467656</v>
      </c>
      <c r="Q58" s="25">
        <f t="shared" ref="Q58:T60" si="1">SUMIFS(Q$10:Q$54,$E$10:$E$54,$C58,$D$10:$D$54,$D58)</f>
        <v>6590169.6794676557</v>
      </c>
      <c r="R58" s="25">
        <f t="shared" si="1"/>
        <v>7429090.6794676557</v>
      </c>
      <c r="S58" s="25">
        <f t="shared" si="1"/>
        <v>10377450.330051199</v>
      </c>
      <c r="T58" s="25">
        <f t="shared" si="1"/>
        <v>6945790.6794676557</v>
      </c>
      <c r="U58" s="69">
        <f>SUM(P58:T58)</f>
        <v>41819498.047921821</v>
      </c>
    </row>
    <row r="59" spans="1:25" ht="12.75" customHeight="1" x14ac:dyDescent="0.2">
      <c r="C59" s="1" t="s">
        <v>10</v>
      </c>
      <c r="D59" s="1" t="s">
        <v>48</v>
      </c>
      <c r="F59" s="2"/>
      <c r="G59" s="66"/>
      <c r="I59" s="2"/>
      <c r="O59" s="2"/>
      <c r="P59" s="6">
        <f t="shared" ref="P59:P60" si="2">SUMIFS(P$10:P$54,$E$10:$E$54,$C59,$D$10:$D$54,$D59)</f>
        <v>1192941</v>
      </c>
      <c r="Q59" s="6">
        <f t="shared" si="1"/>
        <v>508457</v>
      </c>
      <c r="R59" s="6">
        <f t="shared" si="1"/>
        <v>453900</v>
      </c>
      <c r="S59" s="6">
        <f t="shared" si="1"/>
        <v>1048457</v>
      </c>
      <c r="T59" s="6">
        <f t="shared" si="1"/>
        <v>1033680</v>
      </c>
      <c r="U59" s="70">
        <f t="shared" ref="U59:U64" si="3">SUM(P59:T59)</f>
        <v>4237435</v>
      </c>
    </row>
    <row r="60" spans="1:25" ht="12.75" customHeight="1" x14ac:dyDescent="0.2">
      <c r="C60" s="1" t="s">
        <v>11</v>
      </c>
      <c r="D60" s="1" t="s">
        <v>48</v>
      </c>
      <c r="F60" s="2"/>
      <c r="G60" s="66"/>
      <c r="I60" s="2"/>
      <c r="O60" s="2"/>
      <c r="P60" s="6">
        <f t="shared" si="2"/>
        <v>2666892.5673599998</v>
      </c>
      <c r="Q60" s="6">
        <f t="shared" si="1"/>
        <v>1118160</v>
      </c>
      <c r="R60" s="6">
        <f t="shared" si="1"/>
        <v>1875926.56736</v>
      </c>
      <c r="S60" s="6">
        <f t="shared" si="1"/>
        <v>2406960</v>
      </c>
      <c r="T60" s="6">
        <f t="shared" si="1"/>
        <v>2575046.5673599998</v>
      </c>
      <c r="U60" s="70">
        <f t="shared" si="3"/>
        <v>10642985.70208</v>
      </c>
    </row>
    <row r="61" spans="1:25" ht="12.75" customHeight="1" x14ac:dyDescent="0.2">
      <c r="C61" s="21" t="s">
        <v>12</v>
      </c>
      <c r="D61" s="21" t="s">
        <v>48</v>
      </c>
      <c r="E61" s="100"/>
      <c r="F61" s="102"/>
      <c r="G61" s="101"/>
      <c r="H61" s="103"/>
      <c r="I61" s="102"/>
      <c r="J61" s="100"/>
      <c r="K61" s="100"/>
      <c r="L61" s="100"/>
      <c r="M61" s="100"/>
      <c r="N61" s="100"/>
      <c r="O61" s="102"/>
      <c r="P61" s="22">
        <f>SUM(P58:P60)</f>
        <v>14336830.246827655</v>
      </c>
      <c r="Q61" s="22">
        <f t="shared" ref="Q61:U61" si="4">SUM(Q58:Q60)</f>
        <v>8216786.6794676557</v>
      </c>
      <c r="R61" s="22">
        <f t="shared" si="4"/>
        <v>9758917.2468276564</v>
      </c>
      <c r="S61" s="22">
        <f t="shared" si="4"/>
        <v>13832867.330051199</v>
      </c>
      <c r="T61" s="22">
        <f t="shared" si="4"/>
        <v>10554517.246827655</v>
      </c>
      <c r="U61" s="22">
        <f t="shared" si="4"/>
        <v>56699918.750001818</v>
      </c>
    </row>
    <row r="62" spans="1:25" ht="12.75" customHeight="1" x14ac:dyDescent="0.2">
      <c r="C62" s="1" t="s">
        <v>9</v>
      </c>
      <c r="D62" s="1" t="s">
        <v>45</v>
      </c>
      <c r="F62" s="2"/>
      <c r="G62" s="66"/>
      <c r="I62" s="2"/>
      <c r="O62" s="2"/>
      <c r="P62" s="6">
        <f t="shared" ref="P62:T64" si="5">SUMIFS(P$10:P$54,$E$10:$E$54,$C62,$D$10:$D$54,$D62)</f>
        <v>0</v>
      </c>
      <c r="Q62" s="6">
        <f t="shared" si="5"/>
        <v>0</v>
      </c>
      <c r="R62" s="6">
        <f t="shared" si="5"/>
        <v>0</v>
      </c>
      <c r="S62" s="6">
        <f t="shared" si="5"/>
        <v>0</v>
      </c>
      <c r="T62" s="6">
        <f t="shared" si="5"/>
        <v>0</v>
      </c>
      <c r="U62" s="70">
        <f t="shared" si="3"/>
        <v>0</v>
      </c>
    </row>
    <row r="63" spans="1:25" ht="12.75" customHeight="1" x14ac:dyDescent="0.2">
      <c r="C63" s="1" t="s">
        <v>10</v>
      </c>
      <c r="D63" s="1" t="s">
        <v>45</v>
      </c>
      <c r="F63" s="2"/>
      <c r="G63" s="66"/>
      <c r="I63" s="2"/>
      <c r="O63" s="2"/>
      <c r="P63" s="6">
        <f t="shared" si="5"/>
        <v>0</v>
      </c>
      <c r="Q63" s="6">
        <f t="shared" si="5"/>
        <v>0</v>
      </c>
      <c r="R63" s="6">
        <f t="shared" si="5"/>
        <v>0</v>
      </c>
      <c r="S63" s="6">
        <f t="shared" si="5"/>
        <v>0</v>
      </c>
      <c r="T63" s="6">
        <f t="shared" si="5"/>
        <v>0</v>
      </c>
      <c r="U63" s="70">
        <f t="shared" si="3"/>
        <v>0</v>
      </c>
    </row>
    <row r="64" spans="1:25" ht="12.75" customHeight="1" x14ac:dyDescent="0.2">
      <c r="C64" s="1" t="s">
        <v>11</v>
      </c>
      <c r="D64" s="1" t="s">
        <v>45</v>
      </c>
      <c r="F64" s="2"/>
      <c r="G64" s="66"/>
      <c r="I64" s="2"/>
      <c r="O64" s="2"/>
      <c r="P64" s="6">
        <f t="shared" si="5"/>
        <v>0</v>
      </c>
      <c r="Q64" s="6">
        <f t="shared" si="5"/>
        <v>0</v>
      </c>
      <c r="R64" s="6">
        <f t="shared" si="5"/>
        <v>0</v>
      </c>
      <c r="S64" s="6">
        <f t="shared" si="5"/>
        <v>0</v>
      </c>
      <c r="T64" s="6">
        <f t="shared" si="5"/>
        <v>0</v>
      </c>
      <c r="U64" s="70">
        <f t="shared" si="3"/>
        <v>0</v>
      </c>
    </row>
    <row r="65" spans="3:22" ht="12.75" customHeight="1" x14ac:dyDescent="0.2">
      <c r="C65" s="21" t="s">
        <v>13</v>
      </c>
      <c r="D65" s="21" t="s">
        <v>45</v>
      </c>
      <c r="E65" s="100"/>
      <c r="F65" s="102"/>
      <c r="G65" s="101"/>
      <c r="H65" s="103"/>
      <c r="I65" s="102"/>
      <c r="J65" s="100"/>
      <c r="K65" s="100"/>
      <c r="L65" s="100"/>
      <c r="M65" s="100"/>
      <c r="N65" s="100"/>
      <c r="O65" s="102"/>
      <c r="P65" s="22">
        <f>SUM(P62:P64)</f>
        <v>0</v>
      </c>
      <c r="Q65" s="22">
        <f t="shared" ref="Q65:U65" si="6">SUM(Q62:Q64)</f>
        <v>0</v>
      </c>
      <c r="R65" s="22">
        <f t="shared" si="6"/>
        <v>0</v>
      </c>
      <c r="S65" s="22">
        <f t="shared" si="6"/>
        <v>0</v>
      </c>
      <c r="T65" s="22">
        <f t="shared" si="6"/>
        <v>0</v>
      </c>
      <c r="U65" s="22">
        <f t="shared" si="6"/>
        <v>0</v>
      </c>
    </row>
    <row r="66" spans="3:22" ht="12.75" customHeight="1" x14ac:dyDescent="0.2">
      <c r="F66" s="2"/>
      <c r="G66" s="66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64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14336830.246827655</v>
      </c>
      <c r="Q67" s="8">
        <f t="shared" ref="Q67:T67" si="7">Q61+Q65</f>
        <v>8216786.6794676557</v>
      </c>
      <c r="R67" s="8">
        <f t="shared" si="7"/>
        <v>9758917.2468276564</v>
      </c>
      <c r="S67" s="8">
        <f t="shared" si="7"/>
        <v>13832867.330051199</v>
      </c>
      <c r="T67" s="8">
        <f t="shared" si="7"/>
        <v>10554517.246827655</v>
      </c>
      <c r="U67" s="71">
        <f t="shared" ref="U67" si="8">SUM(P67:T67)</f>
        <v>56699918.750001818</v>
      </c>
    </row>
    <row r="68" spans="3:22" ht="12.75" customHeight="1" x14ac:dyDescent="0.2">
      <c r="C68" s="45" t="s">
        <v>65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9">Q67-SUM(Q$10:Q$54)</f>
        <v>0</v>
      </c>
      <c r="R68" s="46">
        <f t="shared" si="9"/>
        <v>0</v>
      </c>
      <c r="S68" s="46">
        <f t="shared" si="9"/>
        <v>0</v>
      </c>
      <c r="T68" s="46">
        <f t="shared" si="9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" customHeight="1" x14ac:dyDescent="0.2">
      <c r="C70" s="54" t="str">
        <f>"NPV ($ "&amp;Assumptions!$B$12&amp;")"</f>
        <v>NPV ($ June 2024)</v>
      </c>
      <c r="D70" s="55">
        <f>NPV(Real_Discount_rate,P67:T67)</f>
        <v>51265617.446754828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66</v>
      </c>
      <c r="F73" s="2"/>
      <c r="I73" s="2"/>
      <c r="O73" s="2"/>
      <c r="P73" s="67" t="s">
        <v>4</v>
      </c>
      <c r="Q73" s="67" t="s">
        <v>5</v>
      </c>
      <c r="R73" s="67" t="s">
        <v>6</v>
      </c>
      <c r="S73" s="67" t="s">
        <v>7</v>
      </c>
      <c r="T73" s="67" t="s">
        <v>8</v>
      </c>
      <c r="U73" s="67" t="s">
        <v>0</v>
      </c>
    </row>
    <row r="74" spans="3:22" ht="12.75" customHeight="1" x14ac:dyDescent="0.2">
      <c r="C74" s="24" t="s">
        <v>9</v>
      </c>
      <c r="D74" s="24" t="s">
        <v>48</v>
      </c>
      <c r="E74" s="24"/>
      <c r="F74" s="2"/>
      <c r="G74" s="64"/>
      <c r="H74" s="65"/>
      <c r="I74" s="2"/>
      <c r="J74" s="24"/>
      <c r="K74" s="24"/>
      <c r="L74" s="24"/>
      <c r="M74" s="24"/>
      <c r="N74" s="24"/>
      <c r="O74" s="2"/>
      <c r="P74" s="25">
        <f t="shared" ref="P74:T76" si="10">P58*business_case_dollars</f>
        <v>11659982.101044243</v>
      </c>
      <c r="Q74" s="25">
        <f t="shared" si="10"/>
        <v>7334283.1783107631</v>
      </c>
      <c r="R74" s="25">
        <f t="shared" si="10"/>
        <v>8267928.9685552204</v>
      </c>
      <c r="S74" s="25">
        <f t="shared" si="10"/>
        <v>11549195.709874064</v>
      </c>
      <c r="T74" s="25">
        <f t="shared" si="10"/>
        <v>7730058.2865420794</v>
      </c>
      <c r="U74" s="69">
        <f>SUM(P74:T74)</f>
        <v>46541448.244326368</v>
      </c>
    </row>
    <row r="75" spans="3:22" ht="12.75" customHeight="1" x14ac:dyDescent="0.2">
      <c r="C75" s="1" t="s">
        <v>10</v>
      </c>
      <c r="D75" s="1" t="s">
        <v>48</v>
      </c>
      <c r="F75" s="2"/>
      <c r="G75" s="66"/>
      <c r="I75" s="2"/>
      <c r="O75" s="2"/>
      <c r="P75" s="6">
        <f t="shared" si="10"/>
        <v>1327639.1253288612</v>
      </c>
      <c r="Q75" s="6">
        <f t="shared" si="10"/>
        <v>565868.2254590434</v>
      </c>
      <c r="R75" s="6">
        <f t="shared" si="10"/>
        <v>505151.05020849319</v>
      </c>
      <c r="S75" s="6">
        <f t="shared" si="10"/>
        <v>1166841.0545240056</v>
      </c>
      <c r="T75" s="6">
        <f t="shared" si="10"/>
        <v>1150395.5443479076</v>
      </c>
      <c r="U75" s="70">
        <f t="shared" ref="U75:U76" si="11">SUM(P75:T75)</f>
        <v>4715894.999868311</v>
      </c>
    </row>
    <row r="76" spans="3:22" ht="12.75" customHeight="1" x14ac:dyDescent="0.2">
      <c r="C76" s="1" t="s">
        <v>11</v>
      </c>
      <c r="D76" s="1" t="s">
        <v>48</v>
      </c>
      <c r="F76" s="2"/>
      <c r="G76" s="66"/>
      <c r="I76" s="2"/>
      <c r="O76" s="2"/>
      <c r="P76" s="6">
        <f t="shared" si="10"/>
        <v>2968018.4648493691</v>
      </c>
      <c r="Q76" s="6">
        <f t="shared" si="10"/>
        <v>1244414.4047171816</v>
      </c>
      <c r="R76" s="6">
        <f t="shared" si="10"/>
        <v>2087742.4005638193</v>
      </c>
      <c r="S76" s="6">
        <f t="shared" si="10"/>
        <v>2678736.2234188914</v>
      </c>
      <c r="T76" s="6">
        <f t="shared" si="10"/>
        <v>2865801.88992659</v>
      </c>
      <c r="U76" s="70">
        <f t="shared" si="11"/>
        <v>11844713.383475851</v>
      </c>
    </row>
    <row r="77" spans="3:22" ht="12.75" customHeight="1" x14ac:dyDescent="0.2">
      <c r="C77" s="21" t="s">
        <v>12</v>
      </c>
      <c r="D77" s="21" t="s">
        <v>48</v>
      </c>
      <c r="E77" s="100"/>
      <c r="F77" s="102"/>
      <c r="G77" s="101"/>
      <c r="H77" s="103"/>
      <c r="I77" s="102"/>
      <c r="J77" s="100"/>
      <c r="K77" s="100"/>
      <c r="L77" s="100"/>
      <c r="M77" s="100"/>
      <c r="N77" s="100"/>
      <c r="O77" s="102"/>
      <c r="P77" s="22">
        <f>SUM(P74:P76)</f>
        <v>15955639.691222474</v>
      </c>
      <c r="Q77" s="22">
        <f t="shared" ref="Q77:U77" si="12">SUM(Q74:Q76)</f>
        <v>9144565.8084869869</v>
      </c>
      <c r="R77" s="22">
        <f t="shared" si="12"/>
        <v>10860822.419327533</v>
      </c>
      <c r="S77" s="22">
        <f t="shared" si="12"/>
        <v>15394772.987816961</v>
      </c>
      <c r="T77" s="22">
        <f t="shared" si="12"/>
        <v>11746255.720816577</v>
      </c>
      <c r="U77" s="22">
        <f t="shared" si="12"/>
        <v>63102056.627670527</v>
      </c>
    </row>
    <row r="78" spans="3:22" ht="12.75" customHeight="1" x14ac:dyDescent="0.2">
      <c r="C78" s="1" t="s">
        <v>9</v>
      </c>
      <c r="D78" s="1" t="s">
        <v>45</v>
      </c>
      <c r="F78" s="2"/>
      <c r="G78" s="66"/>
      <c r="I78" s="2"/>
      <c r="O78" s="2"/>
      <c r="P78" s="25">
        <f t="shared" ref="P78:T80" si="13">P62*business_case_dollars</f>
        <v>0</v>
      </c>
      <c r="Q78" s="25">
        <f t="shared" si="13"/>
        <v>0</v>
      </c>
      <c r="R78" s="25">
        <f t="shared" si="13"/>
        <v>0</v>
      </c>
      <c r="S78" s="25">
        <f t="shared" si="13"/>
        <v>0</v>
      </c>
      <c r="T78" s="25">
        <f t="shared" si="13"/>
        <v>0</v>
      </c>
      <c r="U78" s="69">
        <f>SUM(P78:T78)</f>
        <v>0</v>
      </c>
    </row>
    <row r="79" spans="3:22" ht="12.75" customHeight="1" x14ac:dyDescent="0.2">
      <c r="C79" s="1" t="s">
        <v>10</v>
      </c>
      <c r="D79" s="1" t="s">
        <v>45</v>
      </c>
      <c r="F79" s="2"/>
      <c r="G79" s="66"/>
      <c r="I79" s="2"/>
      <c r="O79" s="2"/>
      <c r="P79" s="6">
        <f t="shared" si="13"/>
        <v>0</v>
      </c>
      <c r="Q79" s="6">
        <f t="shared" si="13"/>
        <v>0</v>
      </c>
      <c r="R79" s="6">
        <f t="shared" si="13"/>
        <v>0</v>
      </c>
      <c r="S79" s="6">
        <f t="shared" si="13"/>
        <v>0</v>
      </c>
      <c r="T79" s="6">
        <f t="shared" si="13"/>
        <v>0</v>
      </c>
      <c r="U79" s="70">
        <f t="shared" ref="U79:U80" si="14">SUM(P79:T79)</f>
        <v>0</v>
      </c>
    </row>
    <row r="80" spans="3:22" ht="12.75" customHeight="1" x14ac:dyDescent="0.2">
      <c r="C80" s="1" t="s">
        <v>11</v>
      </c>
      <c r="D80" s="1" t="s">
        <v>45</v>
      </c>
      <c r="F80" s="2"/>
      <c r="G80" s="66"/>
      <c r="I80" s="2"/>
      <c r="O80" s="2"/>
      <c r="P80" s="6">
        <f t="shared" si="13"/>
        <v>0</v>
      </c>
      <c r="Q80" s="6">
        <f t="shared" si="13"/>
        <v>0</v>
      </c>
      <c r="R80" s="6">
        <f t="shared" si="13"/>
        <v>0</v>
      </c>
      <c r="S80" s="6">
        <f t="shared" si="13"/>
        <v>0</v>
      </c>
      <c r="T80" s="6">
        <f t="shared" si="13"/>
        <v>0</v>
      </c>
      <c r="U80" s="70">
        <f t="shared" si="14"/>
        <v>0</v>
      </c>
    </row>
    <row r="81" spans="3:22" ht="12.75" customHeight="1" x14ac:dyDescent="0.2">
      <c r="C81" s="21" t="s">
        <v>13</v>
      </c>
      <c r="D81" s="21" t="s">
        <v>45</v>
      </c>
      <c r="E81" s="100"/>
      <c r="F81" s="102"/>
      <c r="G81" s="101"/>
      <c r="H81" s="103"/>
      <c r="I81" s="102"/>
      <c r="J81" s="100"/>
      <c r="K81" s="100"/>
      <c r="L81" s="100"/>
      <c r="M81" s="100"/>
      <c r="N81" s="100"/>
      <c r="O81" s="102"/>
      <c r="P81" s="22">
        <f>SUM(P78:P80)</f>
        <v>0</v>
      </c>
      <c r="Q81" s="22">
        <f t="shared" ref="Q81:U81" si="15">SUM(Q78:Q80)</f>
        <v>0</v>
      </c>
      <c r="R81" s="22">
        <f t="shared" si="15"/>
        <v>0</v>
      </c>
      <c r="S81" s="22">
        <f t="shared" si="15"/>
        <v>0</v>
      </c>
      <c r="T81" s="22">
        <f t="shared" si="15"/>
        <v>0</v>
      </c>
      <c r="U81" s="22">
        <f t="shared" si="15"/>
        <v>0</v>
      </c>
    </row>
    <row r="82" spans="3:22" ht="12.75" customHeight="1" x14ac:dyDescent="0.2">
      <c r="F82" s="2"/>
      <c r="G82" s="66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64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15955639.691222474</v>
      </c>
      <c r="Q83" s="8">
        <f t="shared" ref="Q83:T83" si="16">Q77+Q81</f>
        <v>9144565.8084869869</v>
      </c>
      <c r="R83" s="8">
        <f t="shared" si="16"/>
        <v>10860822.419327533</v>
      </c>
      <c r="S83" s="8">
        <f t="shared" si="16"/>
        <v>15394772.987816961</v>
      </c>
      <c r="T83" s="8">
        <f t="shared" si="16"/>
        <v>11746255.720816577</v>
      </c>
      <c r="U83" s="71">
        <f t="shared" ref="U83" si="17">SUM(P83:T83)</f>
        <v>63102056.627670527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4" t="str">
        <f>"NPV ($ "&amp;Assumptions!$C$35&amp;")"</f>
        <v>NPV ($ June 2026)</v>
      </c>
      <c r="D85" s="55">
        <f>NPV(Real_Discount_rate,P83:T83)</f>
        <v>57054153.982848771</v>
      </c>
      <c r="F85" s="2"/>
      <c r="I85" s="2"/>
      <c r="O85" s="2"/>
      <c r="P85" s="51"/>
      <c r="Q85" s="51"/>
      <c r="R85" s="51"/>
      <c r="S85" s="51"/>
      <c r="T85" s="51"/>
    </row>
  </sheetData>
  <conditionalFormatting sqref="G10:G54">
    <cfRule type="expression" dxfId="6" priority="7">
      <formula>$E10="Contracts"</formula>
    </cfRule>
    <cfRule type="expression" dxfId="5" priority="8">
      <formula>$E10="Materials"</formula>
    </cfRule>
    <cfRule type="expression" dxfId="4" priority="9">
      <formula>$E10="Labour"</formula>
    </cfRule>
  </conditionalFormatting>
  <conditionalFormatting sqref="P68:U68">
    <cfRule type="expression" dxfId="3" priority="1">
      <formula>ABS(P68)&gt;0.001</formula>
    </cfRule>
  </conditionalFormatting>
  <conditionalFormatting sqref="P84:U84">
    <cfRule type="expression" dxfId="2" priority="3">
      <formula>ABS(P84)&gt;0.001</formula>
    </cfRule>
  </conditionalFormatting>
  <conditionalFormatting sqref="V68">
    <cfRule type="expression" dxfId="1" priority="13">
      <formula>ABS(V68)&gt;0.001</formula>
    </cfRule>
  </conditionalFormatting>
  <conditionalFormatting sqref="V84">
    <cfRule type="expression" dxfId="0" priority="4">
      <formula>ABS(V84)&gt;0.001</formula>
    </cfRule>
  </conditionalFormatting>
  <dataValidations count="2">
    <dataValidation type="list" allowBlank="1" showInputMessage="1" showErrorMessage="1" sqref="E10:E54" xr:uid="{26E538AD-3FEB-49D4-AC67-0B06E2C98B23}">
      <formula1>"Labour, Materials, Contracts"</formula1>
    </dataValidation>
    <dataValidation type="list" allowBlank="1" showInputMessage="1" showErrorMessage="1" sqref="D10:D54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UE Summary</vt:lpstr>
      <vt:lpstr>Assumptions</vt:lpstr>
      <vt:lpstr>Option 1</vt:lpstr>
      <vt:lpstr>Option 2</vt:lpstr>
      <vt:lpstr>Option 3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2025-01-21T15:00:33Z</dcterms:created>
  <dcterms:modified xsi:type="dcterms:W3CDTF">2025-01-21T15:06:12Z</dcterms:modified>
  <cp:category/>
  <cp:contentStatus/>
</cp:coreProperties>
</file>