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A03F62C0-1857-4E12-9010-C94D3662EC97}" xr6:coauthVersionLast="47" xr6:coauthVersionMax="47" xr10:uidLastSave="{00000000-0000-0000-0000-000000000000}"/>
  <bookViews>
    <workbookView xWindow="28680" yWindow="-120" windowWidth="29040" windowHeight="15720" tabRatio="684" activeTab="1" xr2:uid="{00000000-000D-0000-FFFF-FFFF00000000}"/>
  </bookViews>
  <sheets>
    <sheet name="Cover" sheetId="98" r:id="rId1"/>
    <sheet name="Summary" sheetId="33" r:id="rId2"/>
    <sheet name="Assumptions" sheetId="43" r:id="rId3"/>
    <sheet name="Option1 (base case)" sheetId="68" r:id="rId4"/>
    <sheet name="Option2" sheetId="81" r:id="rId5"/>
    <sheet name="Option3" sheetId="85" r:id="rId6"/>
    <sheet name="Option4" sheetId="86" r:id="rId7"/>
    <sheet name="Consol" sheetId="75" r:id="rId8"/>
    <sheet name="Cost summary" sheetId="64" r:id="rId9"/>
    <sheet name="Risk summary" sheetId="80" r:id="rId10"/>
    <sheet name="General risk inputs" sheetId="96" r:id="rId11"/>
    <sheet name="Reduction in Business Risks&gt;&gt;" sheetId="88" r:id="rId12"/>
    <sheet name="Benefit BR3" sheetId="89" r:id="rId13"/>
    <sheet name="Benefit BR5" sheetId="90" r:id="rId14"/>
    <sheet name="Benefit BC1" sheetId="91" r:id="rId15"/>
    <sheet name="Reduction in IT risks&gt;&gt;" sheetId="92" r:id="rId16"/>
    <sheet name="Benefit ITO1" sheetId="93" r:id="rId17"/>
    <sheet name="Benefit ITS2" sheetId="94" r:id="rId18"/>
    <sheet name="Benefit ITS3" sheetId="95" r:id="rId19"/>
    <sheet name="Misc_calcs" sheetId="62" r:id="rId20"/>
    <sheet name="Data" sheetId="47" r:id="rId21"/>
  </sheets>
  <definedNames>
    <definedName name="bus">Assumptions!$E$6</definedName>
    <definedName name="conv_2026">Misc_calcs!$D$19</definedName>
    <definedName name="customers_total">'General risk inputs'!$D$16</definedName>
    <definedName name="custval_date">Assumptions!$G$30</definedName>
    <definedName name="CY_years">Misc_calcs!$H$6:$M$6</definedName>
    <definedName name="first_year">Misc_calcs!$C$31</definedName>
    <definedName name="hy_dates">Misc_calcs!$H$11:$R$11</definedName>
    <definedName name="hy_escalation">Misc_calcs!$H$15:$R$15</definedName>
    <definedName name="input_dollars">Assumptions!$G$22</definedName>
    <definedName name="Likelihood">'General risk inputs'!$B$54:$B$59</definedName>
    <definedName name="list">list_start:OFFSET(list_start, 0,0,count, 1)</definedName>
    <definedName name="mill_conv">Data!$C$38</definedName>
    <definedName name="options">Data!$B$9:$B$12</definedName>
    <definedName name="output_dollars">Assumptions!$G$29</definedName>
    <definedName name="proj">Assumptions!$E$8</definedName>
    <definedName name="real_disc">Assumptions!$G$23</definedName>
    <definedName name="solarcustomers_total">'General risk inputs'!$D$18</definedName>
    <definedName name="start">Assumptions!$G$25</definedName>
    <definedName name="thous_conv">Data!$C$37</definedName>
    <definedName name="years">Assumptions!$G$27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6" l="1"/>
  <c r="A1" i="96"/>
  <c r="A2" i="89"/>
  <c r="A1" i="89"/>
  <c r="A2" i="90"/>
  <c r="A1" i="90"/>
  <c r="A2" i="91"/>
  <c r="A1" i="91"/>
  <c r="A2" i="93"/>
  <c r="A1" i="93"/>
  <c r="A2" i="94"/>
  <c r="A1" i="94"/>
  <c r="A2" i="95"/>
  <c r="A1" i="95"/>
  <c r="A2" i="43"/>
  <c r="A1" i="43"/>
  <c r="I28" i="33"/>
  <c r="H28" i="33"/>
  <c r="G28" i="33"/>
  <c r="F28" i="33"/>
  <c r="E28" i="33"/>
  <c r="I21" i="64" l="1"/>
  <c r="D6" i="98" a="1"/>
  <c r="D6" i="98" s="1"/>
  <c r="C5" i="98" a="1"/>
  <c r="C5" i="98" s="1"/>
  <c r="J26" i="81"/>
  <c r="K26" i="81"/>
  <c r="L26" i="81"/>
  <c r="M26" i="81"/>
  <c r="J27" i="81"/>
  <c r="K27" i="81"/>
  <c r="L27" i="81"/>
  <c r="M27" i="81"/>
  <c r="J28" i="81"/>
  <c r="K28" i="81"/>
  <c r="L28" i="81"/>
  <c r="M28" i="81"/>
  <c r="I28" i="81"/>
  <c r="I27" i="81"/>
  <c r="I26" i="81"/>
  <c r="I28" i="86"/>
  <c r="J28" i="86" s="1"/>
  <c r="K28" i="86" s="1"/>
  <c r="L28" i="86" s="1"/>
  <c r="M28" i="86" s="1"/>
  <c r="I27" i="86"/>
  <c r="J27" i="86" s="1"/>
  <c r="K27" i="86" s="1"/>
  <c r="L27" i="86" s="1"/>
  <c r="M27" i="86" s="1"/>
  <c r="I26" i="86"/>
  <c r="J26" i="86" s="1"/>
  <c r="K26" i="86" s="1"/>
  <c r="L26" i="86" s="1"/>
  <c r="M26" i="86" s="1"/>
  <c r="I28" i="85"/>
  <c r="J28" i="85" s="1"/>
  <c r="K28" i="85" s="1"/>
  <c r="L28" i="85" s="1"/>
  <c r="M28" i="85" s="1"/>
  <c r="I27" i="85"/>
  <c r="J27" i="85" s="1"/>
  <c r="K27" i="85" s="1"/>
  <c r="L27" i="85" s="1"/>
  <c r="M27" i="85" s="1"/>
  <c r="I26" i="85"/>
  <c r="J26" i="85" s="1"/>
  <c r="K26" i="85" s="1"/>
  <c r="L26" i="85" s="1"/>
  <c r="M26" i="85" s="1"/>
  <c r="N16" i="86"/>
  <c r="O16" i="86"/>
  <c r="P16" i="86"/>
  <c r="Q16" i="86"/>
  <c r="R16" i="86"/>
  <c r="N16" i="85"/>
  <c r="O16" i="85"/>
  <c r="P16" i="85"/>
  <c r="Q16" i="85"/>
  <c r="R16" i="85"/>
  <c r="N16" i="81"/>
  <c r="O16" i="81"/>
  <c r="P16" i="81"/>
  <c r="Q16" i="81"/>
  <c r="R16" i="81"/>
  <c r="D25" i="94"/>
  <c r="D10" i="94"/>
  <c r="D47" i="95" l="1"/>
  <c r="D36" i="95"/>
  <c r="D25" i="95"/>
  <c r="D14" i="95"/>
  <c r="D60" i="94"/>
  <c r="D45" i="94"/>
  <c r="D30" i="94"/>
  <c r="D15" i="94"/>
  <c r="F42" i="91"/>
  <c r="E42" i="91"/>
  <c r="D42" i="91"/>
  <c r="F41" i="91"/>
  <c r="E41" i="91"/>
  <c r="D41" i="91"/>
  <c r="F32" i="91"/>
  <c r="E32" i="91"/>
  <c r="D32" i="91"/>
  <c r="F31" i="91"/>
  <c r="E31" i="91"/>
  <c r="D31" i="91"/>
  <c r="F23" i="91"/>
  <c r="E23" i="91"/>
  <c r="F22" i="91"/>
  <c r="E22" i="91"/>
  <c r="D22" i="91"/>
  <c r="F21" i="91"/>
  <c r="E21" i="91"/>
  <c r="D21" i="91"/>
  <c r="F13" i="91"/>
  <c r="E13" i="91"/>
  <c r="F12" i="91"/>
  <c r="E12" i="91"/>
  <c r="D12" i="91"/>
  <c r="F11" i="91"/>
  <c r="E11" i="91"/>
  <c r="D11" i="91"/>
  <c r="F72" i="90"/>
  <c r="E72" i="90"/>
  <c r="D72" i="90"/>
  <c r="F69" i="90"/>
  <c r="E69" i="90"/>
  <c r="D69" i="90"/>
  <c r="F68" i="90"/>
  <c r="E68" i="90"/>
  <c r="D68" i="90"/>
  <c r="F54" i="90"/>
  <c r="E54" i="90"/>
  <c r="D54" i="90"/>
  <c r="F51" i="90"/>
  <c r="E51" i="90"/>
  <c r="D51" i="90"/>
  <c r="F50" i="90"/>
  <c r="E50" i="90"/>
  <c r="D50" i="90"/>
  <c r="F35" i="90"/>
  <c r="E35" i="90"/>
  <c r="D35" i="90"/>
  <c r="F32" i="90"/>
  <c r="E32" i="90"/>
  <c r="D32" i="90"/>
  <c r="F31" i="90"/>
  <c r="E31" i="90"/>
  <c r="D31" i="90"/>
  <c r="F16" i="90"/>
  <c r="E16" i="90"/>
  <c r="D16" i="90"/>
  <c r="F13" i="90"/>
  <c r="E13" i="90"/>
  <c r="D13" i="90"/>
  <c r="F12" i="90"/>
  <c r="E12" i="90"/>
  <c r="D12" i="90"/>
  <c r="F48" i="89"/>
  <c r="E48" i="89"/>
  <c r="D48" i="89"/>
  <c r="F37" i="89"/>
  <c r="E37" i="89"/>
  <c r="D37" i="89"/>
  <c r="F25" i="89"/>
  <c r="E25" i="89"/>
  <c r="D25" i="89"/>
  <c r="F13" i="89"/>
  <c r="E13" i="89"/>
  <c r="D13" i="89"/>
  <c r="D59" i="96"/>
  <c r="D58" i="96"/>
  <c r="D57" i="96"/>
  <c r="D56" i="96"/>
  <c r="D55" i="96"/>
  <c r="C54" i="96"/>
  <c r="D54" i="96" s="1"/>
  <c r="D59" i="93"/>
  <c r="D43" i="93"/>
  <c r="D27" i="93"/>
  <c r="D64" i="93"/>
  <c r="D48" i="93"/>
  <c r="D32" i="93"/>
  <c r="D16" i="93"/>
  <c r="D11" i="93"/>
  <c r="D34" i="96" l="1"/>
  <c r="D37" i="96" s="1"/>
  <c r="D39" i="96" s="1"/>
  <c r="D16" i="94" l="1"/>
  <c r="D35" i="93"/>
  <c r="D31" i="94"/>
  <c r="D51" i="93"/>
  <c r="D61" i="94"/>
  <c r="D19" i="93"/>
  <c r="D46" i="94"/>
  <c r="D67" i="93"/>
  <c r="D52" i="90"/>
  <c r="D53" i="90" s="1"/>
  <c r="D55" i="90" s="1"/>
  <c r="D33" i="90"/>
  <c r="D34" i="90" s="1"/>
  <c r="D36" i="90" s="1"/>
  <c r="D39" i="90" s="1"/>
  <c r="D14" i="90"/>
  <c r="D15" i="90" s="1"/>
  <c r="F70" i="90"/>
  <c r="F71" i="90" s="1"/>
  <c r="F52" i="90"/>
  <c r="F33" i="90"/>
  <c r="F14" i="90"/>
  <c r="F15" i="90" s="1"/>
  <c r="F17" i="90" s="1"/>
  <c r="D70" i="90"/>
  <c r="E70" i="90"/>
  <c r="E52" i="90"/>
  <c r="E53" i="90" s="1"/>
  <c r="E55" i="90" s="1"/>
  <c r="E58" i="90" s="1"/>
  <c r="E33" i="90"/>
  <c r="E34" i="90" s="1"/>
  <c r="E36" i="90" s="1"/>
  <c r="E14" i="90"/>
  <c r="E15" i="90" s="1"/>
  <c r="E17" i="90" s="1"/>
  <c r="E20" i="90" s="1"/>
  <c r="D56" i="94"/>
  <c r="D59" i="94" s="1"/>
  <c r="D44" i="93"/>
  <c r="D47" i="93" s="1"/>
  <c r="D12" i="93"/>
  <c r="D15" i="93" s="1"/>
  <c r="D22" i="95"/>
  <c r="D24" i="95" s="1"/>
  <c r="D11" i="94"/>
  <c r="D26" i="94"/>
  <c r="D28" i="93"/>
  <c r="D60" i="93"/>
  <c r="D63" i="93" s="1"/>
  <c r="D41" i="94"/>
  <c r="D44" i="94" s="1"/>
  <c r="D33" i="95"/>
  <c r="D35" i="95" s="1"/>
  <c r="C90" i="95" s="1"/>
  <c r="D44" i="95"/>
  <c r="D46" i="95" s="1"/>
  <c r="D11" i="95"/>
  <c r="D13" i="95" s="1"/>
  <c r="E75" i="90"/>
  <c r="E57" i="90"/>
  <c r="D57" i="90"/>
  <c r="E38" i="90"/>
  <c r="E19" i="90"/>
  <c r="D38" i="90"/>
  <c r="D19" i="90"/>
  <c r="F57" i="90"/>
  <c r="D75" i="90"/>
  <c r="F75" i="90"/>
  <c r="F38" i="90"/>
  <c r="F19" i="90"/>
  <c r="F78" i="90"/>
  <c r="F60" i="90"/>
  <c r="F41" i="90"/>
  <c r="F22" i="90"/>
  <c r="F51" i="89"/>
  <c r="F40" i="89"/>
  <c r="F28" i="89"/>
  <c r="F16" i="89"/>
  <c r="E78" i="90"/>
  <c r="E60" i="90"/>
  <c r="E41" i="90"/>
  <c r="E22" i="90"/>
  <c r="E51" i="89"/>
  <c r="E40" i="89"/>
  <c r="E28" i="89"/>
  <c r="E16" i="89"/>
  <c r="D78" i="90"/>
  <c r="D60" i="90"/>
  <c r="D41" i="90"/>
  <c r="D22" i="90"/>
  <c r="D51" i="89"/>
  <c r="D40" i="89"/>
  <c r="D28" i="89"/>
  <c r="D16" i="89"/>
  <c r="F56" i="90"/>
  <c r="D74" i="90"/>
  <c r="D56" i="90"/>
  <c r="D37" i="90"/>
  <c r="F37" i="90"/>
  <c r="F18" i="90"/>
  <c r="E56" i="90"/>
  <c r="E37" i="90"/>
  <c r="E18" i="90"/>
  <c r="D18" i="90"/>
  <c r="F74" i="90"/>
  <c r="E74" i="90"/>
  <c r="D15" i="89"/>
  <c r="D27" i="89"/>
  <c r="D59" i="90"/>
  <c r="D40" i="90"/>
  <c r="D21" i="90"/>
  <c r="D39" i="89"/>
  <c r="F77" i="90"/>
  <c r="F59" i="90"/>
  <c r="F40" i="90"/>
  <c r="F21" i="90"/>
  <c r="F50" i="89"/>
  <c r="F39" i="89"/>
  <c r="F27" i="89"/>
  <c r="F15" i="89"/>
  <c r="D50" i="89"/>
  <c r="E77" i="90"/>
  <c r="E59" i="90"/>
  <c r="E40" i="90"/>
  <c r="E21" i="90"/>
  <c r="E50" i="89"/>
  <c r="E39" i="89"/>
  <c r="E27" i="89"/>
  <c r="E15" i="89"/>
  <c r="D77" i="90"/>
  <c r="F26" i="89"/>
  <c r="F73" i="89" s="1"/>
  <c r="E38" i="89"/>
  <c r="D14" i="89"/>
  <c r="F38" i="89"/>
  <c r="E49" i="89"/>
  <c r="E14" i="89"/>
  <c r="D49" i="89"/>
  <c r="E26" i="89"/>
  <c r="D26" i="89"/>
  <c r="F49" i="89"/>
  <c r="F14" i="89"/>
  <c r="D38" i="89"/>
  <c r="C81" i="95"/>
  <c r="D81" i="95" s="1"/>
  <c r="C82" i="95"/>
  <c r="D82" i="95" s="1"/>
  <c r="C83" i="95"/>
  <c r="D83" i="95" s="1"/>
  <c r="C84" i="95"/>
  <c r="D84" i="95" s="1"/>
  <c r="D14" i="94"/>
  <c r="D29" i="94"/>
  <c r="D40" i="94"/>
  <c r="D55" i="94"/>
  <c r="C85" i="94"/>
  <c r="D85" i="94" s="1"/>
  <c r="C86" i="94"/>
  <c r="D86" i="94" s="1"/>
  <c r="C87" i="94"/>
  <c r="D87" i="94" s="1"/>
  <c r="C88" i="94"/>
  <c r="D88" i="94" s="1"/>
  <c r="D31" i="93"/>
  <c r="C85" i="93"/>
  <c r="D85" i="93" s="1"/>
  <c r="C86" i="93"/>
  <c r="C87" i="93"/>
  <c r="C88" i="93"/>
  <c r="E14" i="91"/>
  <c r="E80" i="91" s="1"/>
  <c r="E33" i="91"/>
  <c r="F33" i="91"/>
  <c r="D24" i="91"/>
  <c r="D81" i="91" s="1"/>
  <c r="D33" i="91"/>
  <c r="D43" i="91"/>
  <c r="D44" i="91" s="1"/>
  <c r="D83" i="91" s="1"/>
  <c r="E43" i="91"/>
  <c r="C73" i="91"/>
  <c r="D73" i="91" s="1"/>
  <c r="C74" i="91"/>
  <c r="D74" i="91" s="1"/>
  <c r="C75" i="91"/>
  <c r="D75" i="91" s="1"/>
  <c r="C76" i="91"/>
  <c r="D76" i="91" s="1"/>
  <c r="F34" i="90"/>
  <c r="F36" i="90" s="1"/>
  <c r="F53" i="90"/>
  <c r="F55" i="90" s="1"/>
  <c r="D71" i="90"/>
  <c r="E71" i="90"/>
  <c r="C85" i="90"/>
  <c r="D85" i="90" s="1"/>
  <c r="C86" i="90"/>
  <c r="D86" i="90" s="1"/>
  <c r="C87" i="90"/>
  <c r="D87" i="90" s="1"/>
  <c r="C88" i="90"/>
  <c r="D88" i="90" s="1"/>
  <c r="C65" i="89"/>
  <c r="D65" i="89" s="1"/>
  <c r="C66" i="89"/>
  <c r="D66" i="89" s="1"/>
  <c r="C67" i="89"/>
  <c r="D67" i="89" s="1"/>
  <c r="C68" i="89"/>
  <c r="D68" i="89" s="1"/>
  <c r="C97" i="95" l="1"/>
  <c r="K39" i="80" s="1"/>
  <c r="C95" i="93"/>
  <c r="C102" i="93" s="1"/>
  <c r="E74" i="89"/>
  <c r="E72" i="89"/>
  <c r="E73" i="89"/>
  <c r="D72" i="89"/>
  <c r="E34" i="91"/>
  <c r="E82" i="91" s="1"/>
  <c r="D73" i="90"/>
  <c r="D76" i="90" s="1"/>
  <c r="D95" i="90" s="1"/>
  <c r="E94" i="90"/>
  <c r="F72" i="89"/>
  <c r="F43" i="91"/>
  <c r="F44" i="91" s="1"/>
  <c r="F83" i="91" s="1"/>
  <c r="F24" i="91"/>
  <c r="F81" i="91" s="1"/>
  <c r="C92" i="94"/>
  <c r="F73" i="90"/>
  <c r="F76" i="90" s="1"/>
  <c r="D17" i="90"/>
  <c r="D20" i="90" s="1"/>
  <c r="D92" i="90" s="1"/>
  <c r="F34" i="91"/>
  <c r="F82" i="91" s="1"/>
  <c r="C89" i="95"/>
  <c r="C94" i="94"/>
  <c r="C88" i="95"/>
  <c r="C95" i="95" s="1"/>
  <c r="I39" i="80" s="1"/>
  <c r="E73" i="90"/>
  <c r="E76" i="90" s="1"/>
  <c r="E95" i="90" s="1"/>
  <c r="D73" i="89"/>
  <c r="F74" i="89"/>
  <c r="E44" i="91"/>
  <c r="E83" i="91" s="1"/>
  <c r="C93" i="93"/>
  <c r="E75" i="89"/>
  <c r="D74" i="89"/>
  <c r="F14" i="91"/>
  <c r="F80" i="91" s="1"/>
  <c r="D34" i="91"/>
  <c r="D82" i="91" s="1"/>
  <c r="F75" i="89"/>
  <c r="C92" i="93"/>
  <c r="D75" i="89"/>
  <c r="E24" i="91"/>
  <c r="E81" i="91" s="1"/>
  <c r="D14" i="91"/>
  <c r="D80" i="91" s="1"/>
  <c r="C95" i="94"/>
  <c r="C91" i="95"/>
  <c r="F39" i="90"/>
  <c r="F93" i="90" s="1"/>
  <c r="F20" i="90"/>
  <c r="F92" i="90" s="1"/>
  <c r="F58" i="90"/>
  <c r="F94" i="90" s="1"/>
  <c r="E39" i="90"/>
  <c r="E93" i="90" s="1"/>
  <c r="E92" i="90"/>
  <c r="C94" i="93"/>
  <c r="C93" i="94"/>
  <c r="D58" i="90"/>
  <c r="D94" i="90" s="1"/>
  <c r="D93" i="90"/>
  <c r="C99" i="94" l="1"/>
  <c r="I38" i="80" s="1"/>
  <c r="C98" i="95"/>
  <c r="L39" i="80" s="1"/>
  <c r="C102" i="94"/>
  <c r="L38" i="80" s="1"/>
  <c r="I30" i="86" s="1"/>
  <c r="J30" i="86" s="1"/>
  <c r="K30" i="86" s="1"/>
  <c r="L30" i="86" s="1"/>
  <c r="M30" i="86" s="1"/>
  <c r="L34" i="80"/>
  <c r="I29" i="86" s="1"/>
  <c r="J29" i="86" s="1"/>
  <c r="K29" i="86" s="1"/>
  <c r="L29" i="86" s="1"/>
  <c r="M29" i="86" s="1"/>
  <c r="C100" i="93"/>
  <c r="J34" i="80" s="1"/>
  <c r="C100" i="94"/>
  <c r="J38" i="80" s="1"/>
  <c r="C101" i="93"/>
  <c r="K34" i="80" s="1"/>
  <c r="I29" i="85" s="1"/>
  <c r="J29" i="85" s="1"/>
  <c r="K29" i="85" s="1"/>
  <c r="L29" i="85" s="1"/>
  <c r="M29" i="85" s="1"/>
  <c r="C99" i="93"/>
  <c r="I34" i="80" s="1"/>
  <c r="C101" i="94"/>
  <c r="K38" i="80" s="1"/>
  <c r="I30" i="85" s="1"/>
  <c r="J30" i="85" s="1"/>
  <c r="K30" i="85" s="1"/>
  <c r="L30" i="85" s="1"/>
  <c r="M30" i="85" s="1"/>
  <c r="C96" i="95"/>
  <c r="C103" i="95" s="1"/>
  <c r="C89" i="91"/>
  <c r="C79" i="89"/>
  <c r="D79" i="89" s="1"/>
  <c r="I14" i="80" s="1"/>
  <c r="C87" i="91"/>
  <c r="C81" i="89"/>
  <c r="D81" i="89" s="1"/>
  <c r="C82" i="89"/>
  <c r="D82" i="89" s="1"/>
  <c r="C80" i="89"/>
  <c r="D80" i="89" s="1"/>
  <c r="F95" i="90"/>
  <c r="C101" i="90"/>
  <c r="C88" i="91"/>
  <c r="C90" i="91"/>
  <c r="C99" i="90"/>
  <c r="C100" i="90"/>
  <c r="C105" i="95"/>
  <c r="I13" i="86"/>
  <c r="J13" i="86"/>
  <c r="M13" i="86"/>
  <c r="L13" i="86"/>
  <c r="K13" i="86"/>
  <c r="J29" i="81" l="1"/>
  <c r="K29" i="81"/>
  <c r="L29" i="81"/>
  <c r="M29" i="81"/>
  <c r="I29" i="81"/>
  <c r="C109" i="94"/>
  <c r="J39" i="80"/>
  <c r="J30" i="81" s="1"/>
  <c r="C108" i="93"/>
  <c r="C107" i="93"/>
  <c r="C107" i="94"/>
  <c r="C104" i="95"/>
  <c r="D100" i="90"/>
  <c r="J16" i="80" s="1"/>
  <c r="C109" i="93"/>
  <c r="D99" i="90"/>
  <c r="I16" i="80" s="1"/>
  <c r="D89" i="91"/>
  <c r="K18" i="80" s="1"/>
  <c r="I25" i="85" s="1"/>
  <c r="J25" i="85" s="1"/>
  <c r="K25" i="85" s="1"/>
  <c r="L25" i="85" s="1"/>
  <c r="M25" i="85" s="1"/>
  <c r="D90" i="91"/>
  <c r="L18" i="80" s="1"/>
  <c r="I25" i="86" s="1"/>
  <c r="J25" i="86" s="1"/>
  <c r="K25" i="86" s="1"/>
  <c r="L25" i="86" s="1"/>
  <c r="M25" i="86" s="1"/>
  <c r="D88" i="91"/>
  <c r="J18" i="80" s="1"/>
  <c r="C108" i="94"/>
  <c r="D87" i="91"/>
  <c r="D101" i="90"/>
  <c r="C102" i="90"/>
  <c r="J14" i="80"/>
  <c r="L14" i="80"/>
  <c r="K14" i="80"/>
  <c r="C87" i="89"/>
  <c r="C89" i="89"/>
  <c r="I25" i="81" l="1"/>
  <c r="J25" i="81"/>
  <c r="K25" i="81"/>
  <c r="L25" i="81"/>
  <c r="M25" i="81"/>
  <c r="I30" i="81"/>
  <c r="K30" i="81"/>
  <c r="I24" i="81"/>
  <c r="J24" i="81"/>
  <c r="K24" i="81"/>
  <c r="L24" i="81"/>
  <c r="M24" i="81"/>
  <c r="M30" i="81"/>
  <c r="L30" i="81"/>
  <c r="C108" i="90"/>
  <c r="C96" i="91"/>
  <c r="C107" i="90"/>
  <c r="C95" i="91"/>
  <c r="C97" i="91"/>
  <c r="K16" i="80"/>
  <c r="I24" i="85" s="1"/>
  <c r="J24" i="85" s="1"/>
  <c r="K24" i="85" s="1"/>
  <c r="L24" i="85" s="1"/>
  <c r="M24" i="85" s="1"/>
  <c r="I18" i="80"/>
  <c r="D102" i="90"/>
  <c r="L16" i="80" s="1"/>
  <c r="I24" i="86" s="1"/>
  <c r="J24" i="86" s="1"/>
  <c r="K24" i="86" s="1"/>
  <c r="L24" i="86" s="1"/>
  <c r="M24" i="86" s="1"/>
  <c r="C88" i="89"/>
  <c r="I30" i="68"/>
  <c r="I29" i="68"/>
  <c r="I28" i="68"/>
  <c r="I27" i="68"/>
  <c r="I26" i="68"/>
  <c r="I24" i="68"/>
  <c r="J47" i="80"/>
  <c r="I13" i="64"/>
  <c r="I22" i="64"/>
  <c r="I20" i="64"/>
  <c r="I14" i="64"/>
  <c r="I15" i="64"/>
  <c r="K47" i="80" l="1"/>
  <c r="I25" i="68"/>
  <c r="I47" i="80"/>
  <c r="C109" i="90"/>
  <c r="L47" i="80"/>
  <c r="N43" i="86"/>
  <c r="I43" i="86"/>
  <c r="N41" i="85"/>
  <c r="I41" i="85"/>
  <c r="J41" i="85" s="1"/>
  <c r="I41" i="81"/>
  <c r="J41" i="81" s="1"/>
  <c r="K41" i="81" s="1"/>
  <c r="L41" i="81" s="1"/>
  <c r="M41" i="81" s="1"/>
  <c r="N41" i="81" s="1"/>
  <c r="O41" i="81" s="1"/>
  <c r="P41" i="81" s="1"/>
  <c r="Q41" i="81" s="1"/>
  <c r="R41" i="81" s="1"/>
  <c r="S41" i="81" s="1"/>
  <c r="T41" i="81" s="1"/>
  <c r="U41" i="81" s="1"/>
  <c r="V41" i="81" s="1"/>
  <c r="W41" i="81" s="1"/>
  <c r="X41" i="81" s="1"/>
  <c r="Y41" i="81" s="1"/>
  <c r="Z41" i="81" s="1"/>
  <c r="AA41" i="81" s="1"/>
  <c r="AB41" i="81" s="1"/>
  <c r="AC41" i="81" s="1"/>
  <c r="AD41" i="81" s="1"/>
  <c r="AE41" i="81" s="1"/>
  <c r="AF41" i="81" s="1"/>
  <c r="AG41" i="81" s="1"/>
  <c r="I40" i="81"/>
  <c r="J40" i="81" s="1"/>
  <c r="K40" i="81" s="1"/>
  <c r="L40" i="81" s="1"/>
  <c r="M40" i="81" s="1"/>
  <c r="N40" i="81" s="1"/>
  <c r="O40" i="81" s="1"/>
  <c r="P40" i="81" s="1"/>
  <c r="Q40" i="81" s="1"/>
  <c r="R40" i="81" s="1"/>
  <c r="S40" i="81" s="1"/>
  <c r="T40" i="81" s="1"/>
  <c r="U40" i="81" s="1"/>
  <c r="V40" i="81" s="1"/>
  <c r="W40" i="81" s="1"/>
  <c r="X40" i="81" s="1"/>
  <c r="Y40" i="81" s="1"/>
  <c r="Z40" i="81" s="1"/>
  <c r="AA40" i="81" s="1"/>
  <c r="I39" i="81"/>
  <c r="J39" i="81" s="1"/>
  <c r="K39" i="81" s="1"/>
  <c r="L39" i="81" s="1"/>
  <c r="M39" i="81" s="1"/>
  <c r="N39" i="81" s="1"/>
  <c r="O39" i="81" s="1"/>
  <c r="P39" i="81" s="1"/>
  <c r="Q39" i="81" s="1"/>
  <c r="R39" i="81" s="1"/>
  <c r="S39" i="81" s="1"/>
  <c r="T39" i="81" s="1"/>
  <c r="U39" i="81" s="1"/>
  <c r="V39" i="81" s="1"/>
  <c r="W39" i="81" s="1"/>
  <c r="X39" i="81" s="1"/>
  <c r="Y39" i="81" s="1"/>
  <c r="Z39" i="81" s="1"/>
  <c r="AA39" i="81" s="1"/>
  <c r="I40" i="68"/>
  <c r="J40" i="68" s="1"/>
  <c r="K40" i="68" s="1"/>
  <c r="L40" i="68" s="1"/>
  <c r="M40" i="68" s="1"/>
  <c r="N40" i="68" s="1"/>
  <c r="O40" i="68" s="1"/>
  <c r="P40" i="68" s="1"/>
  <c r="Q40" i="68" s="1"/>
  <c r="R40" i="68" s="1"/>
  <c r="S40" i="68" s="1"/>
  <c r="T40" i="68" s="1"/>
  <c r="U40" i="68" s="1"/>
  <c r="V40" i="68" s="1"/>
  <c r="W40" i="68" s="1"/>
  <c r="X40" i="68" s="1"/>
  <c r="Y40" i="68" s="1"/>
  <c r="Z40" i="68" s="1"/>
  <c r="AA40" i="68" s="1"/>
  <c r="AB40" i="68" s="1"/>
  <c r="M18" i="86"/>
  <c r="L18" i="86"/>
  <c r="K18" i="86"/>
  <c r="J18" i="86"/>
  <c r="J18" i="85"/>
  <c r="K18" i="85"/>
  <c r="L18" i="85"/>
  <c r="M18" i="85"/>
  <c r="I18" i="85"/>
  <c r="J13" i="85"/>
  <c r="K13" i="85"/>
  <c r="L13" i="85"/>
  <c r="M13" i="85"/>
  <c r="I13" i="85"/>
  <c r="I43" i="85" l="1"/>
  <c r="I18" i="86"/>
  <c r="I23" i="64"/>
  <c r="I16" i="64"/>
  <c r="O43" i="86"/>
  <c r="J43" i="85"/>
  <c r="K41" i="85"/>
  <c r="I43" i="81"/>
  <c r="AC40" i="68"/>
  <c r="AB42" i="68"/>
  <c r="J43" i="86" l="1"/>
  <c r="P43" i="86"/>
  <c r="K43" i="85"/>
  <c r="L41" i="85"/>
  <c r="AD40" i="68"/>
  <c r="AC42" i="68"/>
  <c r="J43" i="81"/>
  <c r="Q43" i="86" l="1"/>
  <c r="K43" i="86"/>
  <c r="L43" i="85"/>
  <c r="M41" i="85"/>
  <c r="AE40" i="68"/>
  <c r="AD42" i="68"/>
  <c r="K43" i="81"/>
  <c r="L43" i="86" l="1"/>
  <c r="M43" i="86"/>
  <c r="R43" i="86"/>
  <c r="M43" i="85"/>
  <c r="AF40" i="68"/>
  <c r="AE42" i="68"/>
  <c r="L43" i="81"/>
  <c r="S43" i="86" l="1"/>
  <c r="O41" i="85"/>
  <c r="AG40" i="68"/>
  <c r="AG42" i="68" s="1"/>
  <c r="AF42" i="68"/>
  <c r="M43" i="81"/>
  <c r="T43" i="86" l="1"/>
  <c r="P41" i="85"/>
  <c r="U43" i="86" l="1"/>
  <c r="Q41" i="85"/>
  <c r="V43" i="86" l="1"/>
  <c r="R41" i="85"/>
  <c r="W43" i="86" l="1"/>
  <c r="S41" i="85"/>
  <c r="X43" i="86" l="1"/>
  <c r="T41" i="85"/>
  <c r="Y43" i="86" l="1"/>
  <c r="U41" i="85"/>
  <c r="Z43" i="86" l="1"/>
  <c r="V41" i="85"/>
  <c r="AA43" i="86" l="1"/>
  <c r="W41" i="85"/>
  <c r="AB43" i="86" l="1"/>
  <c r="X41" i="85"/>
  <c r="AC43" i="86" l="1"/>
  <c r="Y41" i="85"/>
  <c r="AD43" i="86" l="1"/>
  <c r="Z41" i="85"/>
  <c r="AE43" i="86" l="1"/>
  <c r="AA41" i="85"/>
  <c r="AB41" i="85" s="1"/>
  <c r="AF43" i="86" l="1"/>
  <c r="AG43" i="86"/>
  <c r="AC43" i="85" l="1"/>
  <c r="AB43" i="81"/>
  <c r="AD43" i="85" l="1"/>
  <c r="AC43" i="81"/>
  <c r="AE43" i="85" l="1"/>
  <c r="AD43" i="81"/>
  <c r="AF43" i="85" l="1"/>
  <c r="AG43" i="85"/>
  <c r="AE43" i="81"/>
  <c r="AG43" i="81" l="1"/>
  <c r="AF43" i="81"/>
  <c r="E22" i="81" l="1"/>
  <c r="E22" i="85"/>
  <c r="E22" i="86"/>
  <c r="K18" i="68" l="1"/>
  <c r="L18" i="68"/>
  <c r="M18" i="68"/>
  <c r="J18" i="81"/>
  <c r="K18" i="81"/>
  <c r="L18" i="81"/>
  <c r="M18" i="81"/>
  <c r="I18" i="81"/>
  <c r="I18" i="68"/>
  <c r="J13" i="68"/>
  <c r="K13" i="68"/>
  <c r="L13" i="68"/>
  <c r="M13" i="68"/>
  <c r="J13" i="81"/>
  <c r="K13" i="81"/>
  <c r="L13" i="81"/>
  <c r="M13" i="81"/>
  <c r="I13" i="81"/>
  <c r="I13" i="68"/>
  <c r="J18" i="68" l="1"/>
  <c r="N40" i="85" l="1"/>
  <c r="O40" i="85" s="1"/>
  <c r="P40" i="85" s="1"/>
  <c r="Q40" i="85" s="1"/>
  <c r="R40" i="85" s="1"/>
  <c r="S40" i="85" s="1"/>
  <c r="T40" i="85" s="1"/>
  <c r="U40" i="85" s="1"/>
  <c r="V40" i="85" s="1"/>
  <c r="W40" i="85" s="1"/>
  <c r="X40" i="85" s="1"/>
  <c r="Y40" i="85" s="1"/>
  <c r="Z40" i="85" s="1"/>
  <c r="AA40" i="85" s="1"/>
  <c r="AB40" i="85" s="1"/>
  <c r="N39" i="85"/>
  <c r="I39" i="68"/>
  <c r="J39" i="68" s="1"/>
  <c r="K39" i="68" s="1"/>
  <c r="L39" i="68" s="1"/>
  <c r="M39" i="68" s="1"/>
  <c r="N39" i="68" s="1"/>
  <c r="O39" i="68" s="1"/>
  <c r="P39" i="68" s="1"/>
  <c r="Q39" i="68" s="1"/>
  <c r="R39" i="68" s="1"/>
  <c r="S39" i="68" s="1"/>
  <c r="T39" i="68" s="1"/>
  <c r="U39" i="68" s="1"/>
  <c r="V39" i="68" s="1"/>
  <c r="W39" i="68" s="1"/>
  <c r="X39" i="68" s="1"/>
  <c r="Y39" i="68" s="1"/>
  <c r="Z39" i="68" s="1"/>
  <c r="AA39" i="68" s="1"/>
  <c r="I38" i="68"/>
  <c r="J30" i="68"/>
  <c r="K30" i="68" s="1"/>
  <c r="L30" i="68" s="1"/>
  <c r="M30" i="68" s="1"/>
  <c r="J28" i="68"/>
  <c r="K28" i="68" s="1"/>
  <c r="L28" i="68" s="1"/>
  <c r="M28" i="68" s="1"/>
  <c r="J27" i="68"/>
  <c r="K27" i="68" s="1"/>
  <c r="L27" i="68" s="1"/>
  <c r="M27" i="68" s="1"/>
  <c r="J24" i="68"/>
  <c r="K24" i="68" s="1"/>
  <c r="L24" i="68" s="1"/>
  <c r="M24" i="68" s="1"/>
  <c r="J25" i="68"/>
  <c r="K25" i="68" s="1"/>
  <c r="L25" i="68" s="1"/>
  <c r="M25" i="68" s="1"/>
  <c r="J26" i="68"/>
  <c r="K26" i="68" s="1"/>
  <c r="L26" i="68" s="1"/>
  <c r="M26" i="68" s="1"/>
  <c r="J29" i="68"/>
  <c r="K29" i="68" s="1"/>
  <c r="L29" i="68" s="1"/>
  <c r="M29" i="68" s="1"/>
  <c r="D77" i="75"/>
  <c r="O39" i="85" l="1"/>
  <c r="N43" i="85"/>
  <c r="J38" i="68"/>
  <c r="I42" i="68"/>
  <c r="N43" i="81"/>
  <c r="C64" i="86"/>
  <c r="C63" i="86"/>
  <c r="C62" i="86"/>
  <c r="C59" i="86"/>
  <c r="C58" i="86"/>
  <c r="C57" i="86"/>
  <c r="C54" i="86"/>
  <c r="C53" i="86"/>
  <c r="C52" i="86"/>
  <c r="C49" i="86"/>
  <c r="C64" i="85"/>
  <c r="C63" i="85"/>
  <c r="C62" i="85"/>
  <c r="C59" i="85"/>
  <c r="C58" i="85"/>
  <c r="C57" i="85"/>
  <c r="C54" i="85"/>
  <c r="C53" i="85"/>
  <c r="C52" i="85"/>
  <c r="C49" i="85"/>
  <c r="C62" i="81"/>
  <c r="C57" i="81"/>
  <c r="C52" i="81"/>
  <c r="F8" i="33"/>
  <c r="P39" i="85" l="1"/>
  <c r="O43" i="85"/>
  <c r="O43" i="81"/>
  <c r="K38" i="68"/>
  <c r="J42" i="68"/>
  <c r="C53" i="62"/>
  <c r="C52" i="62"/>
  <c r="C51" i="62"/>
  <c r="C49" i="62"/>
  <c r="C48" i="62"/>
  <c r="C47" i="62"/>
  <c r="I70" i="81"/>
  <c r="R64" i="86"/>
  <c r="Q64" i="86"/>
  <c r="P64" i="86"/>
  <c r="O64" i="86"/>
  <c r="N64" i="86"/>
  <c r="M64" i="86"/>
  <c r="L64" i="86"/>
  <c r="K64" i="86"/>
  <c r="J64" i="86"/>
  <c r="I64" i="86"/>
  <c r="R54" i="86"/>
  <c r="Q54" i="86"/>
  <c r="P54" i="86"/>
  <c r="O54" i="86"/>
  <c r="N54" i="86"/>
  <c r="M54" i="86"/>
  <c r="L54" i="86"/>
  <c r="K54" i="86"/>
  <c r="J54" i="86"/>
  <c r="I54" i="86"/>
  <c r="R70" i="86"/>
  <c r="Q70" i="86"/>
  <c r="P70" i="86"/>
  <c r="O70" i="86"/>
  <c r="N70" i="86"/>
  <c r="M70" i="86"/>
  <c r="L70" i="86"/>
  <c r="K70" i="86"/>
  <c r="J70" i="86"/>
  <c r="I70" i="86"/>
  <c r="AG32" i="86"/>
  <c r="AF32" i="86"/>
  <c r="AE32" i="86"/>
  <c r="AD32" i="86"/>
  <c r="AC32" i="86"/>
  <c r="AB32" i="86"/>
  <c r="AA32" i="86"/>
  <c r="Z32" i="86"/>
  <c r="Y32" i="86"/>
  <c r="X32" i="86"/>
  <c r="W32" i="86"/>
  <c r="V32" i="86"/>
  <c r="U32" i="86"/>
  <c r="T32" i="86"/>
  <c r="S32" i="86"/>
  <c r="R32" i="86"/>
  <c r="Q32" i="86"/>
  <c r="P32" i="86"/>
  <c r="O32" i="86"/>
  <c r="N32" i="86"/>
  <c r="I32" i="86"/>
  <c r="L32" i="86"/>
  <c r="M32" i="86"/>
  <c r="K32" i="86"/>
  <c r="J32" i="86"/>
  <c r="AG16" i="86"/>
  <c r="AF16" i="86"/>
  <c r="AE16" i="86"/>
  <c r="AD16" i="86"/>
  <c r="AC16" i="86"/>
  <c r="AB16" i="86"/>
  <c r="AA16" i="86"/>
  <c r="Z16" i="86"/>
  <c r="Y16" i="86"/>
  <c r="X16" i="86"/>
  <c r="W16" i="86"/>
  <c r="V16" i="86"/>
  <c r="U16" i="86"/>
  <c r="T16" i="86"/>
  <c r="S16" i="86"/>
  <c r="M16" i="86"/>
  <c r="L16" i="86"/>
  <c r="K16" i="86"/>
  <c r="J16" i="86"/>
  <c r="I16" i="86"/>
  <c r="A6" i="86"/>
  <c r="A2" i="86"/>
  <c r="A1" i="86"/>
  <c r="G67" i="75"/>
  <c r="G66" i="75"/>
  <c r="G65" i="75"/>
  <c r="G64" i="75"/>
  <c r="G63" i="75"/>
  <c r="G62" i="75"/>
  <c r="G61" i="75"/>
  <c r="G60" i="75"/>
  <c r="G58" i="75"/>
  <c r="G57" i="75"/>
  <c r="G53" i="75"/>
  <c r="G52" i="75"/>
  <c r="G51" i="75"/>
  <c r="G50" i="75"/>
  <c r="G49" i="75"/>
  <c r="G48" i="75"/>
  <c r="G47" i="75"/>
  <c r="G46" i="75"/>
  <c r="G44" i="75"/>
  <c r="G43" i="75"/>
  <c r="G39" i="75"/>
  <c r="G38" i="75"/>
  <c r="G37" i="75"/>
  <c r="G36" i="75"/>
  <c r="G35" i="75"/>
  <c r="G34" i="75"/>
  <c r="G33" i="75"/>
  <c r="G32" i="75"/>
  <c r="G30" i="75"/>
  <c r="G29" i="75"/>
  <c r="R64" i="85"/>
  <c r="Q64" i="85"/>
  <c r="P64" i="85"/>
  <c r="O64" i="85"/>
  <c r="N64" i="85"/>
  <c r="M64" i="85"/>
  <c r="L64" i="85"/>
  <c r="K64" i="85"/>
  <c r="J64" i="85"/>
  <c r="I64" i="85"/>
  <c r="R54" i="85"/>
  <c r="Q54" i="85"/>
  <c r="P54" i="85"/>
  <c r="O54" i="85"/>
  <c r="N54" i="85"/>
  <c r="M54" i="85"/>
  <c r="L54" i="85"/>
  <c r="K54" i="85"/>
  <c r="J54" i="85"/>
  <c r="I54" i="85"/>
  <c r="R52" i="85"/>
  <c r="Q52" i="85"/>
  <c r="P52" i="85"/>
  <c r="O52" i="85"/>
  <c r="N52" i="85"/>
  <c r="O70" i="85"/>
  <c r="N70" i="85"/>
  <c r="M70" i="85"/>
  <c r="L70" i="85"/>
  <c r="K70" i="85"/>
  <c r="J70" i="85"/>
  <c r="I70" i="85"/>
  <c r="AG32" i="85"/>
  <c r="AF32" i="85"/>
  <c r="AE32" i="85"/>
  <c r="AD32" i="85"/>
  <c r="AC32" i="85"/>
  <c r="AB32" i="85"/>
  <c r="AA32" i="85"/>
  <c r="Z32" i="85"/>
  <c r="Y32" i="85"/>
  <c r="X32" i="85"/>
  <c r="W32" i="85"/>
  <c r="V32" i="85"/>
  <c r="U32" i="85"/>
  <c r="T32" i="85"/>
  <c r="S32" i="85"/>
  <c r="R32" i="85"/>
  <c r="Q32" i="85"/>
  <c r="P32" i="85"/>
  <c r="O32" i="85"/>
  <c r="N32" i="85"/>
  <c r="I32" i="85"/>
  <c r="L32" i="85"/>
  <c r="AG16" i="85"/>
  <c r="AF16" i="85"/>
  <c r="AE16" i="85"/>
  <c r="AD16" i="85"/>
  <c r="AC16" i="85"/>
  <c r="AB16" i="85"/>
  <c r="AA16" i="85"/>
  <c r="Z16" i="85"/>
  <c r="Y16" i="85"/>
  <c r="X16" i="85"/>
  <c r="W16" i="85"/>
  <c r="V16" i="85"/>
  <c r="U16" i="85"/>
  <c r="T16" i="85"/>
  <c r="S16" i="85"/>
  <c r="M16" i="85"/>
  <c r="L16" i="85"/>
  <c r="K16" i="85"/>
  <c r="J16" i="85"/>
  <c r="I16" i="85"/>
  <c r="A6" i="85"/>
  <c r="A2" i="85"/>
  <c r="A1" i="85"/>
  <c r="I68" i="68"/>
  <c r="AG36" i="68"/>
  <c r="AF36" i="68"/>
  <c r="AE36" i="68"/>
  <c r="AD36" i="68"/>
  <c r="AC36" i="68"/>
  <c r="AB36" i="68"/>
  <c r="AA36" i="68"/>
  <c r="Z36" i="68"/>
  <c r="Y36" i="68"/>
  <c r="X36" i="68"/>
  <c r="W36" i="68"/>
  <c r="V36" i="68"/>
  <c r="U36" i="68"/>
  <c r="T36" i="68"/>
  <c r="S36" i="68"/>
  <c r="R36" i="68"/>
  <c r="Q36" i="68"/>
  <c r="P36" i="68"/>
  <c r="O36" i="68"/>
  <c r="N36" i="68"/>
  <c r="M36" i="68"/>
  <c r="L36" i="68"/>
  <c r="K36" i="68"/>
  <c r="J36" i="68"/>
  <c r="I36" i="68"/>
  <c r="L32" i="81"/>
  <c r="L70" i="81" s="1"/>
  <c r="J70" i="81"/>
  <c r="X32" i="81"/>
  <c r="Y32" i="81"/>
  <c r="Z32" i="81"/>
  <c r="AA32" i="81"/>
  <c r="AB32" i="81"/>
  <c r="AC32" i="81"/>
  <c r="AD32" i="81"/>
  <c r="AE32" i="81"/>
  <c r="AF32" i="81"/>
  <c r="AG32" i="81"/>
  <c r="I32" i="81"/>
  <c r="Q78" i="47"/>
  <c r="Q79" i="47" s="1"/>
  <c r="Q80" i="47" s="1"/>
  <c r="I69" i="68"/>
  <c r="C43" i="62"/>
  <c r="B61" i="62"/>
  <c r="C45" i="62"/>
  <c r="C44" i="62"/>
  <c r="C41" i="62"/>
  <c r="C40" i="62"/>
  <c r="C39" i="62"/>
  <c r="J64" i="68"/>
  <c r="K64" i="68"/>
  <c r="L64" i="68"/>
  <c r="M64" i="68"/>
  <c r="I64" i="68"/>
  <c r="A1" i="81"/>
  <c r="A2" i="81"/>
  <c r="A1" i="68"/>
  <c r="A2" i="68"/>
  <c r="A1" i="75"/>
  <c r="A2" i="75"/>
  <c r="E9" i="47"/>
  <c r="I6" i="68"/>
  <c r="I6" i="85" s="1"/>
  <c r="C9" i="33" a="1"/>
  <c r="C9" i="33" s="1"/>
  <c r="J64" i="81"/>
  <c r="K64" i="81"/>
  <c r="L64" i="81"/>
  <c r="M64" i="81"/>
  <c r="N64" i="81"/>
  <c r="O64" i="81"/>
  <c r="P64" i="81"/>
  <c r="Q64" i="81"/>
  <c r="R64" i="81"/>
  <c r="I64" i="81"/>
  <c r="I6" i="86" l="1"/>
  <c r="I59" i="86" a="1"/>
  <c r="I59" i="86" s="1"/>
  <c r="Q39" i="85"/>
  <c r="P43" i="85"/>
  <c r="P70" i="85" s="1"/>
  <c r="L38" i="68"/>
  <c r="K42" i="68"/>
  <c r="P43" i="81"/>
  <c r="P70" i="81" s="1"/>
  <c r="I59" i="85" a="1"/>
  <c r="I59" i="85" s="1"/>
  <c r="D51" i="62"/>
  <c r="C4" i="86" s="1"/>
  <c r="D47" i="62"/>
  <c r="C4" i="85" s="1"/>
  <c r="C11" i="47"/>
  <c r="I68" i="85"/>
  <c r="I68" i="86"/>
  <c r="G75" i="86" a="1"/>
  <c r="G75" i="86" s="1"/>
  <c r="C12" i="47"/>
  <c r="G76" i="86" a="1"/>
  <c r="G76" i="86" s="1"/>
  <c r="M32" i="85"/>
  <c r="G76" i="85" a="1"/>
  <c r="G76" i="85" s="1"/>
  <c r="G75" i="85" a="1"/>
  <c r="G75" i="85" s="1"/>
  <c r="J32" i="85"/>
  <c r="K32" i="85"/>
  <c r="J32" i="81"/>
  <c r="O70" i="81"/>
  <c r="K32" i="81"/>
  <c r="M70" i="81"/>
  <c r="K70" i="81"/>
  <c r="D43" i="62"/>
  <c r="C4" i="81" s="1"/>
  <c r="D39" i="62"/>
  <c r="C4" i="68" s="1"/>
  <c r="D78" i="75"/>
  <c r="R39" i="85" l="1"/>
  <c r="Q43" i="85"/>
  <c r="Q70" i="85" s="1"/>
  <c r="Q43" i="81"/>
  <c r="M38" i="68"/>
  <c r="L42" i="68"/>
  <c r="D27" i="62"/>
  <c r="G77" i="85"/>
  <c r="C27" i="62" s="1"/>
  <c r="D9" i="47"/>
  <c r="A6" i="75"/>
  <c r="S39" i="85" l="1"/>
  <c r="R43" i="85"/>
  <c r="R70" i="85" s="1"/>
  <c r="N38" i="68"/>
  <c r="M42" i="68"/>
  <c r="R43" i="81"/>
  <c r="R70" i="81" s="1"/>
  <c r="I6" i="75"/>
  <c r="H6" i="75"/>
  <c r="E16" i="33"/>
  <c r="D28" i="33"/>
  <c r="I8" i="33"/>
  <c r="H8" i="33"/>
  <c r="A15" i="75"/>
  <c r="A16" i="75" s="1"/>
  <c r="A78" i="75" s="1"/>
  <c r="A29" i="75"/>
  <c r="A43" i="75"/>
  <c r="A44" i="75" s="1"/>
  <c r="A45" i="75" s="1"/>
  <c r="A46" i="75" s="1"/>
  <c r="A47" i="75" s="1"/>
  <c r="A48" i="75" s="1"/>
  <c r="A49" i="75" s="1"/>
  <c r="A50" i="75" s="1"/>
  <c r="A51" i="75" s="1"/>
  <c r="A52" i="75" s="1"/>
  <c r="A53" i="75" s="1"/>
  <c r="A57" i="75"/>
  <c r="A58" i="75" s="1"/>
  <c r="A59" i="75" s="1"/>
  <c r="A60" i="75" s="1"/>
  <c r="A61" i="75" s="1"/>
  <c r="A62" i="75" s="1"/>
  <c r="A63" i="75" s="1"/>
  <c r="A64" i="75" s="1"/>
  <c r="A65" i="75" s="1"/>
  <c r="A66" i="75" s="1"/>
  <c r="A67" i="75" s="1"/>
  <c r="H8" i="68"/>
  <c r="H9" i="75" s="1"/>
  <c r="H5" i="75" s="1"/>
  <c r="AG16" i="81"/>
  <c r="AF16" i="81"/>
  <c r="AE16" i="81"/>
  <c r="AD16" i="81"/>
  <c r="AC16" i="81"/>
  <c r="AB16" i="81"/>
  <c r="AA16" i="81"/>
  <c r="Z16" i="81"/>
  <c r="Y16" i="81"/>
  <c r="X16" i="81"/>
  <c r="W16" i="81"/>
  <c r="V16" i="81"/>
  <c r="U16" i="81"/>
  <c r="T16" i="81"/>
  <c r="S16" i="81"/>
  <c r="M16" i="81"/>
  <c r="L16" i="81"/>
  <c r="K16" i="81"/>
  <c r="J16" i="81"/>
  <c r="I16" i="81"/>
  <c r="AG16" i="68"/>
  <c r="AF16" i="68"/>
  <c r="AE16" i="68"/>
  <c r="AD16" i="68"/>
  <c r="AC16" i="68"/>
  <c r="G23" i="75"/>
  <c r="G24" i="75"/>
  <c r="G25" i="75"/>
  <c r="A30" i="75" l="1"/>
  <c r="A31" i="75" s="1"/>
  <c r="A32" i="75" s="1"/>
  <c r="A33" i="75" s="1"/>
  <c r="A34" i="75" s="1"/>
  <c r="A35" i="75" s="1"/>
  <c r="A36" i="75" s="1"/>
  <c r="A37" i="75" s="1"/>
  <c r="A38" i="75" s="1"/>
  <c r="A39" i="75" s="1"/>
  <c r="D29" i="75"/>
  <c r="T39" i="85"/>
  <c r="S43" i="85"/>
  <c r="S43" i="81"/>
  <c r="O38" i="68"/>
  <c r="N42" i="68"/>
  <c r="H11" i="75" a="1"/>
  <c r="H11" i="75" s="1"/>
  <c r="A17" i="75"/>
  <c r="A18" i="75" s="1"/>
  <c r="A19" i="75" s="1"/>
  <c r="A20" i="75" s="1"/>
  <c r="A21" i="75" s="1"/>
  <c r="A22" i="75" s="1"/>
  <c r="A23" i="75" s="1"/>
  <c r="A24" i="75" s="1"/>
  <c r="A25" i="75" s="1"/>
  <c r="AF15" i="75"/>
  <c r="AG15" i="75"/>
  <c r="AE15" i="75"/>
  <c r="AD15" i="75"/>
  <c r="AC15" i="75"/>
  <c r="U39" i="85" l="1"/>
  <c r="T43" i="85"/>
  <c r="P38" i="68"/>
  <c r="O42" i="68"/>
  <c r="T43" i="81"/>
  <c r="V39" i="85" l="1"/>
  <c r="U43" i="85"/>
  <c r="U43" i="81"/>
  <c r="Q38" i="68"/>
  <c r="P42" i="68"/>
  <c r="D77" i="33"/>
  <c r="W39" i="85" l="1"/>
  <c r="V43" i="85"/>
  <c r="R38" i="68"/>
  <c r="Q42" i="68"/>
  <c r="V43" i="81"/>
  <c r="X39" i="85" l="1"/>
  <c r="W43" i="85"/>
  <c r="W43" i="81"/>
  <c r="S38" i="68"/>
  <c r="R42" i="68"/>
  <c r="D76" i="33"/>
  <c r="Y39" i="85" l="1"/>
  <c r="X43" i="85"/>
  <c r="T38" i="68"/>
  <c r="S42" i="68"/>
  <c r="X43" i="81"/>
  <c r="Z39" i="85" l="1"/>
  <c r="Y43" i="85"/>
  <c r="Y43" i="81"/>
  <c r="U38" i="68"/>
  <c r="T42" i="68"/>
  <c r="G16" i="75"/>
  <c r="AA39" i="85" l="1"/>
  <c r="Z43" i="85"/>
  <c r="V38" i="68"/>
  <c r="U42" i="68"/>
  <c r="AA43" i="81"/>
  <c r="Z43" i="81"/>
  <c r="D17" i="75"/>
  <c r="H78" i="75"/>
  <c r="D16" i="75"/>
  <c r="AB39" i="85" l="1"/>
  <c r="AB43" i="85" s="1"/>
  <c r="AA43" i="85"/>
  <c r="W38" i="68"/>
  <c r="V42" i="68"/>
  <c r="X38" i="68" l="1"/>
  <c r="W42" i="68"/>
  <c r="M69" i="68"/>
  <c r="L69" i="68"/>
  <c r="K69" i="68"/>
  <c r="J69" i="68"/>
  <c r="R68" i="86"/>
  <c r="Q68" i="86"/>
  <c r="P68" i="86"/>
  <c r="O68" i="86"/>
  <c r="N68" i="86"/>
  <c r="M68" i="68"/>
  <c r="L68" i="68"/>
  <c r="L68" i="86" s="1"/>
  <c r="K68" i="68"/>
  <c r="K68" i="86" s="1"/>
  <c r="J68" i="68"/>
  <c r="J68" i="86" s="1"/>
  <c r="I68" i="81"/>
  <c r="N52" i="81"/>
  <c r="O52" i="81"/>
  <c r="P52" i="81"/>
  <c r="Q52" i="81"/>
  <c r="R52" i="81"/>
  <c r="J54" i="81"/>
  <c r="K54" i="81"/>
  <c r="L54" i="81"/>
  <c r="M54" i="81"/>
  <c r="N54" i="81"/>
  <c r="O54" i="81"/>
  <c r="P54" i="81"/>
  <c r="Q54" i="81"/>
  <c r="R54" i="81"/>
  <c r="J52" i="68"/>
  <c r="J52" i="86" s="1"/>
  <c r="K52" i="68"/>
  <c r="K52" i="86" s="1"/>
  <c r="L52" i="68"/>
  <c r="L52" i="86" s="1"/>
  <c r="M52" i="68"/>
  <c r="M52" i="86" s="1"/>
  <c r="N52" i="86"/>
  <c r="O52" i="86"/>
  <c r="P52" i="86"/>
  <c r="Q52" i="86"/>
  <c r="R52" i="86"/>
  <c r="J53" i="68"/>
  <c r="K53" i="68"/>
  <c r="L53" i="68"/>
  <c r="M53" i="68"/>
  <c r="J54" i="68"/>
  <c r="K54" i="68"/>
  <c r="L54" i="68"/>
  <c r="M54" i="68"/>
  <c r="I54" i="81"/>
  <c r="I54" i="68"/>
  <c r="I53" i="68"/>
  <c r="I52" i="68"/>
  <c r="C64" i="81"/>
  <c r="C63" i="81"/>
  <c r="C59" i="81"/>
  <c r="C58" i="81"/>
  <c r="C54" i="81"/>
  <c r="C53" i="81"/>
  <c r="C64" i="68"/>
  <c r="C63" i="68"/>
  <c r="C62" i="68"/>
  <c r="C59" i="68"/>
  <c r="C58" i="68"/>
  <c r="C57" i="68"/>
  <c r="C54" i="68"/>
  <c r="C53" i="68"/>
  <c r="C52" i="68"/>
  <c r="M53" i="85" l="1"/>
  <c r="M53" i="86"/>
  <c r="M53" i="81"/>
  <c r="L53" i="85"/>
  <c r="L53" i="81"/>
  <c r="L53" i="86"/>
  <c r="K53" i="85"/>
  <c r="K53" i="81"/>
  <c r="K53" i="86"/>
  <c r="J53" i="81"/>
  <c r="J53" i="86"/>
  <c r="J53" i="85"/>
  <c r="I53" i="85"/>
  <c r="I58" i="85" s="1" a="1"/>
  <c r="I58" i="85" s="1"/>
  <c r="I63" i="85" s="1"/>
  <c r="I53" i="81"/>
  <c r="I53" i="86"/>
  <c r="I58" i="86" s="1" a="1"/>
  <c r="I58" i="86" s="1"/>
  <c r="I63" i="86" s="1"/>
  <c r="N53" i="81"/>
  <c r="N53" i="86"/>
  <c r="N53" i="85"/>
  <c r="R53" i="86"/>
  <c r="R53" i="81"/>
  <c r="R53" i="85"/>
  <c r="Q53" i="81"/>
  <c r="Q53" i="85"/>
  <c r="Q53" i="86"/>
  <c r="P53" i="86"/>
  <c r="P53" i="85"/>
  <c r="P53" i="81"/>
  <c r="O53" i="86"/>
  <c r="O53" i="85"/>
  <c r="O53" i="81"/>
  <c r="M68" i="86"/>
  <c r="M68" i="81"/>
  <c r="Y38" i="68"/>
  <c r="X42" i="68"/>
  <c r="I52" i="81"/>
  <c r="I52" i="86"/>
  <c r="I57" i="86" s="1" a="1"/>
  <c r="I57" i="86" s="1"/>
  <c r="I62" i="86" s="1"/>
  <c r="I65" i="86" s="1"/>
  <c r="I67" i="86" s="1"/>
  <c r="L68" i="81"/>
  <c r="L68" i="85"/>
  <c r="M68" i="85"/>
  <c r="N68" i="81"/>
  <c r="N68" i="85"/>
  <c r="O68" i="81"/>
  <c r="O68" i="85"/>
  <c r="P68" i="81"/>
  <c r="P68" i="85"/>
  <c r="Q68" i="81"/>
  <c r="Q68" i="85"/>
  <c r="J68" i="81"/>
  <c r="J68" i="85"/>
  <c r="R68" i="81"/>
  <c r="R68" i="85"/>
  <c r="K68" i="81"/>
  <c r="K68" i="85"/>
  <c r="M52" i="81"/>
  <c r="M52" i="85"/>
  <c r="L52" i="81"/>
  <c r="L52" i="85"/>
  <c r="K52" i="81"/>
  <c r="K52" i="85"/>
  <c r="J52" i="81"/>
  <c r="J52" i="85"/>
  <c r="I52" i="85"/>
  <c r="I57" i="68" a="1"/>
  <c r="I57" i="68" s="1"/>
  <c r="I62" i="68" s="1"/>
  <c r="I58" i="68" a="1"/>
  <c r="I58" i="68" s="1"/>
  <c r="I63" i="68" s="1"/>
  <c r="I59" i="68" a="1"/>
  <c r="I59" i="68" s="1"/>
  <c r="W15" i="75"/>
  <c r="O15" i="75"/>
  <c r="Y15" i="75"/>
  <c r="Q15" i="75"/>
  <c r="X15" i="75"/>
  <c r="P15" i="75"/>
  <c r="V15" i="75"/>
  <c r="N15" i="75"/>
  <c r="U15" i="75"/>
  <c r="M15" i="75"/>
  <c r="AB15" i="75"/>
  <c r="T15" i="75"/>
  <c r="L15" i="75"/>
  <c r="S15" i="75"/>
  <c r="AA15" i="75"/>
  <c r="K15" i="75"/>
  <c r="Z15" i="75"/>
  <c r="R15" i="75"/>
  <c r="J15" i="75"/>
  <c r="D42" i="75"/>
  <c r="D41" i="75"/>
  <c r="D68" i="75"/>
  <c r="Z38" i="68" l="1"/>
  <c r="Y42" i="68"/>
  <c r="I57" i="85" a="1"/>
  <c r="I57" i="85" s="1"/>
  <c r="I62" i="85" s="1"/>
  <c r="I65" i="85" s="1"/>
  <c r="I67" i="85" s="1"/>
  <c r="I65" i="68"/>
  <c r="I67" i="68" s="1"/>
  <c r="D43" i="75"/>
  <c r="AA38" i="68" l="1"/>
  <c r="AA42" i="68" s="1"/>
  <c r="Z42" i="68"/>
  <c r="D44" i="75"/>
  <c r="I6" i="81" l="1"/>
  <c r="A6" i="81"/>
  <c r="G76" i="81" l="1" a="1"/>
  <c r="G76" i="81" s="1"/>
  <c r="G75" i="81" a="1"/>
  <c r="G75" i="81" s="1"/>
  <c r="I57" i="81" a="1"/>
  <c r="I57" i="81" s="1"/>
  <c r="I62" i="81" s="1"/>
  <c r="I58" i="81" a="1"/>
  <c r="I58" i="81" s="1"/>
  <c r="I63" i="81" s="1"/>
  <c r="I59" i="81" a="1"/>
  <c r="I59" i="81" s="1"/>
  <c r="D58" i="75"/>
  <c r="D46" i="75"/>
  <c r="D30" i="75"/>
  <c r="C10" i="47"/>
  <c r="D26" i="62" l="1"/>
  <c r="D10" i="47"/>
  <c r="A4" i="81" s="1"/>
  <c r="G77" i="81" s="1"/>
  <c r="C26" i="62" s="1"/>
  <c r="I65" i="81"/>
  <c r="I67" i="81" s="1"/>
  <c r="D65" i="75"/>
  <c r="D37" i="75"/>
  <c r="D47" i="75"/>
  <c r="D39" i="75" l="1"/>
  <c r="D38" i="75"/>
  <c r="D67" i="75"/>
  <c r="D66" i="75"/>
  <c r="D25" i="75"/>
  <c r="D24" i="75"/>
  <c r="D48" i="75"/>
  <c r="D31" i="75"/>
  <c r="D49" i="75" l="1"/>
  <c r="D51" i="75" l="1"/>
  <c r="D50" i="75"/>
  <c r="A2" i="80"/>
  <c r="A1" i="80"/>
  <c r="D73" i="33"/>
  <c r="D53" i="75" l="1"/>
  <c r="D52" i="75"/>
  <c r="D62" i="75" l="1"/>
  <c r="D34" i="75"/>
  <c r="D26" i="75"/>
  <c r="D27" i="75"/>
  <c r="D28" i="75"/>
  <c r="D59" i="75"/>
  <c r="D23" i="75"/>
  <c r="D20" i="75"/>
  <c r="G22" i="75"/>
  <c r="G21" i="75"/>
  <c r="G20" i="75"/>
  <c r="G19" i="75"/>
  <c r="G18" i="75"/>
  <c r="G15" i="75"/>
  <c r="D28" i="62" l="1"/>
  <c r="D12" i="47"/>
  <c r="A4" i="86" s="1"/>
  <c r="G77" i="86" s="1"/>
  <c r="C28" i="62" s="1"/>
  <c r="D11" i="47"/>
  <c r="A4" i="85" s="1"/>
  <c r="C31" i="62" l="1" a="1"/>
  <c r="C31" i="62" s="1"/>
  <c r="J16" i="68"/>
  <c r="K16" i="68"/>
  <c r="L16" i="68"/>
  <c r="M16" i="68"/>
  <c r="S16" i="68"/>
  <c r="T16" i="68"/>
  <c r="U16" i="68"/>
  <c r="V16" i="68"/>
  <c r="W16" i="68"/>
  <c r="X16" i="68"/>
  <c r="Y16" i="68"/>
  <c r="Z16" i="68"/>
  <c r="AA16" i="68"/>
  <c r="AB16" i="68"/>
  <c r="I16" i="68"/>
  <c r="J6" i="68"/>
  <c r="J6" i="75" l="1"/>
  <c r="J6" i="85"/>
  <c r="J6" i="86"/>
  <c r="J59" i="68" a="1"/>
  <c r="J59" i="68" s="1"/>
  <c r="J57" i="68" a="1"/>
  <c r="J57" i="68" s="1"/>
  <c r="J62" i="68" s="1"/>
  <c r="J58" i="68" a="1"/>
  <c r="J58" i="68" s="1"/>
  <c r="J63" i="68" s="1"/>
  <c r="K6" i="68"/>
  <c r="J6" i="81"/>
  <c r="J58" i="86" l="1" a="1"/>
  <c r="J58" i="86" s="1"/>
  <c r="J63" i="86" s="1"/>
  <c r="J59" i="86" a="1"/>
  <c r="J59" i="86" s="1"/>
  <c r="J57" i="86" a="1"/>
  <c r="J57" i="86" s="1"/>
  <c r="J62" i="86" s="1"/>
  <c r="J59" i="85" a="1"/>
  <c r="J59" i="85" s="1"/>
  <c r="J58" i="85" a="1"/>
  <c r="J58" i="85" s="1"/>
  <c r="J63" i="85" s="1"/>
  <c r="J57" i="85" a="1"/>
  <c r="J57" i="85" s="1"/>
  <c r="J62" i="85" s="1"/>
  <c r="K6" i="75"/>
  <c r="K6" i="86"/>
  <c r="K6" i="85"/>
  <c r="K57" i="68" a="1"/>
  <c r="K57" i="68" s="1"/>
  <c r="K62" i="68" s="1"/>
  <c r="K58" i="68" a="1"/>
  <c r="K58" i="68" s="1"/>
  <c r="K63" i="68" s="1"/>
  <c r="K59" i="68" a="1"/>
  <c r="K59" i="68" s="1"/>
  <c r="J58" i="81" a="1"/>
  <c r="J58" i="81" s="1"/>
  <c r="J63" i="81" s="1"/>
  <c r="J57" i="81" a="1"/>
  <c r="J57" i="81" s="1"/>
  <c r="J62" i="81" s="1"/>
  <c r="J59" i="81" a="1"/>
  <c r="J59" i="81" s="1"/>
  <c r="J65" i="68"/>
  <c r="J67" i="68" s="1"/>
  <c r="L6" i="68"/>
  <c r="K6" i="81"/>
  <c r="K58" i="85" l="1" a="1"/>
  <c r="K58" i="85" s="1"/>
  <c r="K63" i="85" s="1"/>
  <c r="K59" i="85" a="1"/>
  <c r="K59" i="85" s="1"/>
  <c r="K57" i="85" a="1"/>
  <c r="K57" i="85" s="1"/>
  <c r="K62" i="85" s="1"/>
  <c r="K58" i="86" a="1"/>
  <c r="K58" i="86" s="1"/>
  <c r="K63" i="86" s="1"/>
  <c r="K59" i="86" a="1"/>
  <c r="K59" i="86" s="1"/>
  <c r="K57" i="86" a="1"/>
  <c r="K57" i="86" s="1"/>
  <c r="K62" i="86" s="1"/>
  <c r="J65" i="85"/>
  <c r="J67" i="85" s="1"/>
  <c r="L6" i="75"/>
  <c r="L6" i="86"/>
  <c r="L6" i="85"/>
  <c r="J65" i="86"/>
  <c r="J67" i="86" s="1"/>
  <c r="L57" i="68" a="1"/>
  <c r="L57" i="68" s="1"/>
  <c r="L62" i="68" s="1"/>
  <c r="L58" i="68" a="1"/>
  <c r="L58" i="68" s="1"/>
  <c r="L63" i="68" s="1"/>
  <c r="L59" i="68" a="1"/>
  <c r="L59" i="68" s="1"/>
  <c r="K58" i="81" a="1"/>
  <c r="K58" i="81" s="1"/>
  <c r="K63" i="81" s="1"/>
  <c r="K57" i="81" a="1"/>
  <c r="K57" i="81" s="1"/>
  <c r="K62" i="81" s="1"/>
  <c r="K59" i="81" a="1"/>
  <c r="K59" i="81" s="1"/>
  <c r="J65" i="81"/>
  <c r="J67" i="81" s="1"/>
  <c r="K65" i="68"/>
  <c r="K67" i="68" s="1"/>
  <c r="M6" i="68"/>
  <c r="L6" i="81"/>
  <c r="K65" i="85" l="1"/>
  <c r="K67" i="85" s="1"/>
  <c r="K65" i="86"/>
  <c r="K67" i="86" s="1"/>
  <c r="L58" i="85" a="1"/>
  <c r="L58" i="85" s="1"/>
  <c r="L63" i="85" s="1"/>
  <c r="L59" i="85" a="1"/>
  <c r="L59" i="85" s="1"/>
  <c r="L57" i="85" a="1"/>
  <c r="L57" i="85" s="1"/>
  <c r="L62" i="85" s="1"/>
  <c r="L58" i="86" a="1"/>
  <c r="L58" i="86" s="1"/>
  <c r="L63" i="86" s="1"/>
  <c r="L59" i="86" a="1"/>
  <c r="L59" i="86" s="1"/>
  <c r="L57" i="86" a="1"/>
  <c r="L57" i="86" s="1"/>
  <c r="L62" i="86" s="1"/>
  <c r="M6" i="75"/>
  <c r="M6" i="85"/>
  <c r="M6" i="86"/>
  <c r="M57" i="68" a="1"/>
  <c r="M57" i="68" s="1"/>
  <c r="M62" i="68" s="1"/>
  <c r="M59" i="68" a="1"/>
  <c r="M59" i="68" s="1"/>
  <c r="M58" i="68" a="1"/>
  <c r="M58" i="68" s="1"/>
  <c r="M63" i="68" s="1"/>
  <c r="L59" i="81" a="1"/>
  <c r="L59" i="81" s="1"/>
  <c r="L57" i="81" a="1"/>
  <c r="L57" i="81" s="1"/>
  <c r="L62" i="81" s="1"/>
  <c r="L58" i="81" a="1"/>
  <c r="L58" i="81" s="1"/>
  <c r="L63" i="81" s="1"/>
  <c r="K65" i="81"/>
  <c r="K67" i="81" s="1"/>
  <c r="L65" i="68"/>
  <c r="L67" i="68" s="1"/>
  <c r="N6" i="68"/>
  <c r="M6" i="81"/>
  <c r="L65" i="85" l="1"/>
  <c r="L67" i="85" s="1"/>
  <c r="M58" i="86" a="1"/>
  <c r="M58" i="86" s="1"/>
  <c r="M63" i="86" s="1"/>
  <c r="M59" i="86" a="1"/>
  <c r="M59" i="86" s="1"/>
  <c r="M57" i="86" a="1"/>
  <c r="M57" i="86" s="1"/>
  <c r="M62" i="86" s="1"/>
  <c r="M58" i="85" a="1"/>
  <c r="M58" i="85" s="1"/>
  <c r="M63" i="85" s="1"/>
  <c r="M59" i="85" a="1"/>
  <c r="M59" i="85" s="1"/>
  <c r="M57" i="85" a="1"/>
  <c r="M57" i="85" s="1"/>
  <c r="M62" i="85" s="1"/>
  <c r="L65" i="86"/>
  <c r="L67" i="86" s="1"/>
  <c r="N6" i="75"/>
  <c r="N6" i="86"/>
  <c r="N6" i="85"/>
  <c r="M59" i="81" a="1"/>
  <c r="M59" i="81" s="1"/>
  <c r="M58" i="81" a="1"/>
  <c r="M58" i="81" s="1"/>
  <c r="M63" i="81" s="1"/>
  <c r="M57" i="81" a="1"/>
  <c r="M57" i="81" s="1"/>
  <c r="M62" i="81" s="1"/>
  <c r="L65" i="81"/>
  <c r="L67" i="81" s="1"/>
  <c r="M65" i="68"/>
  <c r="M67" i="68" s="1"/>
  <c r="O6" i="68"/>
  <c r="N6" i="81"/>
  <c r="M65" i="86" l="1"/>
  <c r="M67" i="86" s="1"/>
  <c r="M65" i="85"/>
  <c r="M67" i="85" s="1"/>
  <c r="O6" i="75"/>
  <c r="O6" i="86"/>
  <c r="O6" i="85"/>
  <c r="N59" i="85" a="1"/>
  <c r="N59" i="85" s="1"/>
  <c r="N58" i="85" a="1"/>
  <c r="N58" i="85" s="1"/>
  <c r="N63" i="85" s="1"/>
  <c r="N57" i="85" a="1"/>
  <c r="N57" i="85" s="1"/>
  <c r="N62" i="85" s="1"/>
  <c r="N58" i="86" a="1"/>
  <c r="N58" i="86" s="1"/>
  <c r="N63" i="86" s="1"/>
  <c r="N59" i="86" a="1"/>
  <c r="N59" i="86" s="1"/>
  <c r="N57" i="86" a="1"/>
  <c r="N57" i="86" s="1"/>
  <c r="N62" i="86" s="1"/>
  <c r="N58" i="81" a="1"/>
  <c r="N58" i="81" s="1"/>
  <c r="N63" i="81" s="1"/>
  <c r="N59" i="81" a="1"/>
  <c r="N59" i="81" s="1"/>
  <c r="N57" i="81" a="1"/>
  <c r="N57" i="81" s="1"/>
  <c r="N62" i="81" s="1"/>
  <c r="M65" i="81"/>
  <c r="M67" i="81" s="1"/>
  <c r="P6" i="68"/>
  <c r="O6" i="81"/>
  <c r="P6" i="75" l="1"/>
  <c r="P6" i="86"/>
  <c r="P6" i="85"/>
  <c r="N65" i="85"/>
  <c r="N67" i="85" s="1"/>
  <c r="O59" i="85" a="1"/>
  <c r="O59" i="85" s="1"/>
  <c r="O58" i="85" a="1"/>
  <c r="O58" i="85" s="1"/>
  <c r="O63" i="85" s="1"/>
  <c r="O57" i="85" a="1"/>
  <c r="O57" i="85" s="1"/>
  <c r="O62" i="85" s="1"/>
  <c r="O58" i="86" a="1"/>
  <c r="O58" i="86" s="1"/>
  <c r="O63" i="86" s="1"/>
  <c r="O59" i="86" a="1"/>
  <c r="O59" i="86" s="1"/>
  <c r="O57" i="86" a="1"/>
  <c r="O57" i="86" s="1"/>
  <c r="O62" i="86" s="1"/>
  <c r="N65" i="86"/>
  <c r="N67" i="86" s="1"/>
  <c r="O57" i="81" a="1"/>
  <c r="O57" i="81" s="1"/>
  <c r="O62" i="81" s="1"/>
  <c r="O59" i="81" a="1"/>
  <c r="O59" i="81" s="1"/>
  <c r="O58" i="81" a="1"/>
  <c r="O58" i="81" s="1"/>
  <c r="O63" i="81" s="1"/>
  <c r="N65" i="81"/>
  <c r="N67" i="81" s="1"/>
  <c r="Q6" i="68"/>
  <c r="P6" i="81"/>
  <c r="O65" i="86" l="1"/>
  <c r="O67" i="86" s="1"/>
  <c r="Q6" i="75"/>
  <c r="Q6" i="86"/>
  <c r="Q6" i="85"/>
  <c r="P58" i="85" a="1"/>
  <c r="P58" i="85" s="1"/>
  <c r="P63" i="85" s="1"/>
  <c r="P59" i="85" a="1"/>
  <c r="P59" i="85" s="1"/>
  <c r="P57" i="85" a="1"/>
  <c r="P57" i="85" s="1"/>
  <c r="P62" i="85" s="1"/>
  <c r="P58" i="86" a="1"/>
  <c r="P58" i="86" s="1"/>
  <c r="P63" i="86" s="1"/>
  <c r="P59" i="86" a="1"/>
  <c r="P59" i="86" s="1"/>
  <c r="P57" i="86" a="1"/>
  <c r="P57" i="86" s="1"/>
  <c r="P62" i="86" s="1"/>
  <c r="O65" i="85"/>
  <c r="O67" i="85" s="1"/>
  <c r="P57" i="81" a="1"/>
  <c r="P57" i="81" s="1"/>
  <c r="P62" i="81" s="1"/>
  <c r="P59" i="81" a="1"/>
  <c r="P59" i="81" s="1"/>
  <c r="P58" i="81" a="1"/>
  <c r="P58" i="81" s="1"/>
  <c r="P63" i="81" s="1"/>
  <c r="O65" i="81"/>
  <c r="O67" i="81" s="1"/>
  <c r="R6" i="68"/>
  <c r="Q6" i="81"/>
  <c r="P65" i="85" l="1"/>
  <c r="P67" i="85" s="1"/>
  <c r="P65" i="86"/>
  <c r="P67" i="86" s="1"/>
  <c r="R6" i="75"/>
  <c r="R6" i="85"/>
  <c r="R6" i="86"/>
  <c r="Q59" i="85" a="1"/>
  <c r="Q59" i="85" s="1"/>
  <c r="Q58" i="85" a="1"/>
  <c r="Q58" i="85" s="1"/>
  <c r="Q63" i="85" s="1"/>
  <c r="Q57" i="85" a="1"/>
  <c r="Q57" i="85" s="1"/>
  <c r="Q62" i="85" s="1"/>
  <c r="Q58" i="86" a="1"/>
  <c r="Q58" i="86" s="1"/>
  <c r="Q63" i="86" s="1"/>
  <c r="Q59" i="86" a="1"/>
  <c r="Q59" i="86" s="1"/>
  <c r="Q57" i="86" a="1"/>
  <c r="Q57" i="86" s="1"/>
  <c r="Q62" i="86" s="1"/>
  <c r="Q58" i="81" a="1"/>
  <c r="Q58" i="81" s="1"/>
  <c r="Q63" i="81" s="1"/>
  <c r="Q59" i="81" a="1"/>
  <c r="Q59" i="81" s="1"/>
  <c r="Q57" i="81" a="1"/>
  <c r="Q57" i="81" s="1"/>
  <c r="Q62" i="81" s="1"/>
  <c r="P65" i="81"/>
  <c r="P67" i="81" s="1"/>
  <c r="S6" i="68"/>
  <c r="R6" i="81"/>
  <c r="Q65" i="85" l="1"/>
  <c r="Q67" i="85" s="1"/>
  <c r="S6" i="75"/>
  <c r="S6" i="85"/>
  <c r="S6" i="86"/>
  <c r="R58" i="86" a="1"/>
  <c r="R58" i="86" s="1"/>
  <c r="R63" i="86" s="1"/>
  <c r="R59" i="86" a="1"/>
  <c r="R59" i="86" s="1"/>
  <c r="R57" i="86" a="1"/>
  <c r="R57" i="86" s="1"/>
  <c r="R62" i="86" s="1"/>
  <c r="R59" i="85" a="1"/>
  <c r="R59" i="85" s="1"/>
  <c r="R58" i="85" a="1"/>
  <c r="R58" i="85" s="1"/>
  <c r="R63" i="85" s="1"/>
  <c r="R57" i="85" a="1"/>
  <c r="R57" i="85" s="1"/>
  <c r="R62" i="85" s="1"/>
  <c r="Q65" i="86"/>
  <c r="Q67" i="86" s="1"/>
  <c r="R57" i="81" a="1"/>
  <c r="R57" i="81" s="1"/>
  <c r="R62" i="81" s="1"/>
  <c r="R58" i="81" a="1"/>
  <c r="R58" i="81" s="1"/>
  <c r="R63" i="81" s="1"/>
  <c r="R59" i="81" a="1"/>
  <c r="R59" i="81" s="1"/>
  <c r="Q65" i="81"/>
  <c r="Q67" i="81" s="1"/>
  <c r="T6" i="68"/>
  <c r="S6" i="81"/>
  <c r="R65" i="86" l="1"/>
  <c r="R67" i="86" s="1"/>
  <c r="R65" i="85"/>
  <c r="R67" i="85" s="1"/>
  <c r="T6" i="75"/>
  <c r="T6" i="85"/>
  <c r="T6" i="86"/>
  <c r="R65" i="81"/>
  <c r="R67" i="81" s="1"/>
  <c r="U6" i="68"/>
  <c r="T6" i="81"/>
  <c r="U6" i="75" l="1"/>
  <c r="U6" i="85"/>
  <c r="U6" i="86"/>
  <c r="H7" i="75"/>
  <c r="V6" i="68"/>
  <c r="U6" i="81"/>
  <c r="V6" i="75" l="1"/>
  <c r="V7" i="75" s="1"/>
  <c r="V6" i="85"/>
  <c r="V6" i="86"/>
  <c r="I7" i="75"/>
  <c r="M7" i="75"/>
  <c r="J7" i="75"/>
  <c r="K7" i="75"/>
  <c r="L7" i="75"/>
  <c r="N7" i="75"/>
  <c r="O7" i="75"/>
  <c r="P7" i="75"/>
  <c r="Q7" i="75"/>
  <c r="R7" i="75"/>
  <c r="S7" i="75"/>
  <c r="T7" i="75"/>
  <c r="U7" i="75"/>
  <c r="W6" i="68"/>
  <c r="V6" i="81"/>
  <c r="W6" i="75" l="1"/>
  <c r="W7" i="75" s="1"/>
  <c r="W6" i="86"/>
  <c r="W6" i="85"/>
  <c r="X6" i="68"/>
  <c r="W6" i="81"/>
  <c r="X6" i="75" l="1"/>
  <c r="X7" i="75" s="1"/>
  <c r="X6" i="86"/>
  <c r="X6" i="85"/>
  <c r="Y6" i="68"/>
  <c r="X6" i="81"/>
  <c r="Y6" i="75" l="1"/>
  <c r="Y7" i="75" s="1"/>
  <c r="Y6" i="86"/>
  <c r="Y6" i="85"/>
  <c r="Z6" i="68"/>
  <c r="Y6" i="81"/>
  <c r="Z6" i="75" l="1"/>
  <c r="Z7" i="75" s="1"/>
  <c r="Z6" i="86"/>
  <c r="Z6" i="85"/>
  <c r="AA6" i="68"/>
  <c r="Z6" i="81"/>
  <c r="AA6" i="75" l="1"/>
  <c r="AA7" i="75" s="1"/>
  <c r="AA6" i="86"/>
  <c r="AA6" i="85"/>
  <c r="AB6" i="68"/>
  <c r="AA6" i="81"/>
  <c r="AB6" i="75" l="1"/>
  <c r="AB7" i="75" s="1"/>
  <c r="AB6" i="86"/>
  <c r="AB6" i="85"/>
  <c r="AC6" i="68"/>
  <c r="AB6" i="81"/>
  <c r="AC6" i="86" l="1"/>
  <c r="AC6" i="85"/>
  <c r="AC6" i="75"/>
  <c r="AC7" i="75" s="1"/>
  <c r="AC6" i="81"/>
  <c r="AD6" i="68"/>
  <c r="I8" i="68"/>
  <c r="AD6" i="86" l="1"/>
  <c r="AD6" i="85"/>
  <c r="I8" i="85"/>
  <c r="I8" i="86"/>
  <c r="AE6" i="68"/>
  <c r="AD6" i="75"/>
  <c r="AD7" i="75" s="1"/>
  <c r="AD6" i="81"/>
  <c r="E73" i="33"/>
  <c r="I9" i="75"/>
  <c r="I5" i="75" s="1"/>
  <c r="I8" i="81"/>
  <c r="J8" i="68"/>
  <c r="AE6" i="75" l="1"/>
  <c r="AE7" i="75" s="1"/>
  <c r="AE6" i="85"/>
  <c r="AE6" i="86"/>
  <c r="J8" i="86"/>
  <c r="F73" i="33"/>
  <c r="J8" i="85"/>
  <c r="AF6" i="68"/>
  <c r="AE6" i="81"/>
  <c r="AG6" i="68"/>
  <c r="AF6" i="81"/>
  <c r="I74" i="75"/>
  <c r="J9" i="75"/>
  <c r="J5" i="75" s="1"/>
  <c r="J8" i="81"/>
  <c r="K8" i="68"/>
  <c r="AF6" i="75" l="1"/>
  <c r="AF7" i="75" s="1"/>
  <c r="AF6" i="85"/>
  <c r="AF6" i="86"/>
  <c r="AG6" i="75"/>
  <c r="AG7" i="75" s="1"/>
  <c r="AG6" i="85"/>
  <c r="AG6" i="86"/>
  <c r="K8" i="86"/>
  <c r="G73" i="33"/>
  <c r="K8" i="85"/>
  <c r="AG6" i="81"/>
  <c r="J74" i="75"/>
  <c r="K9" i="75"/>
  <c r="K5" i="75" s="1"/>
  <c r="K8" i="81"/>
  <c r="L8" i="68"/>
  <c r="L8" i="86" l="1"/>
  <c r="H73" i="33"/>
  <c r="L8" i="85"/>
  <c r="K74" i="75"/>
  <c r="L9" i="75"/>
  <c r="L5" i="75" s="1"/>
  <c r="L8" i="81"/>
  <c r="M8" i="68"/>
  <c r="M8" i="86" l="1"/>
  <c r="I73" i="33"/>
  <c r="M8" i="85"/>
  <c r="L74" i="75"/>
  <c r="M9" i="75"/>
  <c r="M5" i="75" s="1"/>
  <c r="M8" i="81"/>
  <c r="N8" i="68"/>
  <c r="N8" i="85" l="1"/>
  <c r="N8" i="86"/>
  <c r="M74" i="75"/>
  <c r="N9" i="75"/>
  <c r="N5" i="75" s="1"/>
  <c r="N8" i="81"/>
  <c r="O8" i="68"/>
  <c r="O8" i="85" l="1"/>
  <c r="O8" i="86"/>
  <c r="N74" i="75"/>
  <c r="O9" i="75"/>
  <c r="O5" i="75" s="1"/>
  <c r="O8" i="81"/>
  <c r="P8" i="68"/>
  <c r="P8" i="85" l="1"/>
  <c r="P8" i="86"/>
  <c r="O74" i="75"/>
  <c r="P9" i="75"/>
  <c r="P5" i="75" s="1"/>
  <c r="P8" i="81"/>
  <c r="Q8" i="68"/>
  <c r="Q8" i="85" l="1"/>
  <c r="Q8" i="86"/>
  <c r="P74" i="75"/>
  <c r="Q9" i="75"/>
  <c r="Q5" i="75" s="1"/>
  <c r="Q8" i="81"/>
  <c r="R8" i="68"/>
  <c r="R8" i="85" l="1"/>
  <c r="R8" i="86"/>
  <c r="Q74" i="75"/>
  <c r="R9" i="75"/>
  <c r="R5" i="75" s="1"/>
  <c r="R8" i="81"/>
  <c r="S8" i="68"/>
  <c r="S8" i="85" l="1"/>
  <c r="S8" i="86"/>
  <c r="R74" i="75"/>
  <c r="S9" i="75"/>
  <c r="S5" i="75" s="1"/>
  <c r="S8" i="81"/>
  <c r="T8" i="68"/>
  <c r="T8" i="85" l="1"/>
  <c r="T8" i="86"/>
  <c r="S74" i="75"/>
  <c r="T9" i="75"/>
  <c r="T5" i="75" s="1"/>
  <c r="T8" i="81"/>
  <c r="U8" i="68"/>
  <c r="U8" i="85" l="1"/>
  <c r="U8" i="86"/>
  <c r="T74" i="75"/>
  <c r="U9" i="75"/>
  <c r="U5" i="75" s="1"/>
  <c r="U8" i="81"/>
  <c r="V8" i="68"/>
  <c r="V8" i="85" l="1"/>
  <c r="V8" i="86"/>
  <c r="U74" i="75"/>
  <c r="V9" i="75"/>
  <c r="V5" i="75" s="1"/>
  <c r="V8" i="81"/>
  <c r="W8" i="68"/>
  <c r="W8" i="85" l="1"/>
  <c r="W8" i="86"/>
  <c r="V74" i="75"/>
  <c r="W9" i="75"/>
  <c r="W5" i="75" s="1"/>
  <c r="W8" i="81"/>
  <c r="X8" i="68"/>
  <c r="X8" i="85" l="1"/>
  <c r="X8" i="86"/>
  <c r="W74" i="75"/>
  <c r="X9" i="75"/>
  <c r="X5" i="75" s="1"/>
  <c r="X8" i="81"/>
  <c r="Y8" i="68"/>
  <c r="Y8" i="85" l="1"/>
  <c r="Y8" i="86"/>
  <c r="X74" i="75"/>
  <c r="Y9" i="75"/>
  <c r="Y5" i="75" s="1"/>
  <c r="Y8" i="81"/>
  <c r="Z8" i="68"/>
  <c r="Z8" i="85" l="1"/>
  <c r="Z8" i="86"/>
  <c r="Y74" i="75"/>
  <c r="Z9" i="75"/>
  <c r="Z5" i="75" s="1"/>
  <c r="Z8" i="81"/>
  <c r="AA8" i="68"/>
  <c r="AA8" i="85" l="1"/>
  <c r="AA8" i="86"/>
  <c r="Z74" i="75"/>
  <c r="AA9" i="75"/>
  <c r="AA5" i="75" s="1"/>
  <c r="AA8" i="81"/>
  <c r="AB8" i="68"/>
  <c r="AB8" i="86" l="1"/>
  <c r="AC8" i="68"/>
  <c r="AB8" i="85"/>
  <c r="AA74" i="75"/>
  <c r="AB9" i="75"/>
  <c r="AB5" i="75" s="1"/>
  <c r="AB8" i="81"/>
  <c r="AD8" i="68" l="1"/>
  <c r="AC8" i="81"/>
  <c r="AC9" i="75"/>
  <c r="AC74" i="75" s="1"/>
  <c r="AC8" i="85"/>
  <c r="AC8" i="86"/>
  <c r="AB74" i="75"/>
  <c r="AC5" i="75" l="1"/>
  <c r="AE8" i="68"/>
  <c r="AE8" i="86" s="1"/>
  <c r="AD8" i="86"/>
  <c r="AD8" i="85"/>
  <c r="AD9" i="75"/>
  <c r="AD8" i="81"/>
  <c r="AD5" i="75" l="1"/>
  <c r="AE9" i="75"/>
  <c r="AE8" i="81"/>
  <c r="AE8" i="85"/>
  <c r="AF8" i="68"/>
  <c r="AF8" i="85" s="1"/>
  <c r="AD74" i="75"/>
  <c r="AE74" i="75"/>
  <c r="G8" i="33"/>
  <c r="AF9" i="75" l="1"/>
  <c r="AG8" i="68"/>
  <c r="AG8" i="85" s="1"/>
  <c r="AF8" i="81"/>
  <c r="AE5" i="75"/>
  <c r="AF8" i="86"/>
  <c r="AF5" i="75" l="1"/>
  <c r="AF74" i="75"/>
  <c r="AG9" i="75"/>
  <c r="AG8" i="81"/>
  <c r="AG8" i="86"/>
  <c r="AG5" i="75"/>
  <c r="AG74" i="75"/>
  <c r="D75" i="33"/>
  <c r="C14" i="43" l="1" a="1"/>
  <c r="G22" i="43"/>
  <c r="C17" i="62"/>
  <c r="H11" i="62"/>
  <c r="I11" i="62"/>
  <c r="I12" i="62" s="1"/>
  <c r="G41" i="85" l="1"/>
  <c r="G41" i="81"/>
  <c r="G43" i="81"/>
  <c r="G40" i="68"/>
  <c r="G43" i="86"/>
  <c r="G41" i="86"/>
  <c r="G43" i="85"/>
  <c r="B17" i="95"/>
  <c r="B19" i="89"/>
  <c r="B21" i="94"/>
  <c r="B36" i="91"/>
  <c r="B22" i="93"/>
  <c r="B62" i="90"/>
  <c r="B16" i="91"/>
  <c r="B44" i="90"/>
  <c r="B25" i="90"/>
  <c r="B26" i="91"/>
  <c r="B38" i="93"/>
  <c r="B39" i="95"/>
  <c r="B54" i="93"/>
  <c r="B51" i="94"/>
  <c r="B28" i="95"/>
  <c r="B42" i="89"/>
  <c r="B36" i="94"/>
  <c r="B31" i="89"/>
  <c r="G59" i="86"/>
  <c r="G49" i="86"/>
  <c r="G27" i="86"/>
  <c r="G64" i="85"/>
  <c r="G54" i="85"/>
  <c r="G39" i="85"/>
  <c r="G28" i="85"/>
  <c r="G29" i="68"/>
  <c r="G40" i="81"/>
  <c r="G24" i="81"/>
  <c r="G70" i="85"/>
  <c r="G36" i="68"/>
  <c r="G25" i="85"/>
  <c r="G13" i="85"/>
  <c r="G64" i="86"/>
  <c r="G26" i="86"/>
  <c r="G16" i="86"/>
  <c r="G72" i="85"/>
  <c r="G59" i="85"/>
  <c r="G52" i="85"/>
  <c r="G32" i="85"/>
  <c r="G28" i="68"/>
  <c r="G39" i="81"/>
  <c r="G37" i="86"/>
  <c r="G29" i="86"/>
  <c r="G57" i="85"/>
  <c r="G27" i="85"/>
  <c r="G24" i="68"/>
  <c r="G14" i="85"/>
  <c r="G28" i="86"/>
  <c r="G40" i="85"/>
  <c r="G30" i="68"/>
  <c r="G58" i="86"/>
  <c r="G53" i="86"/>
  <c r="G25" i="86"/>
  <c r="G15" i="86"/>
  <c r="G26" i="85"/>
  <c r="G18" i="85"/>
  <c r="G27" i="68"/>
  <c r="G32" i="81"/>
  <c r="G67" i="86"/>
  <c r="G62" i="86"/>
  <c r="G30" i="85"/>
  <c r="G26" i="81"/>
  <c r="G65" i="86"/>
  <c r="G25" i="81"/>
  <c r="G70" i="86"/>
  <c r="G32" i="86"/>
  <c r="G14" i="86"/>
  <c r="G63" i="85"/>
  <c r="G58" i="85"/>
  <c r="G53" i="85"/>
  <c r="G49" i="85"/>
  <c r="G37" i="85"/>
  <c r="G29" i="85"/>
  <c r="G26" i="68"/>
  <c r="G29" i="81"/>
  <c r="G28" i="81"/>
  <c r="G27" i="81"/>
  <c r="G65" i="85"/>
  <c r="G30" i="81"/>
  <c r="G72" i="86"/>
  <c r="G54" i="86"/>
  <c r="G18" i="86"/>
  <c r="G69" i="85"/>
  <c r="G69" i="86"/>
  <c r="G63" i="86"/>
  <c r="G57" i="86"/>
  <c r="G52" i="86"/>
  <c r="G40" i="86"/>
  <c r="G30" i="86"/>
  <c r="G13" i="86"/>
  <c r="G68" i="85"/>
  <c r="G24" i="85"/>
  <c r="G16" i="85"/>
  <c r="G25" i="68"/>
  <c r="G68" i="86"/>
  <c r="G39" i="86"/>
  <c r="G67" i="85"/>
  <c r="G62" i="85"/>
  <c r="G15" i="85"/>
  <c r="G24" i="86"/>
  <c r="G14" i="81"/>
  <c r="G13" i="81"/>
  <c r="G18" i="81"/>
  <c r="G15" i="81"/>
  <c r="G39" i="68"/>
  <c r="G16" i="81"/>
  <c r="G38" i="68"/>
  <c r="G15" i="68"/>
  <c r="G16" i="68"/>
  <c r="G13" i="68"/>
  <c r="G14" i="68"/>
  <c r="G18" i="68"/>
  <c r="H12" i="62"/>
  <c r="H13" i="62" s="1"/>
  <c r="G42" i="68"/>
  <c r="G37" i="81"/>
  <c r="G62" i="81"/>
  <c r="G65" i="81"/>
  <c r="G64" i="81"/>
  <c r="G63" i="81"/>
  <c r="C77" i="33"/>
  <c r="C76" i="33"/>
  <c r="G65" i="68"/>
  <c r="G59" i="81"/>
  <c r="G53" i="68"/>
  <c r="G63" i="68"/>
  <c r="G57" i="81"/>
  <c r="G59" i="68"/>
  <c r="G53" i="81"/>
  <c r="G64" i="68"/>
  <c r="G58" i="81"/>
  <c r="G52" i="68"/>
  <c r="G62" i="68"/>
  <c r="G54" i="81"/>
  <c r="G58" i="68"/>
  <c r="G52" i="81"/>
  <c r="G54" i="68"/>
  <c r="G57" i="68"/>
  <c r="G70" i="68"/>
  <c r="G68" i="68"/>
  <c r="G69" i="68"/>
  <c r="G67" i="68"/>
  <c r="G72" i="68"/>
  <c r="G49" i="81"/>
  <c r="G68" i="81"/>
  <c r="G72" i="81"/>
  <c r="G70" i="81"/>
  <c r="G67" i="81"/>
  <c r="G69" i="81"/>
  <c r="G49" i="68"/>
  <c r="C14" i="43"/>
  <c r="C75" i="33"/>
  <c r="B7" i="89" l="1"/>
  <c r="B6" i="95"/>
  <c r="B6" i="94"/>
  <c r="B6" i="93"/>
  <c r="B6" i="91"/>
  <c r="B6" i="90"/>
  <c r="C3" i="85"/>
  <c r="C3" i="86"/>
  <c r="C3" i="81"/>
  <c r="I70" i="68"/>
  <c r="M70" i="68"/>
  <c r="L70" i="68"/>
  <c r="K70" i="68"/>
  <c r="J70" i="68"/>
  <c r="D10" i="33"/>
  <c r="D11" i="33"/>
  <c r="D9" i="33"/>
  <c r="D12" i="33"/>
  <c r="G20" i="64" l="1"/>
  <c r="G13" i="64"/>
  <c r="G23" i="64"/>
  <c r="G16" i="64"/>
  <c r="G22" i="64"/>
  <c r="G15" i="64"/>
  <c r="G21" i="64"/>
  <c r="G14" i="64"/>
  <c r="A2" i="64"/>
  <c r="A1" i="64"/>
  <c r="M72" i="68" l="1"/>
  <c r="K72" i="68"/>
  <c r="L72" i="68"/>
  <c r="C16" i="62"/>
  <c r="J72" i="68" l="1"/>
  <c r="I72" i="68"/>
  <c r="A1" i="33"/>
  <c r="C73" i="33" l="1"/>
  <c r="A2" i="47"/>
  <c r="A1" i="47"/>
  <c r="A2" i="62"/>
  <c r="A1" i="62"/>
  <c r="I6" i="62"/>
  <c r="I13" i="62" s="1"/>
  <c r="J6" i="62" l="1"/>
  <c r="J11" i="62" l="1"/>
  <c r="K6" i="62"/>
  <c r="J12" i="62" l="1"/>
  <c r="J13" i="62" s="1"/>
  <c r="I15" i="62"/>
  <c r="K11" i="62"/>
  <c r="K12" i="62" s="1"/>
  <c r="K13" i="62" s="1"/>
  <c r="L6" i="62"/>
  <c r="J15" i="62" l="1"/>
  <c r="L11" i="62"/>
  <c r="M6" i="62"/>
  <c r="L12" i="62" l="1"/>
  <c r="L13" i="62" s="1"/>
  <c r="K15" i="62"/>
  <c r="M11" i="62"/>
  <c r="M12" i="62" l="1"/>
  <c r="M13" i="62" s="1"/>
  <c r="L15" i="62"/>
  <c r="N11" i="62"/>
  <c r="D74" i="33"/>
  <c r="C74" i="33"/>
  <c r="N12" i="62" l="1"/>
  <c r="N13" i="62" s="1"/>
  <c r="M15" i="62"/>
  <c r="O11" i="62"/>
  <c r="O12" i="62" l="1"/>
  <c r="O13" i="62" s="1"/>
  <c r="P11" i="62"/>
  <c r="P12" i="62" s="1"/>
  <c r="P13" i="62" s="1"/>
  <c r="N15" i="62"/>
  <c r="D16" i="62" l="1"/>
  <c r="AC32" i="68"/>
  <c r="AD32" i="68"/>
  <c r="AG32" i="68"/>
  <c r="AF32" i="68"/>
  <c r="AE32" i="68"/>
  <c r="S32" i="68"/>
  <c r="V32" i="68"/>
  <c r="R32" i="68"/>
  <c r="R37" i="86" s="1"/>
  <c r="R49" i="86" s="1"/>
  <c r="R69" i="86" s="1"/>
  <c r="R72" i="86" s="1"/>
  <c r="J32" i="68"/>
  <c r="J37" i="86" s="1"/>
  <c r="J49" i="86" s="1"/>
  <c r="J69" i="86" s="1"/>
  <c r="J72" i="86" s="1"/>
  <c r="U32" i="68"/>
  <c r="W32" i="68"/>
  <c r="P32" i="68"/>
  <c r="P37" i="86" s="1"/>
  <c r="P49" i="86" s="1"/>
  <c r="P69" i="86" s="1"/>
  <c r="P72" i="86" s="1"/>
  <c r="M32" i="68"/>
  <c r="M37" i="86" s="1"/>
  <c r="M49" i="86" s="1"/>
  <c r="M69" i="86" s="1"/>
  <c r="M72" i="86" s="1"/>
  <c r="L32" i="68"/>
  <c r="L37" i="86" s="1"/>
  <c r="L49" i="86" s="1"/>
  <c r="L69" i="86" s="1"/>
  <c r="L72" i="86" s="1"/>
  <c r="K32" i="68"/>
  <c r="K37" i="86" s="1"/>
  <c r="K49" i="86" s="1"/>
  <c r="K69" i="86" s="1"/>
  <c r="K72" i="86" s="1"/>
  <c r="AA32" i="68"/>
  <c r="O32" i="68"/>
  <c r="O37" i="86" s="1"/>
  <c r="O49" i="86" s="1"/>
  <c r="O69" i="86" s="1"/>
  <c r="O72" i="86" s="1"/>
  <c r="Q32" i="68"/>
  <c r="Q37" i="86" s="1"/>
  <c r="Q49" i="86" s="1"/>
  <c r="Q69" i="86" s="1"/>
  <c r="Q72" i="86" s="1"/>
  <c r="N32" i="68"/>
  <c r="N37" i="86" s="1"/>
  <c r="N49" i="86" s="1"/>
  <c r="N69" i="86" s="1"/>
  <c r="N72" i="86" s="1"/>
  <c r="AB32" i="68"/>
  <c r="Y32" i="68"/>
  <c r="T32" i="68"/>
  <c r="Z32" i="68"/>
  <c r="I32" i="68"/>
  <c r="Q11" i="62"/>
  <c r="Q12" i="62" s="1"/>
  <c r="Q13" i="62" s="1"/>
  <c r="O15" i="62"/>
  <c r="I37" i="86" l="1"/>
  <c r="I49" i="86" s="1"/>
  <c r="I69" i="86" s="1"/>
  <c r="I72" i="86" s="1"/>
  <c r="I37" i="85"/>
  <c r="I49" i="85" s="1"/>
  <c r="I69" i="85" s="1"/>
  <c r="I72" i="85" s="1"/>
  <c r="AB37" i="81"/>
  <c r="AB37" i="86"/>
  <c r="AB37" i="85"/>
  <c r="AD37" i="86"/>
  <c r="AD37" i="85"/>
  <c r="AD37" i="81"/>
  <c r="AE37" i="85"/>
  <c r="AE37" i="81"/>
  <c r="AE37" i="86"/>
  <c r="AF37" i="85"/>
  <c r="AF37" i="81"/>
  <c r="AF37" i="86"/>
  <c r="AG37" i="81"/>
  <c r="AG37" i="86"/>
  <c r="AG37" i="85"/>
  <c r="AC37" i="86"/>
  <c r="AC37" i="81"/>
  <c r="AC37" i="85"/>
  <c r="V37" i="85"/>
  <c r="V37" i="86"/>
  <c r="W37" i="85"/>
  <c r="W37" i="86"/>
  <c r="S37" i="85"/>
  <c r="S37" i="86"/>
  <c r="T37" i="85"/>
  <c r="T37" i="86"/>
  <c r="U37" i="85"/>
  <c r="U37" i="86"/>
  <c r="Y37" i="86"/>
  <c r="Y37" i="85"/>
  <c r="Y37" i="81"/>
  <c r="AA37" i="86"/>
  <c r="AA37" i="85"/>
  <c r="AA37" i="81"/>
  <c r="Z37" i="86"/>
  <c r="Z37" i="85"/>
  <c r="Z37" i="81"/>
  <c r="I37" i="81"/>
  <c r="I49" i="81" s="1"/>
  <c r="I69" i="81" s="1"/>
  <c r="I72" i="81" s="1"/>
  <c r="O37" i="85"/>
  <c r="O49" i="85" s="1"/>
  <c r="O69" i="85" s="1"/>
  <c r="O72" i="85" s="1"/>
  <c r="P37" i="85"/>
  <c r="P49" i="85" s="1"/>
  <c r="P69" i="85" s="1"/>
  <c r="P72" i="85" s="1"/>
  <c r="R37" i="85"/>
  <c r="R49" i="85" s="1"/>
  <c r="R69" i="85" s="1"/>
  <c r="R72" i="85" s="1"/>
  <c r="Q37" i="85"/>
  <c r="Q49" i="85" s="1"/>
  <c r="Q69" i="85" s="1"/>
  <c r="Q72" i="85" s="1"/>
  <c r="K37" i="81"/>
  <c r="K49" i="81" s="1"/>
  <c r="K37" i="85"/>
  <c r="K49" i="85" s="1"/>
  <c r="K69" i="85" s="1"/>
  <c r="K72" i="85" s="1"/>
  <c r="M37" i="85"/>
  <c r="M49" i="85" s="1"/>
  <c r="M69" i="85" s="1"/>
  <c r="M72" i="85" s="1"/>
  <c r="N37" i="85"/>
  <c r="N49" i="85" s="1"/>
  <c r="N69" i="85" s="1"/>
  <c r="N72" i="85" s="1"/>
  <c r="L37" i="81"/>
  <c r="L49" i="81" s="1"/>
  <c r="L37" i="85"/>
  <c r="L49" i="85" s="1"/>
  <c r="L69" i="85" s="1"/>
  <c r="L72" i="85" s="1"/>
  <c r="J37" i="81"/>
  <c r="J49" i="81" s="1"/>
  <c r="J37" i="85"/>
  <c r="J49" i="85" s="1"/>
  <c r="J69" i="85" s="1"/>
  <c r="X32" i="68"/>
  <c r="P15" i="62"/>
  <c r="R11" i="62"/>
  <c r="X37" i="86" l="1"/>
  <c r="X37" i="85"/>
  <c r="X37" i="81"/>
  <c r="J72" i="85"/>
  <c r="J69" i="81"/>
  <c r="K69" i="81"/>
  <c r="L69" i="81"/>
  <c r="Q15" i="62"/>
  <c r="R12" i="62"/>
  <c r="R13" i="62" s="1"/>
  <c r="J72" i="81" l="1"/>
  <c r="L72" i="81"/>
  <c r="K72" i="81"/>
  <c r="R15" i="62"/>
  <c r="D17" i="62" s="1"/>
  <c r="D19" i="62" s="1"/>
  <c r="Q29" i="75" l="1"/>
  <c r="W58" i="75"/>
  <c r="U57" i="75"/>
  <c r="U44" i="75"/>
  <c r="V44" i="75"/>
  <c r="L60" i="75"/>
  <c r="L57" i="75"/>
  <c r="L62" i="75"/>
  <c r="K57" i="75"/>
  <c r="K47" i="75"/>
  <c r="O47" i="75"/>
  <c r="N57" i="75"/>
  <c r="N58" i="75"/>
  <c r="M60" i="75"/>
  <c r="T49" i="75"/>
  <c r="T46" i="75"/>
  <c r="R46" i="75"/>
  <c r="R63" i="75"/>
  <c r="Q60" i="75"/>
  <c r="Q48" i="75"/>
  <c r="I47" i="75"/>
  <c r="I57" i="75"/>
  <c r="U61" i="75"/>
  <c r="J44" i="75"/>
  <c r="O58" i="75"/>
  <c r="S58" i="75"/>
  <c r="I44" i="75"/>
  <c r="W61" i="75"/>
  <c r="W46" i="75"/>
  <c r="W62" i="75"/>
  <c r="U60" i="75"/>
  <c r="V49" i="75"/>
  <c r="L43" i="75"/>
  <c r="L63" i="75"/>
  <c r="J58" i="75"/>
  <c r="J49" i="75"/>
  <c r="N61" i="75"/>
  <c r="M63" i="75"/>
  <c r="M46" i="75"/>
  <c r="M48" i="75"/>
  <c r="T63" i="75"/>
  <c r="T62" i="75"/>
  <c r="S60" i="75"/>
  <c r="S62" i="75"/>
  <c r="R61" i="75"/>
  <c r="R49" i="75"/>
  <c r="Q58" i="75"/>
  <c r="Q43" i="75"/>
  <c r="Q62" i="75"/>
  <c r="P61" i="75"/>
  <c r="P57" i="75"/>
  <c r="T57" i="75"/>
  <c r="P47" i="75"/>
  <c r="W44" i="75"/>
  <c r="W47" i="75"/>
  <c r="W48" i="75"/>
  <c r="U46" i="75"/>
  <c r="V60" i="75"/>
  <c r="L46" i="75"/>
  <c r="K49" i="75"/>
  <c r="K63" i="75"/>
  <c r="K48" i="75"/>
  <c r="J47" i="75"/>
  <c r="J62" i="75"/>
  <c r="O63" i="75"/>
  <c r="O60" i="75"/>
  <c r="N49" i="75"/>
  <c r="N44" i="75"/>
  <c r="M47" i="75"/>
  <c r="M62" i="75"/>
  <c r="S43" i="75"/>
  <c r="S47" i="75"/>
  <c r="R44" i="75"/>
  <c r="P60" i="75"/>
  <c r="P44" i="75"/>
  <c r="P62" i="75"/>
  <c r="I46" i="75"/>
  <c r="I48" i="75"/>
  <c r="N43" i="75"/>
  <c r="Q57" i="75"/>
  <c r="U43" i="75"/>
  <c r="V43" i="75"/>
  <c r="L58" i="75"/>
  <c r="K61" i="75"/>
  <c r="K46" i="75"/>
  <c r="J57" i="75"/>
  <c r="J60" i="75"/>
  <c r="O48" i="75"/>
  <c r="M43" i="75"/>
  <c r="T60" i="75"/>
  <c r="T47" i="75"/>
  <c r="T48" i="75"/>
  <c r="S57" i="75"/>
  <c r="R60" i="75"/>
  <c r="R47" i="75"/>
  <c r="Q63" i="75"/>
  <c r="P43" i="75"/>
  <c r="P48" i="75"/>
  <c r="I61" i="75"/>
  <c r="R62" i="75"/>
  <c r="W49" i="75"/>
  <c r="W60" i="75"/>
  <c r="U63" i="75"/>
  <c r="U62" i="75"/>
  <c r="U48" i="75"/>
  <c r="V63" i="75"/>
  <c r="K44" i="75"/>
  <c r="O61" i="75"/>
  <c r="O46" i="75"/>
  <c r="O62" i="75"/>
  <c r="N60" i="75"/>
  <c r="M58" i="75"/>
  <c r="T43" i="75"/>
  <c r="S48" i="75"/>
  <c r="Q47" i="75"/>
  <c r="Q49" i="75"/>
  <c r="P46" i="75"/>
  <c r="I60" i="75"/>
  <c r="I49" i="75"/>
  <c r="U58" i="75"/>
  <c r="J43" i="75"/>
  <c r="M44" i="75"/>
  <c r="R43" i="75"/>
  <c r="Q61" i="75"/>
  <c r="W57" i="75"/>
  <c r="U47" i="75"/>
  <c r="U49" i="75"/>
  <c r="V47" i="75"/>
  <c r="V48" i="75"/>
  <c r="L47" i="75"/>
  <c r="K60" i="75"/>
  <c r="K58" i="75"/>
  <c r="J46" i="75"/>
  <c r="O44" i="75"/>
  <c r="O57" i="75"/>
  <c r="N63" i="75"/>
  <c r="N48" i="75"/>
  <c r="M57" i="75"/>
  <c r="M49" i="75"/>
  <c r="T61" i="75"/>
  <c r="S49" i="75"/>
  <c r="S46" i="75"/>
  <c r="R58" i="75"/>
  <c r="R48" i="75"/>
  <c r="Q44" i="75"/>
  <c r="P58" i="75"/>
  <c r="I58" i="75"/>
  <c r="I43" i="75"/>
  <c r="I62" i="75"/>
  <c r="W43" i="75"/>
  <c r="O49" i="75"/>
  <c r="S44" i="75"/>
  <c r="I63" i="75"/>
  <c r="V46" i="75"/>
  <c r="V58" i="75"/>
  <c r="V62" i="75"/>
  <c r="L49" i="75"/>
  <c r="L61" i="75"/>
  <c r="K43" i="75"/>
  <c r="K62" i="75"/>
  <c r="J61" i="75"/>
  <c r="J63" i="75"/>
  <c r="O43" i="75"/>
  <c r="N47" i="75"/>
  <c r="N62" i="75"/>
  <c r="M61" i="75"/>
  <c r="T58" i="75"/>
  <c r="T44" i="75"/>
  <c r="S61" i="75"/>
  <c r="S63" i="75"/>
  <c r="R57" i="75"/>
  <c r="Q46" i="75"/>
  <c r="P63" i="75"/>
  <c r="P49" i="75"/>
  <c r="W63" i="75"/>
  <c r="V57" i="75"/>
  <c r="V61" i="75"/>
  <c r="L44" i="75"/>
  <c r="L48" i="75"/>
  <c r="N46" i="75"/>
  <c r="X63" i="75"/>
  <c r="X44" i="75"/>
  <c r="X47" i="75"/>
  <c r="X46" i="75"/>
  <c r="X61" i="75"/>
  <c r="X58" i="75"/>
  <c r="X60" i="75"/>
  <c r="X62" i="75"/>
  <c r="X43" i="75"/>
  <c r="X49" i="75"/>
  <c r="X48" i="75"/>
  <c r="X57" i="75"/>
  <c r="Y47" i="75"/>
  <c r="Y46" i="75"/>
  <c r="Y62" i="75"/>
  <c r="Y61" i="75"/>
  <c r="Y49" i="75"/>
  <c r="Y60" i="75"/>
  <c r="Y48" i="75"/>
  <c r="Y43" i="75"/>
  <c r="Y58" i="75"/>
  <c r="Y44" i="75"/>
  <c r="Y63" i="75"/>
  <c r="Y57" i="75"/>
  <c r="Z60" i="75"/>
  <c r="Z49" i="75"/>
  <c r="Z58" i="75"/>
  <c r="Z63" i="75"/>
  <c r="Z57" i="75"/>
  <c r="Z61" i="75"/>
  <c r="Z44" i="75"/>
  <c r="Z47" i="75"/>
  <c r="Z62" i="75"/>
  <c r="Z46" i="75"/>
  <c r="Z48" i="75"/>
  <c r="Z43" i="75"/>
  <c r="AA43" i="75"/>
  <c r="AA63" i="75"/>
  <c r="AA57" i="75"/>
  <c r="AA47" i="75"/>
  <c r="AA62" i="75"/>
  <c r="AA44" i="75"/>
  <c r="AA49" i="75"/>
  <c r="AA48" i="75"/>
  <c r="AA58" i="75"/>
  <c r="AA61" i="75"/>
  <c r="AA46" i="75"/>
  <c r="AA60" i="75"/>
  <c r="AB47" i="75"/>
  <c r="AB62" i="75"/>
  <c r="AB49" i="75"/>
  <c r="AB48" i="75"/>
  <c r="AB57" i="75"/>
  <c r="AB44" i="75"/>
  <c r="AB60" i="75"/>
  <c r="AB61" i="75"/>
  <c r="AB43" i="75"/>
  <c r="AB46" i="75"/>
  <c r="AB63" i="75"/>
  <c r="AB58" i="75"/>
  <c r="AC61" i="75"/>
  <c r="AC48" i="75"/>
  <c r="AC63" i="75"/>
  <c r="AC60" i="75"/>
  <c r="AC47" i="75"/>
  <c r="AC46" i="75"/>
  <c r="AC43" i="75"/>
  <c r="AC58" i="75"/>
  <c r="AC49" i="75"/>
  <c r="AC57" i="75"/>
  <c r="AC62" i="75"/>
  <c r="AC44" i="75"/>
  <c r="AE43" i="75"/>
  <c r="AD43" i="75"/>
  <c r="AE63" i="75"/>
  <c r="AE58" i="75"/>
  <c r="AD49" i="75"/>
  <c r="AD58" i="75"/>
  <c r="AD57" i="75"/>
  <c r="AE47" i="75"/>
  <c r="AD44" i="75"/>
  <c r="AE61" i="75"/>
  <c r="AE46" i="75"/>
  <c r="AE62" i="75"/>
  <c r="AD61" i="75"/>
  <c r="AE44" i="75"/>
  <c r="AE48" i="75"/>
  <c r="AD63" i="75"/>
  <c r="AE60" i="75"/>
  <c r="AD47" i="75"/>
  <c r="AD48" i="75"/>
  <c r="AE49" i="75"/>
  <c r="AE57" i="75"/>
  <c r="AD46" i="75"/>
  <c r="AD62" i="75"/>
  <c r="AD60" i="75"/>
  <c r="AG47" i="75"/>
  <c r="AG49" i="75"/>
  <c r="AF46" i="75"/>
  <c r="AG48" i="75"/>
  <c r="AG46" i="75"/>
  <c r="AG44" i="75"/>
  <c r="AF58" i="75"/>
  <c r="AG61" i="75"/>
  <c r="AG57" i="75"/>
  <c r="AF63" i="75"/>
  <c r="AG60" i="75"/>
  <c r="AF47" i="75"/>
  <c r="AF49" i="75"/>
  <c r="AG58" i="75"/>
  <c r="AG43" i="75"/>
  <c r="AG62" i="75"/>
  <c r="AF57" i="75"/>
  <c r="AF60" i="75"/>
  <c r="AF61" i="75"/>
  <c r="AF48" i="75"/>
  <c r="AG63" i="75"/>
  <c r="AF43" i="75"/>
  <c r="AF44" i="75"/>
  <c r="AF62" i="75"/>
  <c r="J48" i="75"/>
  <c r="J34" i="75"/>
  <c r="K34" i="75"/>
  <c r="Z35" i="75"/>
  <c r="V33" i="75"/>
  <c r="Z30" i="75"/>
  <c r="J30" i="75"/>
  <c r="AG35" i="75"/>
  <c r="Y35" i="75"/>
  <c r="I35" i="75"/>
  <c r="AC33" i="75"/>
  <c r="U33" i="75"/>
  <c r="M33" i="75"/>
  <c r="AG30" i="75"/>
  <c r="Y30" i="75"/>
  <c r="I30" i="75"/>
  <c r="AA29" i="75"/>
  <c r="S29" i="75"/>
  <c r="AF35" i="75"/>
  <c r="X35" i="75"/>
  <c r="P35" i="75"/>
  <c r="AB33" i="75"/>
  <c r="T33" i="75"/>
  <c r="L33" i="75"/>
  <c r="AF30" i="75"/>
  <c r="X30" i="75"/>
  <c r="Z29" i="75"/>
  <c r="R29" i="75"/>
  <c r="AE35" i="75"/>
  <c r="W35" i="75"/>
  <c r="O35" i="75"/>
  <c r="AA33" i="75"/>
  <c r="S33" i="75"/>
  <c r="K33" i="75"/>
  <c r="AE30" i="75"/>
  <c r="AG29" i="75"/>
  <c r="Y29" i="75"/>
  <c r="AD35" i="75"/>
  <c r="Z33" i="75"/>
  <c r="R33" i="75"/>
  <c r="J33" i="75"/>
  <c r="AD30" i="75"/>
  <c r="AF29" i="75"/>
  <c r="X29" i="75"/>
  <c r="P29" i="75"/>
  <c r="AC35" i="75"/>
  <c r="U35" i="75"/>
  <c r="M35" i="75"/>
  <c r="AG33" i="75"/>
  <c r="Y33" i="75"/>
  <c r="Q33" i="75"/>
  <c r="I33" i="75"/>
  <c r="AC30" i="75"/>
  <c r="AE29" i="75"/>
  <c r="W29" i="75"/>
  <c r="O29" i="75"/>
  <c r="T29" i="75"/>
  <c r="AB35" i="75"/>
  <c r="T35" i="75"/>
  <c r="L35" i="75"/>
  <c r="AF33" i="75"/>
  <c r="X33" i="75"/>
  <c r="P33" i="75"/>
  <c r="AB30" i="75"/>
  <c r="L30" i="75"/>
  <c r="AD29" i="75"/>
  <c r="V29" i="75"/>
  <c r="N29" i="75"/>
  <c r="AA35" i="75"/>
  <c r="S35" i="75"/>
  <c r="K35" i="75"/>
  <c r="AE33" i="75"/>
  <c r="W33" i="75"/>
  <c r="O33" i="75"/>
  <c r="AA30" i="75"/>
  <c r="K30" i="75"/>
  <c r="AC29" i="75"/>
  <c r="U29" i="75"/>
  <c r="R35" i="75"/>
  <c r="J35" i="75"/>
  <c r="AD33" i="75"/>
  <c r="N33" i="75"/>
  <c r="AB29" i="75"/>
  <c r="J29" i="75"/>
  <c r="L29" i="75"/>
  <c r="M29" i="75"/>
  <c r="K29" i="75"/>
  <c r="I29" i="75"/>
  <c r="I32" i="75"/>
  <c r="J32" i="75"/>
  <c r="K32" i="75"/>
  <c r="L32" i="75"/>
  <c r="M32" i="75"/>
  <c r="N32" i="75"/>
  <c r="O32" i="75"/>
  <c r="P32" i="75"/>
  <c r="Q32" i="75"/>
  <c r="R32" i="75"/>
  <c r="S32" i="75"/>
  <c r="T32" i="75"/>
  <c r="U32" i="75"/>
  <c r="V32" i="75"/>
  <c r="W32" i="75"/>
  <c r="X32" i="75"/>
  <c r="Y32" i="75"/>
  <c r="Z32" i="75"/>
  <c r="AA32" i="75"/>
  <c r="AB32" i="75"/>
  <c r="AC32" i="75"/>
  <c r="AE32" i="75"/>
  <c r="AD32" i="75"/>
  <c r="AF32" i="75"/>
  <c r="AG32" i="75"/>
  <c r="I34" i="75"/>
  <c r="AB34" i="75"/>
  <c r="AF34" i="75"/>
  <c r="AA34" i="75"/>
  <c r="AE34" i="75"/>
  <c r="AG34" i="75"/>
  <c r="Y34" i="75"/>
  <c r="AD34" i="75"/>
  <c r="AC34" i="75"/>
  <c r="Z34" i="75"/>
  <c r="X34" i="75"/>
  <c r="L34" i="75"/>
  <c r="I16" i="75"/>
  <c r="I19" i="75"/>
  <c r="I20" i="75"/>
  <c r="I15" i="75"/>
  <c r="F15" i="75" s="1"/>
  <c r="I18" i="75"/>
  <c r="I21" i="75"/>
  <c r="AC20" i="75"/>
  <c r="AF19" i="75"/>
  <c r="AC19" i="75"/>
  <c r="AG20" i="75"/>
  <c r="AE19" i="75"/>
  <c r="AD20" i="75"/>
  <c r="AF20" i="75"/>
  <c r="AG19" i="75"/>
  <c r="AE20" i="75"/>
  <c r="AD19" i="75"/>
  <c r="AC18" i="75"/>
  <c r="AD18" i="75"/>
  <c r="AE18" i="75"/>
  <c r="AF18" i="75"/>
  <c r="AG18" i="75"/>
  <c r="AG21" i="75"/>
  <c r="AC21" i="75"/>
  <c r="AF21" i="75"/>
  <c r="AE21" i="75"/>
  <c r="AD21" i="75"/>
  <c r="AG16" i="75"/>
  <c r="AF16" i="75"/>
  <c r="AE16" i="75"/>
  <c r="AD16" i="75"/>
  <c r="AC16" i="75"/>
  <c r="N16" i="75"/>
  <c r="Z16" i="75"/>
  <c r="M16" i="75"/>
  <c r="S16" i="75"/>
  <c r="X16" i="75"/>
  <c r="AB16" i="75"/>
  <c r="K16" i="75"/>
  <c r="J16" i="75"/>
  <c r="P16" i="75"/>
  <c r="T16" i="75"/>
  <c r="AA16" i="75"/>
  <c r="V16" i="75"/>
  <c r="R16" i="75"/>
  <c r="U16" i="75"/>
  <c r="Y16" i="75"/>
  <c r="Q16" i="75"/>
  <c r="O16" i="75"/>
  <c r="L16" i="75"/>
  <c r="W16" i="75"/>
  <c r="L20" i="75"/>
  <c r="W20" i="75"/>
  <c r="K20" i="75"/>
  <c r="R20" i="75"/>
  <c r="AB20" i="75"/>
  <c r="N20" i="75"/>
  <c r="O20" i="75"/>
  <c r="X20" i="75"/>
  <c r="S20" i="75"/>
  <c r="V20" i="75"/>
  <c r="M20" i="75"/>
  <c r="Q20" i="75"/>
  <c r="U20" i="75"/>
  <c r="T20" i="75"/>
  <c r="AA20" i="75"/>
  <c r="Z20" i="75"/>
  <c r="J20" i="75"/>
  <c r="Y20" i="75"/>
  <c r="P20" i="75"/>
  <c r="K19" i="75"/>
  <c r="N19" i="75"/>
  <c r="M19" i="75"/>
  <c r="Z19" i="75"/>
  <c r="S19" i="75"/>
  <c r="O19" i="75"/>
  <c r="L19" i="75"/>
  <c r="W19" i="75"/>
  <c r="P19" i="75"/>
  <c r="V19" i="75"/>
  <c r="Q19" i="75"/>
  <c r="R19" i="75"/>
  <c r="AB19" i="75"/>
  <c r="Y19" i="75"/>
  <c r="J19" i="75"/>
  <c r="U19" i="75"/>
  <c r="X19" i="75"/>
  <c r="AA19" i="75"/>
  <c r="T19" i="75"/>
  <c r="K21" i="75"/>
  <c r="L21" i="75"/>
  <c r="Q21" i="75"/>
  <c r="AA21" i="75"/>
  <c r="Y21" i="75"/>
  <c r="R21" i="75"/>
  <c r="O21" i="75"/>
  <c r="N21" i="75"/>
  <c r="X21" i="75"/>
  <c r="M21" i="75"/>
  <c r="P21" i="75"/>
  <c r="Z21" i="75"/>
  <c r="J21" i="75"/>
  <c r="V21" i="75"/>
  <c r="T21" i="75"/>
  <c r="W21" i="75"/>
  <c r="S21" i="75"/>
  <c r="U21" i="75"/>
  <c r="AB21" i="75"/>
  <c r="X18" i="75"/>
  <c r="AB18" i="75"/>
  <c r="Z18" i="75"/>
  <c r="T18" i="75"/>
  <c r="L18" i="75"/>
  <c r="R18" i="75"/>
  <c r="O18" i="75"/>
  <c r="U18" i="75"/>
  <c r="Y18" i="75"/>
  <c r="Q18" i="75"/>
  <c r="W18" i="75"/>
  <c r="N18" i="75"/>
  <c r="S18" i="75"/>
  <c r="AA18" i="75"/>
  <c r="V18" i="75"/>
  <c r="P18" i="75"/>
  <c r="M18" i="75"/>
  <c r="J18" i="75"/>
  <c r="K18" i="75"/>
  <c r="A2" i="33"/>
  <c r="F32" i="75" l="1" a="1"/>
  <c r="F32" i="75" s="1"/>
  <c r="F63" i="75" a="1"/>
  <c r="F63" i="75" s="1"/>
  <c r="F57" i="75" a="1"/>
  <c r="F57" i="75" s="1"/>
  <c r="F62" i="75" a="1"/>
  <c r="F62" i="75" s="1"/>
  <c r="F58" i="75" a="1"/>
  <c r="F58" i="75" s="1"/>
  <c r="F49" i="75" a="1"/>
  <c r="F49" i="75" s="1"/>
  <c r="F61" i="75" a="1"/>
  <c r="F61" i="75" s="1"/>
  <c r="F60" i="75" a="1"/>
  <c r="F60" i="75" s="1"/>
  <c r="V50" i="75"/>
  <c r="AG50" i="75"/>
  <c r="X64" i="75"/>
  <c r="AC50" i="75"/>
  <c r="Z50" i="75"/>
  <c r="AE50" i="75"/>
  <c r="N50" i="75"/>
  <c r="S64" i="75"/>
  <c r="F44" i="75" a="1"/>
  <c r="F44" i="75" s="1"/>
  <c r="L64" i="75"/>
  <c r="J50" i="75"/>
  <c r="F48" i="75" a="1"/>
  <c r="F48" i="75" s="1"/>
  <c r="T50" i="75"/>
  <c r="AF50" i="75"/>
  <c r="AD64" i="75"/>
  <c r="AB50" i="75"/>
  <c r="Q50" i="75"/>
  <c r="N64" i="75"/>
  <c r="W64" i="75"/>
  <c r="T64" i="75"/>
  <c r="J64" i="75"/>
  <c r="I50" i="75"/>
  <c r="F46" i="75" a="1"/>
  <c r="F46" i="75" s="1"/>
  <c r="L50" i="75"/>
  <c r="AE64" i="75"/>
  <c r="AC64" i="75"/>
  <c r="AA64" i="75"/>
  <c r="K64" i="75"/>
  <c r="I64" i="75"/>
  <c r="O64" i="75"/>
  <c r="U64" i="75"/>
  <c r="Q64" i="75"/>
  <c r="AA50" i="75"/>
  <c r="Y50" i="75"/>
  <c r="F43" i="75" a="1"/>
  <c r="F43" i="75" s="1"/>
  <c r="K50" i="75"/>
  <c r="V64" i="75"/>
  <c r="M50" i="75"/>
  <c r="M64" i="75"/>
  <c r="AF64" i="75"/>
  <c r="AD50" i="75"/>
  <c r="Z64" i="75"/>
  <c r="X50" i="75"/>
  <c r="S50" i="75"/>
  <c r="P50" i="75"/>
  <c r="O50" i="75"/>
  <c r="R64" i="75"/>
  <c r="P64" i="75"/>
  <c r="U50" i="75"/>
  <c r="W50" i="75"/>
  <c r="R50" i="75"/>
  <c r="AG64" i="75"/>
  <c r="AB64" i="75"/>
  <c r="Y64" i="75"/>
  <c r="F47" i="75" a="1"/>
  <c r="F47" i="75" s="1"/>
  <c r="AE36" i="75"/>
  <c r="AB36" i="75"/>
  <c r="Z36" i="75"/>
  <c r="L36" i="75"/>
  <c r="J36" i="75"/>
  <c r="X36" i="75"/>
  <c r="F33" i="75" a="1"/>
  <c r="F33" i="75" s="1"/>
  <c r="F29" i="75" a="1"/>
  <c r="F29" i="75" s="1"/>
  <c r="AF36" i="75"/>
  <c r="AA36" i="75"/>
  <c r="K36" i="75"/>
  <c r="I36" i="75"/>
  <c r="Y36" i="75"/>
  <c r="AC36" i="75"/>
  <c r="AG36" i="75"/>
  <c r="AD36" i="75"/>
  <c r="I22" i="75"/>
  <c r="F21" i="75"/>
  <c r="F18" i="75"/>
  <c r="F19" i="75"/>
  <c r="F20" i="75"/>
  <c r="AC22" i="75"/>
  <c r="AF22" i="75"/>
  <c r="AG22" i="75"/>
  <c r="AE22" i="75"/>
  <c r="AD22" i="75"/>
  <c r="O22" i="75"/>
  <c r="AA22" i="75"/>
  <c r="Q22" i="75"/>
  <c r="K22" i="75"/>
  <c r="X22" i="75"/>
  <c r="S22" i="75"/>
  <c r="L22" i="75"/>
  <c r="N22" i="75"/>
  <c r="V22" i="75"/>
  <c r="J22" i="75"/>
  <c r="T22" i="75"/>
  <c r="U22" i="75"/>
  <c r="R22" i="75"/>
  <c r="M22" i="75"/>
  <c r="Z22" i="75"/>
  <c r="W22" i="75"/>
  <c r="Y22" i="75"/>
  <c r="P22" i="75"/>
  <c r="AB22" i="75"/>
  <c r="F52" i="75" l="1"/>
  <c r="F38" i="75"/>
  <c r="F67" i="75"/>
  <c r="F66" i="75"/>
  <c r="F65" i="75" a="1"/>
  <c r="F65" i="75" s="1"/>
  <c r="F51" i="75" a="1"/>
  <c r="F51" i="75" s="1"/>
  <c r="C49" i="81"/>
  <c r="D15" i="75"/>
  <c r="D57" i="75"/>
  <c r="D60" i="75"/>
  <c r="D18" i="75"/>
  <c r="D63" i="75"/>
  <c r="D61" i="75"/>
  <c r="D64" i="75"/>
  <c r="D36" i="75"/>
  <c r="D22" i="75"/>
  <c r="D35" i="75"/>
  <c r="D21" i="75"/>
  <c r="D33" i="75"/>
  <c r="D19" i="75"/>
  <c r="D32" i="75"/>
  <c r="G11" i="33" l="1"/>
  <c r="I78" i="75"/>
  <c r="AD78" i="75"/>
  <c r="K78" i="75"/>
  <c r="Q78" i="75"/>
  <c r="J78" i="75"/>
  <c r="Y78" i="75"/>
  <c r="R78" i="75"/>
  <c r="AG78" i="75"/>
  <c r="W78" i="75"/>
  <c r="X78" i="75"/>
  <c r="T78" i="75"/>
  <c r="L78" i="75"/>
  <c r="P78" i="75"/>
  <c r="U78" i="75"/>
  <c r="O78" i="75"/>
  <c r="AE78" i="75"/>
  <c r="N78" i="75"/>
  <c r="S78" i="75"/>
  <c r="AC78" i="75"/>
  <c r="M78" i="75"/>
  <c r="AB78" i="75"/>
  <c r="Z78" i="75"/>
  <c r="AF78" i="75"/>
  <c r="V78" i="75"/>
  <c r="AA78" i="75"/>
  <c r="G76" i="33"/>
  <c r="H12" i="33"/>
  <c r="F74" i="33"/>
  <c r="H74" i="33"/>
  <c r="I74" i="33"/>
  <c r="G74" i="33"/>
  <c r="E74" i="33"/>
  <c r="H75" i="33"/>
  <c r="E75" i="33"/>
  <c r="I77" i="33"/>
  <c r="H77" i="33"/>
  <c r="E77" i="33"/>
  <c r="H76" i="33"/>
  <c r="F76" i="33"/>
  <c r="E76" i="33"/>
  <c r="G77" i="33"/>
  <c r="F77" i="33"/>
  <c r="G75" i="33"/>
  <c r="F75" i="33"/>
  <c r="I76" i="33"/>
  <c r="K76" i="33" l="1"/>
  <c r="K77" i="33"/>
  <c r="K74" i="33"/>
  <c r="G12" i="33" l="1"/>
  <c r="G10" i="33"/>
  <c r="F25" i="75" l="1"/>
  <c r="H9" i="33" s="1"/>
  <c r="F24" i="75"/>
  <c r="I11" i="33"/>
  <c r="I12" i="33"/>
  <c r="F16" i="75" a="1"/>
  <c r="F16" i="75" s="1"/>
  <c r="F23" i="75" a="1"/>
  <c r="F23" i="75" s="1"/>
  <c r="F9" i="33" l="1"/>
  <c r="F11" i="33"/>
  <c r="F12" i="33"/>
  <c r="F10" i="33"/>
  <c r="N70" i="81"/>
  <c r="N35" i="75" s="1"/>
  <c r="Q70" i="81"/>
  <c r="Q35" i="75" s="1"/>
  <c r="V35" i="75"/>
  <c r="M32" i="81"/>
  <c r="M37" i="81" s="1"/>
  <c r="M49" i="81" s="1"/>
  <c r="M69" i="81" s="1"/>
  <c r="F35" i="75" l="1" a="1"/>
  <c r="F35" i="75" s="1"/>
  <c r="F53" i="75"/>
  <c r="H11" i="33" s="1"/>
  <c r="M72" i="81"/>
  <c r="M34" i="75"/>
  <c r="M30" i="75"/>
  <c r="I75" i="33" l="1"/>
  <c r="K75" i="33" s="1"/>
  <c r="M36" i="75"/>
  <c r="T32" i="81"/>
  <c r="T37" i="81" s="1"/>
  <c r="R32" i="81"/>
  <c r="R37" i="81" s="1"/>
  <c r="R49" i="81" s="1"/>
  <c r="R69" i="81" s="1"/>
  <c r="V32" i="81"/>
  <c r="V30" i="75" s="1"/>
  <c r="Q32" i="81"/>
  <c r="Q30" i="75" s="1"/>
  <c r="P32" i="81"/>
  <c r="P30" i="75" s="1"/>
  <c r="O32" i="81"/>
  <c r="O37" i="81" s="1"/>
  <c r="O49" i="81" s="1"/>
  <c r="O69" i="81" s="1"/>
  <c r="W32" i="81"/>
  <c r="N32" i="81"/>
  <c r="N30" i="75" s="1"/>
  <c r="U32" i="81"/>
  <c r="U37" i="81" s="1"/>
  <c r="S32" i="81"/>
  <c r="N37" i="81" l="1"/>
  <c r="N49" i="81" s="1"/>
  <c r="N69" i="81" s="1"/>
  <c r="N72" i="81" s="1"/>
  <c r="S37" i="81"/>
  <c r="V37" i="81"/>
  <c r="S30" i="75"/>
  <c r="T30" i="75"/>
  <c r="W30" i="75"/>
  <c r="W37" i="81"/>
  <c r="O30" i="75"/>
  <c r="U30" i="75"/>
  <c r="P37" i="81"/>
  <c r="P49" i="81" s="1"/>
  <c r="P69" i="81" s="1"/>
  <c r="P34" i="75" s="1"/>
  <c r="P36" i="75" s="1"/>
  <c r="O34" i="75"/>
  <c r="O36" i="75" s="1"/>
  <c r="O72" i="81"/>
  <c r="U34" i="75"/>
  <c r="U36" i="75" s="1"/>
  <c r="R34" i="75"/>
  <c r="R36" i="75" s="1"/>
  <c r="R72" i="81"/>
  <c r="T34" i="75"/>
  <c r="T36" i="75" s="1"/>
  <c r="Q37" i="81"/>
  <c r="Q49" i="81" s="1"/>
  <c r="Q69" i="81" s="1"/>
  <c r="R30" i="75"/>
  <c r="N34" i="75" l="1"/>
  <c r="N36" i="75" s="1"/>
  <c r="V34" i="75"/>
  <c r="V36" i="75" s="1"/>
  <c r="S34" i="75"/>
  <c r="S36" i="75" s="1"/>
  <c r="F30" i="75" a="1"/>
  <c r="F30" i="75" s="1"/>
  <c r="P72" i="81"/>
  <c r="W34" i="75"/>
  <c r="W36" i="75" s="1"/>
  <c r="Q34" i="75"/>
  <c r="Q36" i="75" s="1"/>
  <c r="Q72" i="81"/>
  <c r="F34" i="75" l="1" a="1"/>
  <c r="F34" i="75" s="1"/>
  <c r="F39" i="75" s="1"/>
  <c r="H10" i="33" s="1"/>
  <c r="F37" i="75" a="1"/>
  <c r="F37" i="75" s="1"/>
  <c r="I10" i="33" s="1"/>
  <c r="E17" i="33" s="1"/>
  <c r="D17" i="33" l="1"/>
  <c r="C17" i="33"/>
  <c r="C25" i="33" s="1"/>
  <c r="F30" i="33" l="1"/>
  <c r="G30" i="33"/>
  <c r="H30" i="33"/>
  <c r="I30" i="33"/>
  <c r="E29" i="33"/>
  <c r="E30" i="33"/>
  <c r="I29" i="33"/>
  <c r="F29" i="33"/>
  <c r="G29" i="33"/>
  <c r="H29" i="33"/>
  <c r="A77" i="75"/>
  <c r="M77" i="75" l="1"/>
  <c r="Y77" i="75"/>
  <c r="N77" i="75"/>
  <c r="Z77" i="75"/>
  <c r="O77" i="75"/>
  <c r="AA77" i="75"/>
  <c r="U77" i="75"/>
  <c r="P77" i="75"/>
  <c r="AB77" i="75"/>
  <c r="R77" i="75"/>
  <c r="I77" i="75"/>
  <c r="J77" i="75"/>
  <c r="Q77" i="75"/>
  <c r="AC77" i="75"/>
  <c r="AG77" i="75"/>
  <c r="AD77" i="75"/>
  <c r="AF77" i="75"/>
  <c r="S77" i="75"/>
  <c r="AE77" i="75"/>
  <c r="T77" i="75"/>
  <c r="V77" i="75"/>
  <c r="K77" i="75"/>
  <c r="W77" i="75"/>
  <c r="L77" i="75"/>
  <c r="X77" i="75"/>
  <c r="H77" i="75"/>
  <c r="K30" i="33"/>
  <c r="K2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<sst xmlns="http://schemas.openxmlformats.org/spreadsheetml/2006/main" count="1511" uniqueCount="433">
  <si>
    <t>Description</t>
  </si>
  <si>
    <t>Option</t>
  </si>
  <si>
    <t>Opex</t>
  </si>
  <si>
    <t>End</t>
  </si>
  <si>
    <t>Powercor</t>
  </si>
  <si>
    <t>VCR</t>
  </si>
  <si>
    <t>Business:</t>
  </si>
  <si>
    <t xml:space="preserve">Descripton: </t>
  </si>
  <si>
    <t xml:space="preserve">Date of cost inputs: </t>
  </si>
  <si>
    <t>SUMMARY</t>
  </si>
  <si>
    <t>.</t>
  </si>
  <si>
    <t>Capex</t>
  </si>
  <si>
    <t>Preferred option:</t>
  </si>
  <si>
    <t>Units</t>
  </si>
  <si>
    <t>Dollar inputs - month</t>
  </si>
  <si>
    <t>Dollar inputs - year</t>
  </si>
  <si>
    <t>Preferred Option</t>
  </si>
  <si>
    <t>Expenditure forecast</t>
  </si>
  <si>
    <t>Capital expenditure</t>
  </si>
  <si>
    <t>Operating expenditure</t>
  </si>
  <si>
    <t>Output dollars</t>
  </si>
  <si>
    <t>Actual/forecast CPI (June to June)</t>
  </si>
  <si>
    <t>December</t>
  </si>
  <si>
    <t>CY</t>
  </si>
  <si>
    <t>FY</t>
  </si>
  <si>
    <t>June = Calendar year actual spend</t>
  </si>
  <si>
    <t>December = Financial year actual (eg as reported in RIN)</t>
  </si>
  <si>
    <t>Select category for table:</t>
  </si>
  <si>
    <t>COSTS</t>
  </si>
  <si>
    <t>Business</t>
  </si>
  <si>
    <t>CitiPower</t>
  </si>
  <si>
    <t>United Energy</t>
  </si>
  <si>
    <t>Project</t>
  </si>
  <si>
    <t>June</t>
  </si>
  <si>
    <t>Model start year</t>
  </si>
  <si>
    <t>Input dollars</t>
  </si>
  <si>
    <t>2025-26</t>
  </si>
  <si>
    <t>Type</t>
  </si>
  <si>
    <t>- Select -</t>
  </si>
  <si>
    <t>select &gt;</t>
  </si>
  <si>
    <t>DATA</t>
  </si>
  <si>
    <t>Include</t>
  </si>
  <si>
    <t>Other benefits</t>
  </si>
  <si>
    <t>&lt; Enter description &gt;</t>
  </si>
  <si>
    <t>No change to existing practices</t>
  </si>
  <si>
    <t>$/kWh</t>
  </si>
  <si>
    <t>[output_dollars]</t>
  </si>
  <si>
    <t>[start]</t>
  </si>
  <si>
    <t>[real_disc]</t>
  </si>
  <si>
    <t>[defined name]</t>
  </si>
  <si>
    <t>Fixed input</t>
  </si>
  <si>
    <t>Input</t>
  </si>
  <si>
    <t>Calculation</t>
  </si>
  <si>
    <t>Legend</t>
  </si>
  <si>
    <t>Asset life (yrs)</t>
  </si>
  <si>
    <t>[input_dollars]</t>
  </si>
  <si>
    <t>Other benefits date</t>
  </si>
  <si>
    <t>[custval_date]</t>
  </si>
  <si>
    <t>HY ending</t>
  </si>
  <si>
    <t>FY ending</t>
  </si>
  <si>
    <t>Actual cumulative HY escalation</t>
  </si>
  <si>
    <t>Conversion from input dollars to output dollars</t>
  </si>
  <si>
    <t>Options</t>
  </si>
  <si>
    <t>Not used</t>
  </si>
  <si>
    <t>Categories</t>
  </si>
  <si>
    <t>DROPDOWN LISTS</t>
  </si>
  <si>
    <t>Short categ</t>
  </si>
  <si>
    <t>PREFERRED OPTION</t>
  </si>
  <si>
    <t>Not used options</t>
  </si>
  <si>
    <t>CONSOLIDATED</t>
  </si>
  <si>
    <t>Annualised capex</t>
  </si>
  <si>
    <t>Count</t>
  </si>
  <si>
    <t>Not applicable (compliance)</t>
  </si>
  <si>
    <t xml:space="preserve"> </t>
  </si>
  <si>
    <t>Safety</t>
  </si>
  <si>
    <t>Disproportionate factors applied to various bushfire and other risk valuations</t>
  </si>
  <si>
    <t>Harm to property from network</t>
  </si>
  <si>
    <t>Harm to property from bushfire</t>
  </si>
  <si>
    <t>Harm to environment</t>
  </si>
  <si>
    <t>Safety - Public trespass</t>
  </si>
  <si>
    <r>
      <t xml:space="preserve">Safety from bushfire in </t>
    </r>
    <r>
      <rPr>
        <sz val="8"/>
        <color theme="1"/>
        <rFont val="Calibri"/>
        <family val="2"/>
      </rPr>
      <t>HBRA</t>
    </r>
  </si>
  <si>
    <t>$</t>
  </si>
  <si>
    <t>Bushfire</t>
  </si>
  <si>
    <t>Safety - Single fatality or serious injury ^</t>
  </si>
  <si>
    <t>Safety - Multiple fatality or serious injury ^</t>
  </si>
  <si>
    <t>NPV</t>
  </si>
  <si>
    <t>INVESTMENT &amp; OPERATING COST</t>
  </si>
  <si>
    <t>Risks mitigated vs base case</t>
  </si>
  <si>
    <t>Other benefits value</t>
  </si>
  <si>
    <t>Total other benefits</t>
  </si>
  <si>
    <t>Year end</t>
  </si>
  <si>
    <t>OPTION 2</t>
  </si>
  <si>
    <t>Option 2</t>
  </si>
  <si>
    <t>Option 3</t>
  </si>
  <si>
    <t>Option 4</t>
  </si>
  <si>
    <t>OPTION 4</t>
  </si>
  <si>
    <t>OPTION 3</t>
  </si>
  <si>
    <t>CP</t>
  </si>
  <si>
    <t>PA</t>
  </si>
  <si>
    <t>UE</t>
  </si>
  <si>
    <t>Risk mitigated</t>
  </si>
  <si>
    <t>Total</t>
  </si>
  <si>
    <t>OPTION 1 (base case)</t>
  </si>
  <si>
    <t>Option 1 (base case)</t>
  </si>
  <si>
    <t>Option1</t>
  </si>
  <si>
    <t>Option2</t>
  </si>
  <si>
    <t>Option3</t>
  </si>
  <si>
    <t>Option4</t>
  </si>
  <si>
    <t>RISK ASSUMPTIONS</t>
  </si>
  <si>
    <t>PV</t>
  </si>
  <si>
    <t>Cumulative capex</t>
  </si>
  <si>
    <t>Total annualised capex</t>
  </si>
  <si>
    <t>CHART</t>
  </si>
  <si>
    <t>RESULTS</t>
  </si>
  <si>
    <t>OPTION DATA</t>
  </si>
  <si>
    <t>Conversions</t>
  </si>
  <si>
    <t>thous_conv</t>
  </si>
  <si>
    <t>mill_conv</t>
  </si>
  <si>
    <t>Enter asset life</t>
  </si>
  <si>
    <t>Message</t>
  </si>
  <si>
    <t>Total risk cost</t>
  </si>
  <si>
    <t>Safety from bushfire (REFCL declared areas)</t>
  </si>
  <si>
    <t>Safety from bushfire (electric line construction areas)</t>
  </si>
  <si>
    <t>Timing &amp; WACC</t>
  </si>
  <si>
    <t>Pre-tax real WACC</t>
  </si>
  <si>
    <t>Convert from input dollars</t>
  </si>
  <si>
    <t>To output dollars</t>
  </si>
  <si>
    <t>Net benefits</t>
  </si>
  <si>
    <t>Error message</t>
  </si>
  <si>
    <t>Remove inputs prior to start year</t>
  </si>
  <si>
    <t>First year</t>
  </si>
  <si>
    <t>Discount factor</t>
  </si>
  <si>
    <t>Analysis period</t>
  </si>
  <si>
    <t>Analysis period (years)</t>
  </si>
  <si>
    <t>[years]\</t>
  </si>
  <si>
    <t>First opex year</t>
  </si>
  <si>
    <t>First capex year</t>
  </si>
  <si>
    <t>Text</t>
  </si>
  <si>
    <t>Option included</t>
  </si>
  <si>
    <t>ESCALATION &amp; OTHER</t>
  </si>
  <si>
    <t>CHART DATA</t>
  </si>
  <si>
    <t>!</t>
  </si>
  <si>
    <t>FIRST YEAR</t>
  </si>
  <si>
    <t>CHECKS</t>
  </si>
  <si>
    <r>
      <t>!!</t>
    </r>
    <r>
      <rPr>
        <b/>
        <sz val="8"/>
        <color theme="1"/>
        <rFont val="Verdana"/>
        <family val="2"/>
      </rPr>
      <t xml:space="preserve">  </t>
    </r>
    <r>
      <rPr>
        <sz val="10"/>
        <color theme="1"/>
        <rFont val="Verdana"/>
        <family val="2"/>
      </rPr>
      <t>Capex asset life required !!</t>
    </r>
  </si>
  <si>
    <t>BENEFITS</t>
  </si>
  <si>
    <t>Total risk reductions</t>
  </si>
  <si>
    <t>RISKS</t>
  </si>
  <si>
    <t xml:space="preserve">Total risk </t>
  </si>
  <si>
    <t>Reliability risk</t>
  </si>
  <si>
    <t>Compliance risk</t>
  </si>
  <si>
    <t>Bushfire risk</t>
  </si>
  <si>
    <t>Safety risk</t>
  </si>
  <si>
    <t>Customer experience risk</t>
  </si>
  <si>
    <t>Outage risk</t>
  </si>
  <si>
    <t>Suitability and system sustainability</t>
  </si>
  <si>
    <t>Total risk reductions (vs base case)</t>
  </si>
  <si>
    <t>Risk escalation</t>
  </si>
  <si>
    <t>PV of incremental costs</t>
  </si>
  <si>
    <t>PV of incremental benefits</t>
  </si>
  <si>
    <t>PV of total costs</t>
  </si>
  <si>
    <t>Annualised Incremental capex</t>
  </si>
  <si>
    <t>Incremental capital expenditure</t>
  </si>
  <si>
    <t>Incremental operating expenditure</t>
  </si>
  <si>
    <t>capex</t>
  </si>
  <si>
    <t>Billing productivity benefits</t>
  </si>
  <si>
    <t>SAP productivity benefits</t>
  </si>
  <si>
    <t>Annualised incremental capex</t>
  </si>
  <si>
    <t>Incremental Capital expenditure</t>
  </si>
  <si>
    <t>Annual risks</t>
  </si>
  <si>
    <t>Business risks</t>
  </si>
  <si>
    <t>Reliability</t>
  </si>
  <si>
    <t>BR1</t>
  </si>
  <si>
    <t>Customer loss of supply due to cyber attack</t>
  </si>
  <si>
    <t>BR2</t>
  </si>
  <si>
    <t>Customer loss of supply due to system failure</t>
  </si>
  <si>
    <t>BR3</t>
  </si>
  <si>
    <t>Customer loss of export capability due to system failure</t>
  </si>
  <si>
    <t>BR4</t>
  </si>
  <si>
    <t>Customer loss of export capability due to cyber attack</t>
  </si>
  <si>
    <t>BR5</t>
  </si>
  <si>
    <t>Supply restoration time impacted by system failure</t>
  </si>
  <si>
    <t>BR6</t>
  </si>
  <si>
    <t>Supply restoration time impacted by cyber attack</t>
  </si>
  <si>
    <t>Compliance</t>
  </si>
  <si>
    <t>BC1</t>
  </si>
  <si>
    <t>Delays in publishing key data to the market due to system failure</t>
  </si>
  <si>
    <t>BC2</t>
  </si>
  <si>
    <t>Delays in publishing key data to the market due to cyber attack</t>
  </si>
  <si>
    <t>BC3</t>
  </si>
  <si>
    <t>Unauthorised access to employee personal data due to reasons other than a cyber attack</t>
  </si>
  <si>
    <t>BC4</t>
  </si>
  <si>
    <t>Unauthorised access to employee personal data due to cyber attack</t>
  </si>
  <si>
    <t>BC5</t>
  </si>
  <si>
    <t>Unauthorised access to customer data due to reasons other than a cyber attack</t>
  </si>
  <si>
    <t>BC6</t>
  </si>
  <si>
    <t>Unauthorised access to customer data due to cyber attack</t>
  </si>
  <si>
    <t>BC7</t>
  </si>
  <si>
    <t>System fault causes failure to notify life-support customers of an outage</t>
  </si>
  <si>
    <t>BC8</t>
  </si>
  <si>
    <t>Cyber attack causes failure to notify life-support customers of an outage</t>
  </si>
  <si>
    <t>BF1</t>
  </si>
  <si>
    <t>Systems outage impacts bushfire preparation / mitigation program</t>
  </si>
  <si>
    <t>BF2</t>
  </si>
  <si>
    <t>Cyber attack causes systems outage impacting bushfire preparation / mitigation program</t>
  </si>
  <si>
    <t>BS1</t>
  </si>
  <si>
    <t>Systems outage causes loss of supply to life-support customers</t>
  </si>
  <si>
    <t>BS2</t>
  </si>
  <si>
    <t>Cyber attack causes systems outage impacting life-support customers</t>
  </si>
  <si>
    <t>BS3</t>
  </si>
  <si>
    <t xml:space="preserve">Cyber attack prevents correct operation of network protection systems, causing elevated safety risk, e.g. failure to de-energise a downed line or re-energising a line that should be de-energised for maintenance </t>
  </si>
  <si>
    <t>Customer experience risks</t>
  </si>
  <si>
    <t>BCX1</t>
  </si>
  <si>
    <t>Customers impacted by failure of customer-facing system due to software or hardware fault</t>
  </si>
  <si>
    <t>BCX2</t>
  </si>
  <si>
    <t>Customers impacted by failure of customer-facing system due to cyber attack</t>
  </si>
  <si>
    <t>IT risks</t>
  </si>
  <si>
    <t>Outage</t>
  </si>
  <si>
    <t>ITO1</t>
  </si>
  <si>
    <t>System failure</t>
  </si>
  <si>
    <t>ITO2</t>
  </si>
  <si>
    <t>System down due to cyber attack</t>
  </si>
  <si>
    <t>ITO3</t>
  </si>
  <si>
    <t>ITS1</t>
  </si>
  <si>
    <t>Increased change management costs</t>
  </si>
  <si>
    <t>ITS2</t>
  </si>
  <si>
    <t>Data storage exceeded</t>
  </si>
  <si>
    <t>ITS3</t>
  </si>
  <si>
    <t>Performance degradation</t>
  </si>
  <si>
    <t>ITS4</t>
  </si>
  <si>
    <t>Increased maintenance costs</t>
  </si>
  <si>
    <t>Total risk</t>
  </si>
  <si>
    <t>2026/27</t>
  </si>
  <si>
    <t>2027/28</t>
  </si>
  <si>
    <t>2028/29</t>
  </si>
  <si>
    <t>2029/30</t>
  </si>
  <si>
    <t>2030/31</t>
  </si>
  <si>
    <t>$ real 2024</t>
  </si>
  <si>
    <t>CAPEX</t>
  </si>
  <si>
    <t>OPEX</t>
  </si>
  <si>
    <t>Opex reduction</t>
  </si>
  <si>
    <t xml:space="preserve">Risk escalation </t>
  </si>
  <si>
    <t>System down due to cyber attack - critical OT systems (ADMS, etc)</t>
  </si>
  <si>
    <t>Maintain status quo</t>
  </si>
  <si>
    <t>Upgrade as is, more often</t>
  </si>
  <si>
    <t>Infrastructure refresh</t>
  </si>
  <si>
    <t>Infrastructure refresh (outsourced)</t>
  </si>
  <si>
    <t>ongoing capex</t>
  </si>
  <si>
    <t>n/a</t>
  </si>
  <si>
    <t>Option 1</t>
  </si>
  <si>
    <t>Risk benefit</t>
  </si>
  <si>
    <t>Applied consequence (per annum)</t>
  </si>
  <si>
    <t>Monetised risk</t>
  </si>
  <si>
    <t>Worst Case</t>
  </si>
  <si>
    <t>Most likely</t>
  </si>
  <si>
    <t>Best case</t>
  </si>
  <si>
    <t>Class</t>
  </si>
  <si>
    <t>Consequence</t>
  </si>
  <si>
    <t>Likelihood category</t>
  </si>
  <si>
    <t>Likelihood value</t>
  </si>
  <si>
    <t>Likelihood</t>
  </si>
  <si>
    <t>Summary</t>
  </si>
  <si>
    <t>General input</t>
  </si>
  <si>
    <t>CECV</t>
  </si>
  <si>
    <t>kWh/hr</t>
  </si>
  <si>
    <t>Average solar customer export kWh per hour</t>
  </si>
  <si>
    <t>number</t>
  </si>
  <si>
    <t>Number of solar customers on DERMS</t>
  </si>
  <si>
    <t>Likely system downtime</t>
  </si>
  <si>
    <t>Likelihood of system failure resulting in customer loss of export</t>
  </si>
  <si>
    <t>Likelihood reduced when compared to Option 1 due to upgraded infrastructure. Likelihood remains that same as Option 3 as all OT systems remain on-premises.</t>
  </si>
  <si>
    <t>Likelihood of system failure</t>
  </si>
  <si>
    <t>Notes</t>
  </si>
  <si>
    <t>Most Likely</t>
  </si>
  <si>
    <t>Unit</t>
  </si>
  <si>
    <t>Inputs</t>
  </si>
  <si>
    <t>Input value</t>
  </si>
  <si>
    <t>Likelihood reduced when compared to Option 1 due to bulk upgrade of hardware.</t>
  </si>
  <si>
    <t>More frequent upgrade of systems is likely to decrease the likelihood of system failure. However, this decrease in likelihood will not be significant. Therefore, the likelihood of Option 2 is the same as Option 1.</t>
  </si>
  <si>
    <t>A system failure per the incident data may not necessarily result in customer loss of export capability. Based on incident data, 8 'critical' infrastructure incidents occur per year. It is assumed that only 5% of these incidents will relate to customer loss of export capability. This equates to approximately one incident occurring every two years.</t>
  </si>
  <si>
    <t>Based on incident data</t>
  </si>
  <si>
    <t>Proportion of customers impacted applied to solar customers.</t>
  </si>
  <si>
    <t>Number of solar customers impacted</t>
  </si>
  <si>
    <t>Average customer kWh per hour</t>
  </si>
  <si>
    <t>Total number of customers impacted in outages occurring during system downtime</t>
  </si>
  <si>
    <t>Number of customers impacted in an outage</t>
  </si>
  <si>
    <t>Outages occurring during system downtime per incident per annum</t>
  </si>
  <si>
    <t>Average number of outages per hour</t>
  </si>
  <si>
    <t>hours</t>
  </si>
  <si>
    <t>Increase in supply restoration time</t>
  </si>
  <si>
    <t>Likelihood of system failure resulting in impacts to supply restoration</t>
  </si>
  <si>
    <t>More frequent upgrade of systems is likely to decrease the likelihood of system failure. However, this decrease in likelihood will not be significant. Therefore, the likliehood of Option 2 is the same as Option 1.</t>
  </si>
  <si>
    <t>AEMO expected penalty</t>
  </si>
  <si>
    <t>Upgrade to more modern technology will result in a a reduction in additional days a breach continues as there is more segmentation and security in new technology. A 50% reduction in additional days breach continues (based on Option 1) has therefore been applied.</t>
  </si>
  <si>
    <t>days</t>
  </si>
  <si>
    <t>Number of additional days breach continues</t>
  </si>
  <si>
    <t>Daily civil penalty</t>
  </si>
  <si>
    <t xml:space="preserve">Based on penalties outlined in the NEL. </t>
  </si>
  <si>
    <t>Base civil penalty</t>
  </si>
  <si>
    <t>Likelihood equal to Option 1 as there is lack of control over this process given that all non-OT applications are outsourced.</t>
  </si>
  <si>
    <t>Forecast frequency of software or hardware failure impacting market system</t>
  </si>
  <si>
    <t>Best case assumes that the breach does not continue for any additional days. The most likely and worst case is modelled based on incident data (taking the average incident duration and max incident duration respectively).</t>
  </si>
  <si>
    <t>More frequent upgrade of systems is likely to decrease the likelihood of system failure. Therefore, assumed a lower likelihood when compared to Option 1.</t>
  </si>
  <si>
    <t>A system failure per the incident data may not necessarily result in delays in publishing key data to market. There are also alternatives available for publishing this data. Based on incident data, 8 'critical' infrastructure incidents occur per annum. It is assumed that only 5% of these incidents will result in delays. This equates to approximately one incident occurring every two years.</t>
  </si>
  <si>
    <t>Consequence (per annum)</t>
  </si>
  <si>
    <t>No fixed rectification costs.</t>
  </si>
  <si>
    <t>Rectification fixed costs</t>
  </si>
  <si>
    <t>$/hr</t>
  </si>
  <si>
    <t>IT specialist / vendor hourly rate (restoration)</t>
  </si>
  <si>
    <t>Assumed a 50% reduction in the hours required to rectify an IT outage when compared to Option 1 as modern technology infrastructure will require less time to rectify.</t>
  </si>
  <si>
    <t>Hours to rectify</t>
  </si>
  <si>
    <t>Number of IT specialists required to rectify</t>
  </si>
  <si>
    <t>Average hourly rate for internal employees</t>
  </si>
  <si>
    <t>Number of users affected</t>
  </si>
  <si>
    <t>As per explanation in Option 1.</t>
  </si>
  <si>
    <t>%</t>
  </si>
  <si>
    <t>Impacted employees requiring immediate access to IT infrastructure</t>
  </si>
  <si>
    <t>Employees impacted</t>
  </si>
  <si>
    <t>Total number of employees</t>
  </si>
  <si>
    <t>Based on average system downtime per incident data.</t>
  </si>
  <si>
    <t>Lower likelihood of system failure due to migration of all non-OT infrastructure to cloud.</t>
  </si>
  <si>
    <t>Likelihood of system outage</t>
  </si>
  <si>
    <t>Lower likelihood of system failure due to migration of infrastructure to cloud.</t>
  </si>
  <si>
    <t>Based on previous experience, it is estimated that each IT specialist will require 5 working days to rectify a system issue.</t>
  </si>
  <si>
    <t>Based on previous experience, it is estimated that 30 FTE will be required to perform a system refresh.</t>
  </si>
  <si>
    <t>Lower likelihood of system failure due to more frequent upgrades to the IT infrastructure.</t>
  </si>
  <si>
    <t>Not all employees will require immediate access to IT applications supported by IT infrastructure. Therefore a further 20% reduction has been applied.</t>
  </si>
  <si>
    <t>System failure of IT will have widespread impact on employees. To maintain a conservative approach, it has been assumed that 70% of all employees will be impacted.</t>
  </si>
  <si>
    <t>Per incident data.</t>
  </si>
  <si>
    <t>Additional data storage capacity cost</t>
  </si>
  <si>
    <t>Assumed that the rectification costs are zero due to scalable IT environment offered through cloud.</t>
  </si>
  <si>
    <t>Average hourly rate for internal employees - discounted</t>
  </si>
  <si>
    <t>As per explanation in Option 1</t>
  </si>
  <si>
    <t>Impacted employees requiring immediate access to data storage</t>
  </si>
  <si>
    <t>Lowest downtime due to amount of applications on public cloud which will be easily scalable. (40% reduction when compared to Option 1).</t>
  </si>
  <si>
    <t>Likely system downtime - storage and backup</t>
  </si>
  <si>
    <t>Lower likelihood due to migration of all non-OT applications to public cloud.</t>
  </si>
  <si>
    <t>Likelihood that forecast growth in data exceeds available capacity at some point in the 5 year RCP</t>
  </si>
  <si>
    <t>Lower system downtime as cloud environments are more easily scalable. (20% reduction when compared to Option 1)</t>
  </si>
  <si>
    <t>Lower likelihood due to bulk upgrade of hardware establishment of scalable IT environments via a hybrid cloud model.</t>
  </si>
  <si>
    <t>Assumes that once VPN/UE run out of storage, as part of the rectification VPN/UE would ensure adequate storage for the rest of the period, which at a minimum would require more than $6.5m per the prior business case.</t>
  </si>
  <si>
    <t>Based on previous experience, it is estimated that each IT specialist will require 10 working days to implement new storage requirements.</t>
  </si>
  <si>
    <t>Based on previous experience, it is estimated that 5 FTE will be required to implement new storage requirements.</t>
  </si>
  <si>
    <t>Per incident data</t>
  </si>
  <si>
    <t>It is assumed that the frequent upgrades in Option 2 will ensure that the storage space and systems are right-sized. Therefore, a decreased likelihood is assumed when compared to Option 1.</t>
  </si>
  <si>
    <t>Not all employees will require immediate access to storage. Therefore, it has been assumed that 80% of employees impacted by storage will be immediately impacted.</t>
  </si>
  <si>
    <t>Data storage exceeding will have widespread impact on employees. To maintain a conservative approach, it has been assumed that 70% of all employees will be impacted.</t>
  </si>
  <si>
    <t>Per average system downtime per incident data.</t>
  </si>
  <si>
    <t>The growing level of data that will come with DSO will likely justify a 1 in 5 year incident.</t>
  </si>
  <si>
    <t>Assumed an increase in 1 hour per month per employee.</t>
  </si>
  <si>
    <t>Estimated time increase per employee</t>
  </si>
  <si>
    <t>Average hourly rate for internal employees discounted</t>
  </si>
  <si>
    <t>Likelihood of performance degradation assumed to be lowest as non-OT applications have all migrated to cloud.</t>
  </si>
  <si>
    <t>Likelihood that forecast growth in data, system users, transactions or new applications leads to an overall degradation in performance and responsiveness of business systems</t>
  </si>
  <si>
    <t>Likelihood of performance degradation assumed to be lower as some OT applications have been migrated to cloud.</t>
  </si>
  <si>
    <t>Likelihood of performance degradation decreased when compared to Option 1 due to more frequent upgrades of IT infrastructure.</t>
  </si>
  <si>
    <t>Annual total risk</t>
  </si>
  <si>
    <t>RISK SUMMARY</t>
  </si>
  <si>
    <t>COST SUMMARY</t>
  </si>
  <si>
    <t>General inputs</t>
  </si>
  <si>
    <t>Source/notes</t>
  </si>
  <si>
    <t>Civil penalty under Privacy Act</t>
  </si>
  <si>
    <r>
      <t xml:space="preserve">Maximum penalty per s13G of the </t>
    </r>
    <r>
      <rPr>
        <i/>
        <sz val="10"/>
        <color theme="1"/>
        <rFont val="Arial"/>
        <family val="2"/>
      </rPr>
      <t>Privacy Act 1988</t>
    </r>
  </si>
  <si>
    <t xml:space="preserve">AEMO penalty </t>
  </si>
  <si>
    <t>Per section 2AB(b)(ii)(A) of the National Electricity Law.</t>
  </si>
  <si>
    <t>Additional AEMO penalty for every day the breach continues</t>
  </si>
  <si>
    <t>$/day</t>
  </si>
  <si>
    <t>Per section 2AB(b)(ii)(B) of the National Electricity Law.</t>
  </si>
  <si>
    <t>Total number of customers</t>
  </si>
  <si>
    <t>Total number of solar customers</t>
  </si>
  <si>
    <t>Likely system downtime (storage)</t>
  </si>
  <si>
    <t>Likely system downtime (performance degradation)</t>
  </si>
  <si>
    <t>Increase in supply restoration time if coinciding with system outage</t>
  </si>
  <si>
    <t>Customers connected to LV DERMS</t>
  </si>
  <si>
    <t>See calculation A below.</t>
  </si>
  <si>
    <t>Calculation A</t>
  </si>
  <si>
    <t>Source</t>
  </si>
  <si>
    <t>SAIFI</t>
  </si>
  <si>
    <t>As per targets published on website</t>
  </si>
  <si>
    <t>Number of customers</t>
  </si>
  <si>
    <t>Provided by Tim via email on 2/7/24</t>
  </si>
  <si>
    <t>Number of individual customer interruptions</t>
  </si>
  <si>
    <t>Average customers impacted per outage</t>
  </si>
  <si>
    <t>Number of outages per annum</t>
  </si>
  <si>
    <t>General inputs - other</t>
  </si>
  <si>
    <t>Likely number of customers affected per outage</t>
  </si>
  <si>
    <t>Likely system downtime (total)</t>
  </si>
  <si>
    <t xml:space="preserve">Based on $1,800 daily rate of external IT specialists </t>
  </si>
  <si>
    <t>Average customer exports of 5,300 kWh, equating to 0.605 kWh per hour.</t>
  </si>
  <si>
    <t>Scaled to match total customer figures.</t>
  </si>
  <si>
    <t>customer-days offline.</t>
  </si>
  <si>
    <t>Average system downtime based on critical LAN incidents used as a proxy for downtime for performance degradation.</t>
  </si>
  <si>
    <t>Likelihood Per Event</t>
  </si>
  <si>
    <t>Bound</t>
  </si>
  <si>
    <t>Years</t>
  </si>
  <si>
    <t>#</t>
  </si>
  <si>
    <t>Monthly</t>
  </si>
  <si>
    <t>Risk occurs once per month</t>
  </si>
  <si>
    <t>Annual</t>
  </si>
  <si>
    <t>Risk occurs once per year</t>
  </si>
  <si>
    <t>Every 2 years</t>
  </si>
  <si>
    <t>Risk occurs once every 2 years</t>
  </si>
  <si>
    <t>Every 5 years</t>
  </si>
  <si>
    <t>Risk occurs once every 5 years</t>
  </si>
  <si>
    <t>Every 10 years</t>
  </si>
  <si>
    <t>Risk occurs once every 10 years</t>
  </si>
  <si>
    <t>Every 20 years</t>
  </si>
  <si>
    <t>Risk occurs once every 20 years</t>
  </si>
  <si>
    <t>Likelihoods</t>
  </si>
  <si>
    <t xml:space="preserve">Monetised risk </t>
  </si>
  <si>
    <t>Occurrence</t>
  </si>
  <si>
    <t>Based on forecast customer numbers and energy consumption</t>
  </si>
  <si>
    <t>Total forecast customer numbers in 2031.</t>
  </si>
  <si>
    <t xml:space="preserve">
Employees = 386
Contractors = 903</t>
  </si>
  <si>
    <t>Solar customer forecast in 2031.</t>
  </si>
  <si>
    <t>Based on past experience if system is not working at the same time as outage, this would cost an additional 3 hours of time.</t>
  </si>
  <si>
    <t>Solar customer connected to DERMS forecast in 2031.</t>
  </si>
  <si>
    <t>The AER publishes the CECV for Victoria annually in the form of a table of 30-minute $/kWh value forecasts for the following 20 years. For risk quantification, use an average of all 30-minute values for the relevant year, multiplied by two to produce an average hourly value.</t>
  </si>
  <si>
    <t>We have used a weighted average of the Victorian residential VCR and the VCR for distribution-connected commercial and industrial customers, as published annually by the AER, weighted according to the UE customer mix.</t>
  </si>
  <si>
    <t>SAIFI (UE) - Urban</t>
  </si>
  <si>
    <t>SAIFI (UE) - Short rural</t>
  </si>
  <si>
    <t>Number of customers (UE) - Urban</t>
  </si>
  <si>
    <t>Number of customers (UE) - Short rural</t>
  </si>
  <si>
    <t>A system failure per the incident data may not necessarily result in customer loss of supply. Based on incident data, 8 'critical' infrastructure incidents occur per year. It is assumed that only 5% of these incidents will relate to customer loss of supply. This equates to approximately one incident occurring every two years.</t>
  </si>
  <si>
    <t>Regulatory proposal 2026-31</t>
  </si>
  <si>
    <t>Model number:</t>
  </si>
  <si>
    <t xml:space="preserve">Average system downtime based on critical incidents used as a proxy for downtime for storage incidents. </t>
  </si>
  <si>
    <t>Infrastructure refresh risk</t>
  </si>
  <si>
    <t>Quarterly</t>
  </si>
  <si>
    <t>Unitd Energy</t>
  </si>
  <si>
    <t>Maintain existing infrastructure with more frequent upgrades</t>
  </si>
  <si>
    <t>Criteria-based IT infrastructure refresh</t>
  </si>
  <si>
    <t>Public cloud infrastructure refresh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</si>
</sst>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8" formatCode="#,##0.0;[Red]\ \(#,##0.0\);\ &quot;-&quot;"/>
    <numFmt numFmtId="179" formatCode="#,##0.0;[Red]\ \-#,##0.0;\ &quot;-&quot;"/>
    <numFmt numFmtId="183" formatCode="#,##0.00000;[Red]\ \-#,##0.00000;\ &quot;-&quot;"/>
    <numFmt numFmtId="184" formatCode="0;\ \-0;\ &quot;-&quot;"/>
    <numFmt numFmtId="187" formatCode="&quot;year &quot;#"/>
    <numFmt numFmtId="188" formatCode="&quot;$&quot;&quot;m&quot;\ mmm\ yyyy"/>
    <numFmt numFmtId="190" formatCode="_-* #,##0.0_-;\-* #,##0.0_-;_-* &quot;-&quot;?_-;_-@_-"/>
    <numFmt numFmtId="191" formatCode="#,##0.0"/>
    <numFmt numFmtId="192" formatCode="_(* #,##0.00_);_(* \(#,##0.00\);_(* &quot;-&quot;??_);_(@_)"/>
    <numFmt numFmtId="193" formatCode="[Red]&quot;Fail&quot;;[Red]&quot;Fail&quot;;&quot;Ok&quot;"/>
    <numFmt numFmtId="194" formatCode="&quot;Yes&quot;;&quot;Yes&quot;;&quot;No&quot;"/>
    <numFmt numFmtId="195" formatCode="_-* #,##0.0_-;\-* #,##0.0_-;_-* &quot;-&quot;??_-;_-@_-"/>
    <numFmt numFmtId="196" formatCode="0.0"/>
    <numFmt numFmtId="197" formatCode="_-* #,##0_-;\-* #,##0_-;_-* &quot;-&quot;??_-;_-@_-"/>
    <numFmt numFmtId="198" formatCode="_(* #,##0.0_);_(* \(#,##0.0\);_(* &quot;-&quot;??_);_(@_)"/>
    <numFmt numFmtId="199" formatCode="#,##0%_);\(#,##0%\);_-* &quot;-&quot;_-"/>
    <numFmt numFmtId="200" formatCode="dd\ mmmm\ yyyy"/>
    <numFmt numFmtId="201" formatCode="&quot;$&quot;&quot;000&quot;\ mmmm\ yyyy"/>
    <numFmt numFmtId="204" formatCode="&quot;$&quot;&quot;m&quot;\ mmmm\ yyyy"/>
    <numFmt numFmtId="205" formatCode="&quot;$&quot;\ mmmm\ yyyy"/>
  </numFmts>
  <fonts count="116"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b/>
      <sz val="14"/>
      <color theme="1"/>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10"/>
      <color theme="0" tint="-0.34998626667073579"/>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b/>
      <u/>
      <sz val="10"/>
      <color theme="1"/>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sz val="11"/>
      <name val="Calibri"/>
      <family val="2"/>
      <scheme val="minor"/>
    </font>
    <font>
      <b/>
      <i/>
      <sz val="12"/>
      <color rgb="FFFF0000"/>
      <name val="Calibri"/>
      <family val="2"/>
      <scheme val="minor"/>
    </font>
    <font>
      <sz val="8"/>
      <color theme="1"/>
      <name val="Calibri"/>
      <family val="2"/>
    </font>
    <font>
      <sz val="10"/>
      <color indexed="8"/>
      <name val="Calibri"/>
      <family val="2"/>
      <scheme val="minor"/>
    </font>
    <font>
      <b/>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b/>
      <sz val="10"/>
      <color theme="0"/>
      <name val="Arial"/>
      <family val="2"/>
    </font>
    <font>
      <sz val="10"/>
      <color rgb="FF000000"/>
      <name val="Arial"/>
      <family val="2"/>
    </font>
    <font>
      <sz val="8.5"/>
      <color rgb="FF001E60"/>
      <name val="Arial"/>
      <family val="2"/>
    </font>
    <font>
      <sz val="8"/>
      <color theme="0"/>
      <name val="Arial"/>
      <family val="2"/>
    </font>
    <font>
      <sz val="8"/>
      <color theme="1"/>
      <name val="Arial"/>
      <family val="2"/>
    </font>
    <font>
      <sz val="11"/>
      <name val="Arial"/>
      <family val="2"/>
    </font>
    <font>
      <sz val="8"/>
      <color theme="1" tint="0.24994659260841701"/>
      <name val="Arial"/>
      <family val="2"/>
    </font>
    <font>
      <sz val="10"/>
      <color theme="1" tint="0.24994659260841701"/>
      <name val="Arial"/>
      <family val="2"/>
    </font>
    <font>
      <b/>
      <sz val="10"/>
      <color theme="1" tint="0.24994659260841701"/>
      <name val="Arial"/>
      <family val="2"/>
    </font>
    <font>
      <i/>
      <sz val="8"/>
      <color theme="3"/>
      <name val="Arial"/>
      <family val="2"/>
    </font>
    <font>
      <b/>
      <i/>
      <sz val="8"/>
      <color theme="3"/>
      <name val="Arial"/>
      <family val="2"/>
    </font>
    <font>
      <sz val="11"/>
      <name val="Calibri"/>
      <family val="2"/>
      <scheme val="minor"/>
    </font>
    <font>
      <b/>
      <sz val="11"/>
      <color theme="1"/>
      <name val="Arial"/>
      <family val="2"/>
    </font>
    <font>
      <sz val="10"/>
      <color rgb="FF2E2E38"/>
      <name val="Arial"/>
      <family val="2"/>
    </font>
    <font>
      <u/>
      <sz val="8"/>
      <color theme="10"/>
      <name val="Arial"/>
      <family val="2"/>
    </font>
    <font>
      <sz val="10"/>
      <color rgb="FFFF0000"/>
      <name val="Arial"/>
      <family val="2"/>
    </font>
    <font>
      <b/>
      <sz val="10"/>
      <name val="Arial"/>
      <family val="2"/>
    </font>
    <font>
      <b/>
      <sz val="11"/>
      <color theme="0"/>
      <name val="Arial"/>
      <family val="2"/>
    </font>
    <font>
      <b/>
      <sz val="11"/>
      <name val="Arial"/>
      <family val="2"/>
    </font>
    <font>
      <i/>
      <sz val="10"/>
      <color theme="3"/>
      <name val="Arial"/>
      <family val="2"/>
    </font>
    <font>
      <b/>
      <i/>
      <sz val="10"/>
      <color theme="3"/>
      <name val="Arial"/>
      <family val="2"/>
    </font>
    <font>
      <sz val="11"/>
      <color rgb="FFFF0000"/>
      <name val="Arial"/>
      <family val="2"/>
    </font>
    <font>
      <sz val="8"/>
      <name val="Arial"/>
      <family val="2"/>
    </font>
    <font>
      <i/>
      <sz val="10"/>
      <color theme="1"/>
      <name val="Arial"/>
      <family val="2"/>
    </font>
    <font>
      <u/>
      <sz val="10"/>
      <color theme="10"/>
      <name val="Arial"/>
      <family val="2"/>
    </font>
    <font>
      <u/>
      <sz val="10"/>
      <color theme="1" tint="0.24994659260841701"/>
      <name val="Arial"/>
      <family val="2"/>
    </font>
    <font>
      <b/>
      <sz val="10"/>
      <color rgb="FF2E2E38"/>
      <name val="Arial"/>
      <family val="2"/>
    </font>
    <font>
      <b/>
      <sz val="8"/>
      <color theme="1" tint="0.14975432599871821"/>
      <name val="Arial"/>
      <family val="2"/>
    </font>
    <font>
      <sz val="10"/>
      <color rgb="FF3333FF"/>
      <name val="Calibri"/>
      <family val="2"/>
    </font>
    <font>
      <sz val="10"/>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
      <sz val="8"/>
      <color indexed="8"/>
      <name val="Calibri"/>
      <family val="2"/>
      <scheme val="minor"/>
    </font>
  </fonts>
  <fills count="29">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rgb="FFCC330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them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595959"/>
        <bgColor indexed="64"/>
      </patternFill>
    </fill>
    <fill>
      <patternFill patternType="solid">
        <fgColor theme="0"/>
        <bgColor indexed="64"/>
      </patternFill>
    </fill>
    <fill>
      <patternFill patternType="lightUp"/>
    </fill>
    <fill>
      <patternFill patternType="lightGray"/>
    </fill>
    <fill>
      <patternFill patternType="solid">
        <fgColor theme="1"/>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FFFFCC"/>
        <bgColor rgb="FF000000"/>
      </patternFill>
    </fill>
    <fill>
      <patternFill patternType="solid">
        <fgColor rgb="FF00215B"/>
        <bgColor indexed="64"/>
      </patternFill>
    </fill>
  </fills>
  <borders count="31">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rgb="FF818181"/>
      </left>
      <right style="hair">
        <color rgb="FF818181"/>
      </right>
      <top style="hair">
        <color rgb="FF818181"/>
      </top>
      <bottom style="hair">
        <color rgb="FF818181"/>
      </bottom>
      <diagonal/>
    </border>
    <border>
      <left/>
      <right/>
      <top style="dashed">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2E2E38"/>
      </left>
      <right style="thin">
        <color rgb="FF2E2E38"/>
      </right>
      <top style="thin">
        <color rgb="FF2E2E38"/>
      </top>
      <bottom style="thin">
        <color rgb="FF2E2E3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9">
    <xf numFmtId="0" fontId="0" fillId="0" borderId="0"/>
    <xf numFmtId="0" fontId="9" fillId="0" borderId="0"/>
    <xf numFmtId="0" fontId="5" fillId="2" borderId="1" applyNumberFormat="0" applyAlignment="0">
      <alignment horizontal="right"/>
      <protection locked="0"/>
    </xf>
    <xf numFmtId="164" fontId="6" fillId="0" borderId="0" applyFont="0" applyFill="0" applyBorder="0" applyAlignment="0" applyProtection="0"/>
    <xf numFmtId="165" fontId="7" fillId="3" borderId="2" applyAlignment="0"/>
    <xf numFmtId="0" fontId="16" fillId="0" borderId="0" applyNumberFormat="0"/>
    <xf numFmtId="0" fontId="8" fillId="0" borderId="3" applyNumberFormat="0" applyAlignment="0"/>
    <xf numFmtId="0" fontId="6" fillId="0" borderId="4" applyNumberFormat="0" applyFont="0" applyFill="0" applyAlignment="0"/>
    <xf numFmtId="0" fontId="8" fillId="0" borderId="0"/>
    <xf numFmtId="0" fontId="9" fillId="1" borderId="0"/>
    <xf numFmtId="0" fontId="10" fillId="4" borderId="5" applyNumberFormat="0" applyAlignment="0"/>
    <xf numFmtId="0" fontId="11" fillId="4" borderId="6" applyNumberFormat="0" applyAlignment="0"/>
    <xf numFmtId="0" fontId="12" fillId="0" borderId="0" applyNumberFormat="0"/>
    <xf numFmtId="0" fontId="14" fillId="6" borderId="0"/>
    <xf numFmtId="0" fontId="15" fillId="0" borderId="0"/>
    <xf numFmtId="166" fontId="13" fillId="5" borderId="0"/>
    <xf numFmtId="166" fontId="17" fillId="5" borderId="0"/>
    <xf numFmtId="0" fontId="18" fillId="0" borderId="0"/>
    <xf numFmtId="9" fontId="21" fillId="0" borderId="0" applyFont="0" applyFill="0" applyBorder="0" applyAlignment="0" applyProtection="0"/>
    <xf numFmtId="0" fontId="21" fillId="0" borderId="0"/>
    <xf numFmtId="0" fontId="32" fillId="8" borderId="0" applyNumberFormat="0">
      <alignment horizontal="center"/>
    </xf>
    <xf numFmtId="170" fontId="24" fillId="0" borderId="8" applyNumberFormat="0" applyProtection="0">
      <alignment horizontal="right"/>
    </xf>
    <xf numFmtId="10" fontId="31" fillId="2" borderId="0" applyNumberFormat="0" applyAlignment="0" applyProtection="0"/>
    <xf numFmtId="10" fontId="51" fillId="11" borderId="0" applyNumberFormat="0" applyBorder="0" applyAlignment="0" applyProtection="0"/>
    <xf numFmtId="0" fontId="8" fillId="0" borderId="0"/>
    <xf numFmtId="0" fontId="79" fillId="0" borderId="0" applyNumberFormat="0"/>
    <xf numFmtId="0" fontId="80" fillId="19" borderId="19" applyNumberFormat="0">
      <alignment horizontal="center" vertical="center"/>
    </xf>
    <xf numFmtId="0" fontId="81" fillId="0" borderId="20" applyNumberFormat="0" applyAlignment="0"/>
    <xf numFmtId="0" fontId="4" fillId="0" borderId="0"/>
    <xf numFmtId="0" fontId="83" fillId="0" borderId="0"/>
    <xf numFmtId="192" fontId="81" fillId="0" borderId="0" applyFill="0" applyBorder="0" applyAlignment="0" applyProtection="0"/>
    <xf numFmtId="43" fontId="4" fillId="0" borderId="0" applyFont="0" applyFill="0" applyBorder="0" applyAlignment="0" applyProtection="0"/>
    <xf numFmtId="0" fontId="91" fillId="0" borderId="0" applyNumberFormat="0" applyFill="0" applyBorder="0" applyAlignment="0" applyProtection="0"/>
    <xf numFmtId="0" fontId="3" fillId="0" borderId="0"/>
    <xf numFmtId="43" fontId="3" fillId="0" borderId="0" applyFont="0" applyFill="0" applyBorder="0" applyAlignment="0" applyProtection="0"/>
    <xf numFmtId="0" fontId="104" fillId="0" borderId="0" applyNumberFormat="0"/>
    <xf numFmtId="0" fontId="2" fillId="0" borderId="0"/>
    <xf numFmtId="0" fontId="1" fillId="0" borderId="0"/>
    <xf numFmtId="0" fontId="106" fillId="0" borderId="0"/>
  </cellStyleXfs>
  <cellXfs count="438">
    <xf numFmtId="0" fontId="0" fillId="0" borderId="0" xfId="0"/>
    <xf numFmtId="0" fontId="18" fillId="0" borderId="0" xfId="17"/>
    <xf numFmtId="0" fontId="18" fillId="0" borderId="0" xfId="17" applyAlignment="1">
      <alignment horizontal="right"/>
    </xf>
    <xf numFmtId="0" fontId="20" fillId="0" borderId="0" xfId="17" applyFont="1"/>
    <xf numFmtId="0" fontId="19" fillId="0" borderId="0" xfId="17" applyFont="1" applyAlignment="1">
      <alignment vertical="center"/>
    </xf>
    <xf numFmtId="0" fontId="23" fillId="0" borderId="0" xfId="17" applyFont="1"/>
    <xf numFmtId="0" fontId="25" fillId="0" borderId="0" xfId="17" applyFont="1"/>
    <xf numFmtId="0" fontId="18" fillId="0" borderId="0" xfId="0" applyFont="1"/>
    <xf numFmtId="0" fontId="26" fillId="0" borderId="0" xfId="8" applyFont="1"/>
    <xf numFmtId="0" fontId="27" fillId="0" borderId="0" xfId="0" applyFont="1"/>
    <xf numFmtId="166" fontId="29" fillId="7" borderId="0" xfId="15" applyFont="1" applyFill="1"/>
    <xf numFmtId="0" fontId="18" fillId="0" borderId="0" xfId="17" applyAlignment="1">
      <alignment horizontal="left"/>
    </xf>
    <xf numFmtId="0" fontId="31" fillId="2" borderId="0" xfId="0" applyFont="1" applyFill="1"/>
    <xf numFmtId="0" fontId="20" fillId="0" borderId="0" xfId="0" applyFont="1"/>
    <xf numFmtId="166" fontId="29" fillId="9" borderId="0" xfId="15" applyFont="1" applyFill="1"/>
    <xf numFmtId="0" fontId="22" fillId="10" borderId="0" xfId="17" applyFont="1" applyFill="1" applyAlignment="1">
      <alignment vertical="center"/>
    </xf>
    <xf numFmtId="0" fontId="22" fillId="10" borderId="0" xfId="17" applyFont="1" applyFill="1" applyAlignment="1">
      <alignment horizontal="right" vertical="center"/>
    </xf>
    <xf numFmtId="0" fontId="28" fillId="10" borderId="0" xfId="17" applyFont="1" applyFill="1" applyAlignment="1">
      <alignment vertical="center"/>
    </xf>
    <xf numFmtId="166" fontId="34" fillId="9" borderId="0" xfId="15" applyFont="1" applyFill="1"/>
    <xf numFmtId="166" fontId="35" fillId="9" borderId="0" xfId="15" applyFont="1" applyFill="1" applyAlignment="1">
      <alignment horizontal="right"/>
    </xf>
    <xf numFmtId="0" fontId="18" fillId="0" borderId="0" xfId="0" applyFont="1" applyAlignment="1">
      <alignment horizontal="left"/>
    </xf>
    <xf numFmtId="0" fontId="24" fillId="0" borderId="0" xfId="17" applyFont="1"/>
    <xf numFmtId="0" fontId="18" fillId="2" borderId="0" xfId="0" applyFont="1" applyFill="1"/>
    <xf numFmtId="172" fontId="18" fillId="0" borderId="0" xfId="0" applyNumberFormat="1" applyFont="1"/>
    <xf numFmtId="172" fontId="18" fillId="2" borderId="0" xfId="0" applyNumberFormat="1" applyFont="1" applyFill="1" applyAlignment="1">
      <alignment horizontal="left"/>
    </xf>
    <xf numFmtId="0" fontId="20" fillId="0" borderId="0" xfId="17" applyFont="1" applyAlignment="1">
      <alignment horizontal="left"/>
    </xf>
    <xf numFmtId="0" fontId="18" fillId="2" borderId="0" xfId="0" quotePrefix="1" applyFont="1" applyFill="1"/>
    <xf numFmtId="0" fontId="20" fillId="0" borderId="7" xfId="17" applyFont="1" applyBorder="1" applyAlignment="1">
      <alignment horizontal="left"/>
    </xf>
    <xf numFmtId="0" fontId="20" fillId="0" borderId="7" xfId="17" applyFont="1" applyBorder="1"/>
    <xf numFmtId="167" fontId="19" fillId="0" borderId="0" xfId="17" applyNumberFormat="1" applyFont="1" applyAlignment="1">
      <alignment horizontal="right" vertical="center"/>
    </xf>
    <xf numFmtId="167" fontId="31" fillId="2" borderId="8" xfId="17" applyNumberFormat="1" applyFont="1" applyFill="1" applyBorder="1" applyAlignment="1">
      <alignment horizontal="right" vertical="center"/>
    </xf>
    <xf numFmtId="0" fontId="37" fillId="0" borderId="0" xfId="8" applyFont="1"/>
    <xf numFmtId="0" fontId="38" fillId="0" borderId="0" xfId="17" applyFont="1"/>
    <xf numFmtId="0" fontId="18" fillId="12" borderId="4" xfId="17" applyFill="1" applyBorder="1" applyAlignment="1">
      <alignment horizontal="left"/>
    </xf>
    <xf numFmtId="1" fontId="31" fillId="2" borderId="0" xfId="17" quotePrefix="1" applyNumberFormat="1" applyFont="1" applyFill="1" applyAlignment="1">
      <alignment horizontal="center"/>
    </xf>
    <xf numFmtId="166" fontId="42" fillId="0" borderId="0" xfId="17" applyNumberFormat="1" applyFont="1" applyAlignment="1">
      <alignment horizontal="left"/>
    </xf>
    <xf numFmtId="171" fontId="36" fillId="2" borderId="0" xfId="17" applyNumberFormat="1" applyFont="1" applyFill="1" applyAlignment="1">
      <alignment horizontal="right"/>
    </xf>
    <xf numFmtId="14" fontId="18" fillId="0" borderId="0" xfId="0" applyNumberFormat="1" applyFont="1"/>
    <xf numFmtId="1" fontId="18" fillId="2" borderId="0" xfId="0" applyNumberFormat="1" applyFont="1" applyFill="1" applyAlignment="1">
      <alignment horizontal="left"/>
    </xf>
    <xf numFmtId="14" fontId="20" fillId="0" borderId="7" xfId="17" applyNumberFormat="1" applyFont="1" applyBorder="1"/>
    <xf numFmtId="0" fontId="44" fillId="0" borderId="7" xfId="17" quotePrefix="1" applyFont="1" applyBorder="1" applyAlignment="1">
      <alignment horizontal="left"/>
    </xf>
    <xf numFmtId="14" fontId="40" fillId="2" borderId="7" xfId="22" applyNumberFormat="1" applyFont="1" applyBorder="1"/>
    <xf numFmtId="166" fontId="29" fillId="9" borderId="0" xfId="15" applyFont="1" applyFill="1" applyAlignment="1">
      <alignment horizontal="left"/>
    </xf>
    <xf numFmtId="0" fontId="0" fillId="0" borderId="0" xfId="0" applyAlignment="1">
      <alignment horizontal="left"/>
    </xf>
    <xf numFmtId="168" fontId="33" fillId="0" borderId="7" xfId="17" applyNumberFormat="1" applyFont="1" applyBorder="1" applyAlignment="1">
      <alignment horizontal="left" vertical="center"/>
    </xf>
    <xf numFmtId="0" fontId="24" fillId="0" borderId="0" xfId="17" applyFont="1" applyAlignment="1">
      <alignment horizontal="left"/>
    </xf>
    <xf numFmtId="0" fontId="31" fillId="2" borderId="0" xfId="22" applyNumberFormat="1"/>
    <xf numFmtId="0" fontId="18" fillId="12" borderId="0" xfId="17" applyFill="1" applyAlignment="1">
      <alignment horizontal="left"/>
    </xf>
    <xf numFmtId="167" fontId="33" fillId="0" borderId="4" xfId="17" applyNumberFormat="1" applyFont="1" applyBorder="1" applyAlignment="1">
      <alignment horizontal="right" vertical="center"/>
    </xf>
    <xf numFmtId="0" fontId="20" fillId="0" borderId="7" xfId="0" applyFont="1" applyBorder="1"/>
    <xf numFmtId="0" fontId="45" fillId="0" borderId="0" xfId="14" applyFont="1"/>
    <xf numFmtId="166" fontId="41" fillId="11" borderId="0" xfId="16" applyFont="1" applyFill="1"/>
    <xf numFmtId="168" fontId="46" fillId="9" borderId="0" xfId="17" applyNumberFormat="1" applyFont="1" applyFill="1" applyAlignment="1">
      <alignment horizontal="center" vertical="center"/>
    </xf>
    <xf numFmtId="0" fontId="20" fillId="0" borderId="7" xfId="0" applyFont="1" applyBorder="1" applyAlignment="1">
      <alignment horizontal="right"/>
    </xf>
    <xf numFmtId="166" fontId="47" fillId="9" borderId="0" xfId="15" applyFont="1" applyFill="1"/>
    <xf numFmtId="0" fontId="31" fillId="2" borderId="0" xfId="17" applyFont="1" applyFill="1" applyAlignment="1">
      <alignment horizontal="left"/>
    </xf>
    <xf numFmtId="174" fontId="18" fillId="0" borderId="0" xfId="17" applyNumberFormat="1" applyAlignment="1">
      <alignment horizontal="right"/>
    </xf>
    <xf numFmtId="0" fontId="18" fillId="0" borderId="7" xfId="0" applyFont="1" applyBorder="1"/>
    <xf numFmtId="172" fontId="31" fillId="2" borderId="9" xfId="17" quotePrefix="1" applyNumberFormat="1" applyFont="1" applyFill="1" applyBorder="1" applyAlignment="1">
      <alignment horizontal="left"/>
    </xf>
    <xf numFmtId="0" fontId="19" fillId="0" borderId="0" xfId="17" applyFont="1" applyAlignment="1">
      <alignment horizontal="left" vertical="top"/>
    </xf>
    <xf numFmtId="168" fontId="18" fillId="0" borderId="0" xfId="17" applyNumberFormat="1" applyAlignment="1">
      <alignment horizontal="left"/>
    </xf>
    <xf numFmtId="172" fontId="18" fillId="2" borderId="0" xfId="0" quotePrefix="1" applyNumberFormat="1" applyFont="1" applyFill="1" applyAlignment="1">
      <alignment horizontal="left"/>
    </xf>
    <xf numFmtId="0" fontId="49" fillId="0" borderId="0" xfId="0" applyFont="1" applyAlignment="1">
      <alignment horizontal="right"/>
    </xf>
    <xf numFmtId="0" fontId="48" fillId="0" borderId="0" xfId="0" applyFont="1" applyAlignment="1">
      <alignment horizontal="left" indent="1"/>
    </xf>
    <xf numFmtId="168" fontId="24" fillId="0" borderId="8" xfId="21" applyNumberFormat="1">
      <alignment horizontal="right"/>
    </xf>
    <xf numFmtId="0" fontId="50" fillId="0" borderId="0" xfId="17" quotePrefix="1" applyFont="1" applyAlignment="1">
      <alignment horizontal="left"/>
    </xf>
    <xf numFmtId="0" fontId="20" fillId="0" borderId="7" xfId="17" applyFont="1" applyBorder="1" applyAlignment="1">
      <alignment horizontal="right"/>
    </xf>
    <xf numFmtId="0" fontId="18" fillId="0" borderId="0" xfId="17" applyAlignment="1">
      <alignment horizontal="left" vertical="top" wrapText="1"/>
    </xf>
    <xf numFmtId="0" fontId="20" fillId="0" borderId="7" xfId="17" applyFont="1" applyBorder="1" applyAlignment="1">
      <alignment horizontal="left" vertical="top"/>
    </xf>
    <xf numFmtId="0" fontId="18" fillId="0" borderId="7" xfId="17" applyBorder="1" applyAlignment="1">
      <alignment horizontal="left" vertical="top"/>
    </xf>
    <xf numFmtId="14" fontId="18" fillId="0" borderId="0" xfId="17" applyNumberFormat="1"/>
    <xf numFmtId="14" fontId="18" fillId="0" borderId="7" xfId="17" applyNumberFormat="1" applyBorder="1"/>
    <xf numFmtId="14" fontId="31" fillId="2" borderId="0" xfId="17" applyNumberFormat="1" applyFont="1" applyFill="1"/>
    <xf numFmtId="10" fontId="37" fillId="0" borderId="0" xfId="22" applyNumberFormat="1" applyFont="1" applyFill="1"/>
    <xf numFmtId="0" fontId="30" fillId="0" borderId="0" xfId="0" applyFont="1"/>
    <xf numFmtId="166" fontId="34" fillId="9" borderId="0" xfId="15" applyFont="1" applyFill="1" applyAlignment="1">
      <alignment horizontal="center"/>
    </xf>
    <xf numFmtId="0" fontId="27" fillId="0" borderId="0" xfId="0" applyFont="1" applyAlignment="1">
      <alignment horizontal="center"/>
    </xf>
    <xf numFmtId="49" fontId="18" fillId="2" borderId="0" xfId="0" applyNumberFormat="1" applyFont="1" applyFill="1" applyAlignment="1">
      <alignment horizontal="left"/>
    </xf>
    <xf numFmtId="0" fontId="54" fillId="0" borderId="7" xfId="17" applyFont="1" applyBorder="1" applyAlignment="1">
      <alignment vertical="center"/>
    </xf>
    <xf numFmtId="0" fontId="39" fillId="0" borderId="7" xfId="17" applyFont="1" applyBorder="1" applyAlignment="1">
      <alignment vertical="center"/>
    </xf>
    <xf numFmtId="173" fontId="18" fillId="0" borderId="0" xfId="17" applyNumberFormat="1"/>
    <xf numFmtId="0" fontId="24" fillId="12" borderId="8" xfId="21" applyNumberFormat="1" applyFill="1" applyAlignment="1">
      <alignment horizontal="left"/>
    </xf>
    <xf numFmtId="0" fontId="55" fillId="0" borderId="0" xfId="17" applyFont="1"/>
    <xf numFmtId="167" fontId="37" fillId="2" borderId="0" xfId="17" applyNumberFormat="1" applyFont="1" applyFill="1" applyAlignment="1">
      <alignment horizontal="right" vertical="center"/>
    </xf>
    <xf numFmtId="10" fontId="51" fillId="11" borderId="0" xfId="23" quotePrefix="1" applyNumberFormat="1"/>
    <xf numFmtId="168" fontId="51" fillId="11" borderId="0" xfId="23" applyNumberFormat="1" applyAlignment="1">
      <alignment horizontal="right" vertical="center"/>
    </xf>
    <xf numFmtId="0" fontId="51" fillId="11" borderId="0" xfId="23" applyNumberFormat="1"/>
    <xf numFmtId="0" fontId="28" fillId="13" borderId="0" xfId="17" applyFont="1" applyFill="1" applyAlignment="1">
      <alignment vertical="center"/>
    </xf>
    <xf numFmtId="173" fontId="19" fillId="0" borderId="0" xfId="17" applyNumberFormat="1" applyFont="1" applyAlignment="1">
      <alignment horizontal="right" vertical="center"/>
    </xf>
    <xf numFmtId="0" fontId="43" fillId="0" borderId="0" xfId="8" applyFont="1"/>
    <xf numFmtId="175" fontId="49" fillId="0" borderId="0" xfId="17" applyNumberFormat="1" applyFont="1" applyAlignment="1">
      <alignment horizontal="right" vertical="center"/>
    </xf>
    <xf numFmtId="0" fontId="43" fillId="0" borderId="0" xfId="8" applyFont="1" applyAlignment="1">
      <alignment horizontal="center"/>
    </xf>
    <xf numFmtId="0" fontId="49" fillId="0" borderId="0" xfId="17" applyFont="1" applyAlignment="1">
      <alignment horizontal="right"/>
    </xf>
    <xf numFmtId="49" fontId="18" fillId="0" borderId="0" xfId="0" applyNumberFormat="1" applyFont="1"/>
    <xf numFmtId="178" fontId="18" fillId="0" borderId="0" xfId="17" applyNumberFormat="1" applyAlignment="1">
      <alignment vertical="top" wrapText="1"/>
    </xf>
    <xf numFmtId="178" fontId="19" fillId="12" borderId="0" xfId="17" applyNumberFormat="1" applyFont="1" applyFill="1" applyAlignment="1">
      <alignment horizontal="right" vertical="center"/>
    </xf>
    <xf numFmtId="179" fontId="19" fillId="0" borderId="0" xfId="17" applyNumberFormat="1" applyFont="1" applyAlignment="1">
      <alignment horizontal="right" vertical="center"/>
    </xf>
    <xf numFmtId="176" fontId="33" fillId="0" borderId="0" xfId="17" applyNumberFormat="1" applyFont="1" applyAlignment="1">
      <alignment horizontal="right" vertical="center"/>
    </xf>
    <xf numFmtId="0" fontId="53" fillId="0" borderId="0" xfId="0" applyFont="1"/>
    <xf numFmtId="167" fontId="33" fillId="0" borderId="0" xfId="17" applyNumberFormat="1" applyFont="1" applyAlignment="1">
      <alignment horizontal="right" vertical="center"/>
    </xf>
    <xf numFmtId="166" fontId="42" fillId="0" borderId="4" xfId="17" applyNumberFormat="1" applyFont="1" applyBorder="1" applyAlignment="1">
      <alignment horizontal="left"/>
    </xf>
    <xf numFmtId="0" fontId="18" fillId="0" borderId="4" xfId="17" applyBorder="1"/>
    <xf numFmtId="0" fontId="54" fillId="0" borderId="0" xfId="17" applyFont="1" applyAlignment="1">
      <alignment vertical="center"/>
    </xf>
    <xf numFmtId="0" fontId="52" fillId="0" borderId="0" xfId="8" applyFont="1"/>
    <xf numFmtId="0" fontId="39" fillId="0" borderId="7" xfId="17" applyFont="1" applyBorder="1" applyAlignment="1">
      <alignment horizontal="right" vertical="center"/>
    </xf>
    <xf numFmtId="167" fontId="19" fillId="0" borderId="0" xfId="17" applyNumberFormat="1" applyFont="1" applyAlignment="1">
      <alignment horizontal="left" vertical="center"/>
    </xf>
    <xf numFmtId="0" fontId="26" fillId="0" borderId="0" xfId="8" applyFont="1" applyAlignment="1">
      <alignment horizontal="left"/>
    </xf>
    <xf numFmtId="0" fontId="57" fillId="0" borderId="0" xfId="17" applyFont="1"/>
    <xf numFmtId="0" fontId="18" fillId="0" borderId="0" xfId="19" applyFont="1"/>
    <xf numFmtId="0" fontId="18" fillId="2" borderId="0" xfId="19" applyFont="1" applyFill="1"/>
    <xf numFmtId="167" fontId="18" fillId="0" borderId="0" xfId="17" applyNumberFormat="1" applyAlignment="1">
      <alignment horizontal="right" vertical="center"/>
    </xf>
    <xf numFmtId="167" fontId="18" fillId="14" borderId="0" xfId="17" applyNumberFormat="1" applyFill="1" applyAlignment="1">
      <alignment horizontal="right" vertical="center"/>
    </xf>
    <xf numFmtId="0" fontId="59" fillId="0" borderId="0" xfId="17" applyFont="1" applyAlignment="1">
      <alignment horizontal="left" indent="1"/>
    </xf>
    <xf numFmtId="49" fontId="18" fillId="0" borderId="0" xfId="17" applyNumberFormat="1"/>
    <xf numFmtId="183" fontId="31" fillId="2" borderId="8" xfId="17" applyNumberFormat="1" applyFont="1" applyFill="1" applyBorder="1" applyAlignment="1">
      <alignment horizontal="right" vertical="center"/>
    </xf>
    <xf numFmtId="176" fontId="18" fillId="0" borderId="0" xfId="17" applyNumberFormat="1"/>
    <xf numFmtId="167" fontId="18" fillId="0" borderId="0" xfId="17" applyNumberFormat="1"/>
    <xf numFmtId="2" fontId="18" fillId="0" borderId="0" xfId="17" applyNumberFormat="1"/>
    <xf numFmtId="178" fontId="33" fillId="0" borderId="0" xfId="17" applyNumberFormat="1" applyFont="1" applyAlignment="1">
      <alignment horizontal="right" vertical="center"/>
    </xf>
    <xf numFmtId="178" fontId="60" fillId="0" borderId="0" xfId="17" applyNumberFormat="1" applyFont="1" applyAlignment="1">
      <alignment horizontal="right" vertical="center"/>
    </xf>
    <xf numFmtId="0" fontId="28" fillId="10" borderId="0" xfId="17" applyFont="1" applyFill="1" applyAlignment="1">
      <alignment horizontal="right" vertical="center"/>
    </xf>
    <xf numFmtId="167" fontId="19" fillId="0" borderId="4" xfId="17" applyNumberFormat="1" applyFont="1" applyBorder="1" applyAlignment="1">
      <alignment horizontal="right" vertical="center"/>
    </xf>
    <xf numFmtId="14" fontId="61" fillId="0" borderId="0" xfId="0" applyNumberFormat="1" applyFont="1"/>
    <xf numFmtId="0" fontId="60" fillId="0" borderId="0" xfId="17" applyFont="1" applyAlignment="1">
      <alignment vertical="center"/>
    </xf>
    <xf numFmtId="167" fontId="31" fillId="2" borderId="0" xfId="17" applyNumberFormat="1" applyFont="1" applyFill="1" applyAlignment="1">
      <alignment horizontal="right" vertical="center"/>
    </xf>
    <xf numFmtId="167" fontId="0" fillId="0" borderId="0" xfId="0" applyNumberFormat="1"/>
    <xf numFmtId="167" fontId="27" fillId="0" borderId="0" xfId="0" applyNumberFormat="1" applyFont="1"/>
    <xf numFmtId="0" fontId="23" fillId="0" borderId="0" xfId="17" applyFont="1" applyAlignment="1">
      <alignment horizontal="left"/>
    </xf>
    <xf numFmtId="0" fontId="49" fillId="2" borderId="0" xfId="17" applyFont="1" applyFill="1" applyAlignment="1">
      <alignment horizontal="right"/>
    </xf>
    <xf numFmtId="0" fontId="20" fillId="0" borderId="0" xfId="17" applyFont="1" applyAlignment="1">
      <alignment horizontal="center"/>
    </xf>
    <xf numFmtId="167" fontId="37" fillId="2" borderId="0" xfId="17" applyNumberFormat="1" applyFont="1" applyFill="1" applyAlignment="1">
      <alignment horizontal="left" vertical="center"/>
    </xf>
    <xf numFmtId="184" fontId="51" fillId="2" borderId="0" xfId="23" applyNumberFormat="1" applyFill="1" applyAlignment="1">
      <alignment horizontal="right"/>
    </xf>
    <xf numFmtId="0" fontId="37" fillId="0" borderId="0" xfId="17" applyFont="1"/>
    <xf numFmtId="179" fontId="33" fillId="0" borderId="0" xfId="17" applyNumberFormat="1" applyFont="1" applyAlignment="1">
      <alignment horizontal="right" vertical="center"/>
    </xf>
    <xf numFmtId="0" fontId="18" fillId="0" borderId="7" xfId="17" applyBorder="1"/>
    <xf numFmtId="0" fontId="19" fillId="0" borderId="10" xfId="17" applyFont="1" applyBorder="1" applyAlignment="1">
      <alignment vertical="center"/>
    </xf>
    <xf numFmtId="0" fontId="18" fillId="0" borderId="10" xfId="17" applyBorder="1"/>
    <xf numFmtId="173" fontId="19" fillId="0" borderId="10" xfId="17" applyNumberFormat="1" applyFont="1" applyBorder="1" applyAlignment="1">
      <alignment horizontal="right" vertical="center"/>
    </xf>
    <xf numFmtId="167" fontId="19" fillId="0" borderId="10" xfId="17" applyNumberFormat="1" applyFont="1" applyBorder="1" applyAlignment="1">
      <alignment horizontal="right" vertical="center"/>
    </xf>
    <xf numFmtId="0" fontId="57" fillId="0" borderId="10" xfId="0" applyFont="1" applyBorder="1"/>
    <xf numFmtId="166" fontId="42" fillId="0" borderId="10" xfId="17" applyNumberFormat="1" applyFont="1" applyBorder="1" applyAlignment="1">
      <alignment horizontal="left"/>
    </xf>
    <xf numFmtId="167" fontId="33" fillId="0" borderId="10" xfId="17" applyNumberFormat="1" applyFont="1" applyBorder="1" applyAlignment="1">
      <alignment horizontal="right" vertical="center"/>
    </xf>
    <xf numFmtId="0" fontId="18" fillId="0" borderId="10" xfId="0" applyFont="1" applyBorder="1"/>
    <xf numFmtId="0" fontId="28" fillId="15" borderId="0" xfId="17" applyFont="1" applyFill="1" applyAlignment="1">
      <alignment vertical="center"/>
    </xf>
    <xf numFmtId="0" fontId="28" fillId="15" borderId="0" xfId="17" applyFont="1" applyFill="1" applyAlignment="1">
      <alignment horizontal="right" vertical="center"/>
    </xf>
    <xf numFmtId="0" fontId="22" fillId="15" borderId="0" xfId="17" applyFont="1" applyFill="1" applyAlignment="1">
      <alignment horizontal="right" vertical="center"/>
    </xf>
    <xf numFmtId="188" fontId="18" fillId="0" borderId="7" xfId="17" applyNumberFormat="1" applyBorder="1" applyAlignment="1">
      <alignment horizontal="center"/>
    </xf>
    <xf numFmtId="179" fontId="18" fillId="0" borderId="0" xfId="0" applyNumberFormat="1" applyFont="1"/>
    <xf numFmtId="187" fontId="18" fillId="0" borderId="0" xfId="17" applyNumberFormat="1" applyAlignment="1">
      <alignment horizontal="left"/>
    </xf>
    <xf numFmtId="171" fontId="43" fillId="0" borderId="0" xfId="8" applyNumberFormat="1" applyFont="1"/>
    <xf numFmtId="1" fontId="43" fillId="0" borderId="0" xfId="8" applyNumberFormat="1" applyFont="1"/>
    <xf numFmtId="167" fontId="26" fillId="0" borderId="0" xfId="8" applyNumberFormat="1" applyFont="1"/>
    <xf numFmtId="167" fontId="26" fillId="0" borderId="0" xfId="8" applyNumberFormat="1" applyFont="1" applyAlignment="1">
      <alignment horizontal="right"/>
    </xf>
    <xf numFmtId="0" fontId="26" fillId="0" borderId="7" xfId="8" applyFont="1" applyBorder="1" applyAlignment="1">
      <alignment horizontal="left"/>
    </xf>
    <xf numFmtId="0" fontId="27" fillId="0" borderId="7" xfId="0" applyFont="1" applyBorder="1" applyAlignment="1">
      <alignment horizontal="center"/>
    </xf>
    <xf numFmtId="0" fontId="27" fillId="0" borderId="7" xfId="0" applyFont="1" applyBorder="1"/>
    <xf numFmtId="0" fontId="62" fillId="0" borderId="11" xfId="0" applyFont="1" applyBorder="1"/>
    <xf numFmtId="0" fontId="26" fillId="2" borderId="0" xfId="8" applyFont="1" applyFill="1" applyAlignment="1">
      <alignment horizontal="left"/>
    </xf>
    <xf numFmtId="2" fontId="18" fillId="2" borderId="0" xfId="17" applyNumberFormat="1" applyFill="1"/>
    <xf numFmtId="2" fontId="24" fillId="0" borderId="8" xfId="21" applyNumberFormat="1" applyAlignment="1">
      <alignment horizontal="left"/>
    </xf>
    <xf numFmtId="168" fontId="63" fillId="9" borderId="0" xfId="17" applyNumberFormat="1" applyFont="1" applyFill="1" applyAlignment="1">
      <alignment horizontal="center" vertical="center"/>
    </xf>
    <xf numFmtId="0" fontId="23" fillId="0" borderId="0" xfId="17" applyFont="1" applyAlignment="1">
      <alignment horizontal="left" indent="1"/>
    </xf>
    <xf numFmtId="168" fontId="63" fillId="9" borderId="0" xfId="17" applyNumberFormat="1" applyFont="1" applyFill="1" applyAlignment="1">
      <alignment horizontal="left" vertical="center"/>
    </xf>
    <xf numFmtId="0" fontId="64" fillId="0" borderId="0" xfId="17" applyFont="1"/>
    <xf numFmtId="0" fontId="65" fillId="0" borderId="7" xfId="17" applyFont="1" applyBorder="1" applyAlignment="1">
      <alignment vertical="center"/>
    </xf>
    <xf numFmtId="0" fontId="66" fillId="0" borderId="0" xfId="17" applyFont="1"/>
    <xf numFmtId="0" fontId="61" fillId="0" borderId="0" xfId="0" applyFont="1"/>
    <xf numFmtId="168" fontId="67" fillId="0" borderId="0" xfId="17" applyNumberFormat="1" applyFont="1" applyAlignment="1">
      <alignment horizontal="left" vertical="center"/>
    </xf>
    <xf numFmtId="0" fontId="69" fillId="0" borderId="0" xfId="0" applyFont="1"/>
    <xf numFmtId="0" fontId="70" fillId="15" borderId="0" xfId="17" applyFont="1" applyFill="1" applyAlignment="1">
      <alignment horizontal="right" vertical="center"/>
    </xf>
    <xf numFmtId="0" fontId="70" fillId="10" borderId="0" xfId="17" applyFont="1" applyFill="1" applyAlignment="1">
      <alignment horizontal="right" vertical="center"/>
    </xf>
    <xf numFmtId="167" fontId="67" fillId="0" borderId="0" xfId="17" applyNumberFormat="1" applyFont="1" applyAlignment="1">
      <alignment horizontal="right" vertical="center"/>
    </xf>
    <xf numFmtId="0" fontId="65" fillId="0" borderId="7" xfId="17" applyFont="1" applyBorder="1" applyAlignment="1">
      <alignment horizontal="right" vertical="center"/>
    </xf>
    <xf numFmtId="166" fontId="72" fillId="9" borderId="0" xfId="15" applyFont="1" applyFill="1" applyAlignment="1">
      <alignment horizontal="right"/>
    </xf>
    <xf numFmtId="0" fontId="71" fillId="0" borderId="0" xfId="8" applyFont="1" applyAlignment="1">
      <alignment horizontal="right"/>
    </xf>
    <xf numFmtId="168" fontId="67" fillId="0" borderId="0" xfId="17" applyNumberFormat="1" applyFont="1" applyAlignment="1">
      <alignment horizontal="right" vertical="center"/>
    </xf>
    <xf numFmtId="168" fontId="68" fillId="0" borderId="0" xfId="17" applyNumberFormat="1" applyFont="1" applyAlignment="1">
      <alignment horizontal="right" vertical="center"/>
    </xf>
    <xf numFmtId="168" fontId="67" fillId="0" borderId="4" xfId="17" applyNumberFormat="1" applyFont="1" applyBorder="1" applyAlignment="1">
      <alignment horizontal="right" vertical="center"/>
    </xf>
    <xf numFmtId="0" fontId="66" fillId="0" borderId="0" xfId="17" applyFont="1" applyAlignment="1">
      <alignment horizontal="right"/>
    </xf>
    <xf numFmtId="0" fontId="66" fillId="0" borderId="0" xfId="0" applyFont="1" applyAlignment="1">
      <alignment horizontal="right"/>
    </xf>
    <xf numFmtId="0" fontId="73" fillId="0" borderId="0" xfId="17" applyFont="1" applyAlignment="1">
      <alignment vertical="center"/>
    </xf>
    <xf numFmtId="0" fontId="30" fillId="0" borderId="0" xfId="17" applyFont="1"/>
    <xf numFmtId="178" fontId="73" fillId="0" borderId="0" xfId="17" applyNumberFormat="1" applyFont="1" applyAlignment="1">
      <alignment horizontal="right" vertical="center"/>
    </xf>
    <xf numFmtId="167" fontId="52" fillId="0" borderId="0" xfId="8" applyNumberFormat="1" applyFont="1"/>
    <xf numFmtId="166" fontId="74" fillId="0" borderId="0" xfId="17" applyNumberFormat="1" applyFont="1" applyAlignment="1">
      <alignment horizontal="left"/>
    </xf>
    <xf numFmtId="0" fontId="75" fillId="0" borderId="10" xfId="0" applyFont="1" applyBorder="1"/>
    <xf numFmtId="166" fontId="74" fillId="0" borderId="10" xfId="17" applyNumberFormat="1" applyFont="1" applyBorder="1" applyAlignment="1">
      <alignment horizontal="left"/>
    </xf>
    <xf numFmtId="0" fontId="30" fillId="0" borderId="10" xfId="17" applyFont="1" applyBorder="1" applyAlignment="1">
      <alignment horizontal="right"/>
    </xf>
    <xf numFmtId="0" fontId="76" fillId="0" borderId="0" xfId="17" applyFont="1"/>
    <xf numFmtId="0" fontId="0" fillId="2" borderId="0" xfId="0" applyFill="1"/>
    <xf numFmtId="183" fontId="31" fillId="2" borderId="0" xfId="17" applyNumberFormat="1" applyFont="1" applyFill="1" applyAlignment="1">
      <alignment horizontal="right" vertical="center"/>
    </xf>
    <xf numFmtId="9" fontId="31" fillId="2" borderId="0" xfId="17" applyNumberFormat="1" applyFont="1" applyFill="1" applyAlignment="1">
      <alignment horizontal="right" vertical="center"/>
    </xf>
    <xf numFmtId="0" fontId="20" fillId="0" borderId="0" xfId="17" applyFont="1" applyAlignment="1">
      <alignment horizontal="center" wrapText="1"/>
    </xf>
    <xf numFmtId="0" fontId="20" fillId="0" borderId="0" xfId="17" applyFont="1" applyAlignment="1">
      <alignment horizontal="right"/>
    </xf>
    <xf numFmtId="0" fontId="18" fillId="0" borderId="4" xfId="17" applyBorder="1" applyAlignment="1">
      <alignment vertical="top" wrapText="1"/>
    </xf>
    <xf numFmtId="0" fontId="18" fillId="0" borderId="0" xfId="17" applyAlignment="1">
      <alignment vertical="top" wrapText="1"/>
    </xf>
    <xf numFmtId="178" fontId="18" fillId="0" borderId="4" xfId="17" applyNumberFormat="1" applyBorder="1" applyAlignment="1">
      <alignment vertical="top" wrapText="1"/>
    </xf>
    <xf numFmtId="0" fontId="20" fillId="0" borderId="4" xfId="0" applyFont="1" applyBorder="1" applyAlignment="1">
      <alignment horizontal="left"/>
    </xf>
    <xf numFmtId="3" fontId="9" fillId="0" borderId="14" xfId="17" applyNumberFormat="1" applyFont="1" applyBorder="1"/>
    <xf numFmtId="3" fontId="9" fillId="0" borderId="8" xfId="17" applyNumberFormat="1" applyFont="1" applyBorder="1"/>
    <xf numFmtId="3" fontId="9" fillId="0" borderId="15" xfId="17" applyNumberFormat="1" applyFont="1" applyBorder="1"/>
    <xf numFmtId="3" fontId="18" fillId="0" borderId="0" xfId="17" applyNumberFormat="1"/>
    <xf numFmtId="0" fontId="77" fillId="16" borderId="13" xfId="17" applyFont="1" applyFill="1" applyBorder="1" applyAlignment="1">
      <alignment vertical="center" wrapText="1"/>
    </xf>
    <xf numFmtId="0" fontId="77" fillId="16" borderId="12" xfId="17" applyFont="1" applyFill="1" applyBorder="1" applyAlignment="1">
      <alignment vertical="center" wrapText="1"/>
    </xf>
    <xf numFmtId="0" fontId="9" fillId="17" borderId="14" xfId="17" applyFont="1" applyFill="1" applyBorder="1" applyAlignment="1">
      <alignment vertical="center" wrapText="1"/>
    </xf>
    <xf numFmtId="0" fontId="9" fillId="17" borderId="8" xfId="17" applyFont="1" applyFill="1" applyBorder="1" applyAlignment="1">
      <alignment vertical="center" wrapText="1"/>
    </xf>
    <xf numFmtId="0" fontId="78" fillId="0" borderId="8" xfId="17" applyFont="1" applyBorder="1" applyAlignment="1">
      <alignment vertical="center" wrapText="1"/>
    </xf>
    <xf numFmtId="0" fontId="78" fillId="0" borderId="8" xfId="17" applyFont="1" applyBorder="1" applyAlignment="1">
      <alignment vertical="center"/>
    </xf>
    <xf numFmtId="0" fontId="9" fillId="0" borderId="8" xfId="17" applyFont="1" applyBorder="1" applyAlignment="1">
      <alignment vertical="center" wrapText="1"/>
    </xf>
    <xf numFmtId="0" fontId="9" fillId="18" borderId="8" xfId="17" applyFont="1" applyFill="1" applyBorder="1" applyAlignment="1">
      <alignment vertical="center" wrapText="1"/>
    </xf>
    <xf numFmtId="0" fontId="78" fillId="18" borderId="8" xfId="17" applyFont="1" applyFill="1" applyBorder="1" applyAlignment="1">
      <alignment vertical="center"/>
    </xf>
    <xf numFmtId="0" fontId="78" fillId="18" borderId="8" xfId="17" applyFont="1" applyFill="1" applyBorder="1" applyAlignment="1">
      <alignment vertical="center" wrapText="1"/>
    </xf>
    <xf numFmtId="0" fontId="79" fillId="0" borderId="0" xfId="25"/>
    <xf numFmtId="0" fontId="80" fillId="20" borderId="19" xfId="26" applyFill="1">
      <alignment horizontal="center" vertical="center"/>
    </xf>
    <xf numFmtId="0" fontId="80" fillId="19" borderId="19" xfId="26">
      <alignment horizontal="center" vertical="center"/>
    </xf>
    <xf numFmtId="0" fontId="12" fillId="0" borderId="0" xfId="12" applyAlignment="1">
      <alignment horizontal="center"/>
    </xf>
    <xf numFmtId="164" fontId="81" fillId="0" borderId="20" xfId="27" applyNumberFormat="1"/>
    <xf numFmtId="190" fontId="18" fillId="0" borderId="0" xfId="17" applyNumberFormat="1"/>
    <xf numFmtId="9" fontId="18" fillId="0" borderId="0" xfId="17" applyNumberFormat="1"/>
    <xf numFmtId="0" fontId="58" fillId="7" borderId="0" xfId="17" applyFont="1" applyFill="1"/>
    <xf numFmtId="9" fontId="31" fillId="21" borderId="0" xfId="17" applyNumberFormat="1" applyFont="1" applyFill="1" applyAlignment="1">
      <alignment horizontal="right" vertical="center"/>
    </xf>
    <xf numFmtId="0" fontId="18" fillId="2" borderId="0" xfId="17" applyFill="1"/>
    <xf numFmtId="3" fontId="18" fillId="2" borderId="0" xfId="17" applyNumberFormat="1" applyFill="1"/>
    <xf numFmtId="0" fontId="18" fillId="0" borderId="21" xfId="17" applyBorder="1"/>
    <xf numFmtId="0" fontId="53" fillId="0" borderId="0" xfId="0" applyFont="1" applyAlignment="1">
      <alignment horizontal="center"/>
    </xf>
    <xf numFmtId="3" fontId="9" fillId="22" borderId="14" xfId="17" applyNumberFormat="1" applyFont="1" applyFill="1" applyBorder="1"/>
    <xf numFmtId="3" fontId="9" fillId="22" borderId="8" xfId="17" applyNumberFormat="1" applyFont="1" applyFill="1" applyBorder="1"/>
    <xf numFmtId="3" fontId="9" fillId="22" borderId="15" xfId="17" applyNumberFormat="1" applyFont="1" applyFill="1" applyBorder="1"/>
    <xf numFmtId="0" fontId="78" fillId="0" borderId="8" xfId="17" applyFont="1" applyBorder="1" applyAlignment="1">
      <alignment horizontal="left" vertical="center" wrapText="1"/>
    </xf>
    <xf numFmtId="0" fontId="78" fillId="18" borderId="8" xfId="17" applyFont="1" applyFill="1" applyBorder="1" applyAlignment="1">
      <alignment horizontal="left" vertical="center" wrapText="1"/>
    </xf>
    <xf numFmtId="0" fontId="78" fillId="0" borderId="23" xfId="17" applyFont="1" applyBorder="1" applyAlignment="1">
      <alignment vertical="center"/>
    </xf>
    <xf numFmtId="0" fontId="78" fillId="0" borderId="23" xfId="17" applyFont="1" applyBorder="1" applyAlignment="1">
      <alignment vertical="center" wrapText="1"/>
    </xf>
    <xf numFmtId="0" fontId="51" fillId="11" borderId="0" xfId="23" applyNumberFormat="1" applyBorder="1" applyAlignment="1">
      <alignment vertical="top"/>
    </xf>
    <xf numFmtId="0" fontId="31" fillId="2" borderId="0" xfId="17" applyFont="1" applyFill="1" applyAlignment="1">
      <alignment vertical="top"/>
    </xf>
    <xf numFmtId="3" fontId="9" fillId="23" borderId="14" xfId="17" applyNumberFormat="1" applyFont="1" applyFill="1" applyBorder="1"/>
    <xf numFmtId="3" fontId="9" fillId="23" borderId="8" xfId="17" applyNumberFormat="1" applyFont="1" applyFill="1" applyBorder="1"/>
    <xf numFmtId="3" fontId="9" fillId="23" borderId="15" xfId="17" applyNumberFormat="1" applyFont="1" applyFill="1" applyBorder="1"/>
    <xf numFmtId="3" fontId="78" fillId="23" borderId="14" xfId="17" applyNumberFormat="1" applyFont="1" applyFill="1" applyBorder="1" applyAlignment="1">
      <alignment vertical="center" wrapText="1"/>
    </xf>
    <xf numFmtId="3" fontId="78" fillId="23" borderId="8" xfId="17" applyNumberFormat="1" applyFont="1" applyFill="1" applyBorder="1" applyAlignment="1">
      <alignment vertical="center" wrapText="1"/>
    </xf>
    <xf numFmtId="3" fontId="78" fillId="23" borderId="15" xfId="17" applyNumberFormat="1" applyFont="1" applyFill="1" applyBorder="1" applyAlignment="1">
      <alignment vertical="center" wrapText="1"/>
    </xf>
    <xf numFmtId="3" fontId="9" fillId="23" borderId="22" xfId="17" applyNumberFormat="1" applyFont="1" applyFill="1" applyBorder="1"/>
    <xf numFmtId="3" fontId="9" fillId="23" borderId="23" xfId="17" applyNumberFormat="1" applyFont="1" applyFill="1" applyBorder="1"/>
    <xf numFmtId="3" fontId="9" fillId="23" borderId="24" xfId="17" applyNumberFormat="1" applyFont="1" applyFill="1" applyBorder="1"/>
    <xf numFmtId="0" fontId="9" fillId="0" borderId="8" xfId="17" applyFont="1" applyBorder="1" applyAlignment="1">
      <alignment horizontal="left" vertical="center" wrapText="1"/>
    </xf>
    <xf numFmtId="0" fontId="4" fillId="0" borderId="0" xfId="28"/>
    <xf numFmtId="0" fontId="6" fillId="0" borderId="0" xfId="28" applyFont="1"/>
    <xf numFmtId="0" fontId="82" fillId="0" borderId="0" xfId="28" applyFont="1"/>
    <xf numFmtId="2" fontId="6" fillId="0" borderId="0" xfId="28" applyNumberFormat="1" applyFont="1"/>
    <xf numFmtId="191" fontId="84" fillId="0" borderId="3" xfId="29" applyNumberFormat="1" applyFont="1" applyBorder="1"/>
    <xf numFmtId="0" fontId="84" fillId="0" borderId="3" xfId="29" applyFont="1" applyBorder="1"/>
    <xf numFmtId="0" fontId="85" fillId="0" borderId="3" xfId="29" applyFont="1" applyBorder="1"/>
    <xf numFmtId="0" fontId="15" fillId="0" borderId="0" xfId="28" applyFont="1"/>
    <xf numFmtId="171" fontId="6" fillId="0" borderId="0" xfId="28" applyNumberFormat="1" applyFont="1"/>
    <xf numFmtId="193" fontId="86" fillId="0" borderId="0" xfId="30" applyNumberFormat="1" applyFont="1" applyAlignment="1">
      <alignment horizontal="left"/>
    </xf>
    <xf numFmtId="194" fontId="86" fillId="0" borderId="0" xfId="30" applyNumberFormat="1" applyFont="1" applyAlignment="1">
      <alignment horizontal="left"/>
    </xf>
    <xf numFmtId="194" fontId="87" fillId="0" borderId="0" xfId="30" applyNumberFormat="1" applyFont="1"/>
    <xf numFmtId="0" fontId="9" fillId="0" borderId="0" xfId="28" applyFont="1"/>
    <xf numFmtId="195" fontId="9" fillId="0" borderId="3" xfId="28" applyNumberFormat="1" applyFont="1" applyBorder="1"/>
    <xf numFmtId="0" fontId="9" fillId="0" borderId="3" xfId="28" applyFont="1" applyBorder="1"/>
    <xf numFmtId="0" fontId="54" fillId="0" borderId="0" xfId="28" applyFont="1" applyAlignment="1">
      <alignment horizontal="right"/>
    </xf>
    <xf numFmtId="0" fontId="88" fillId="0" borderId="0" xfId="28" applyFont="1"/>
    <xf numFmtId="0" fontId="84" fillId="0" borderId="0" xfId="29" applyFont="1"/>
    <xf numFmtId="0" fontId="85" fillId="0" borderId="0" xfId="29" applyFont="1"/>
    <xf numFmtId="195" fontId="84" fillId="0" borderId="3" xfId="29" applyNumberFormat="1" applyFont="1" applyBorder="1"/>
    <xf numFmtId="0" fontId="82" fillId="18" borderId="0" xfId="28" applyFont="1" applyFill="1"/>
    <xf numFmtId="0" fontId="6" fillId="18" borderId="0" xfId="28" applyFont="1" applyFill="1"/>
    <xf numFmtId="0" fontId="89" fillId="18" borderId="0" xfId="28" applyFont="1" applyFill="1"/>
    <xf numFmtId="0" fontId="8" fillId="0" borderId="3" xfId="28" applyFont="1" applyBorder="1"/>
    <xf numFmtId="43" fontId="9" fillId="14" borderId="3" xfId="31" applyFont="1" applyFill="1" applyBorder="1"/>
    <xf numFmtId="0" fontId="90" fillId="0" borderId="3" xfId="28" applyFont="1" applyBorder="1" applyAlignment="1">
      <alignment horizontal="left" vertical="center" wrapText="1" readingOrder="1"/>
    </xf>
    <xf numFmtId="0" fontId="90" fillId="0" borderId="25" xfId="28" applyFont="1" applyBorder="1" applyAlignment="1">
      <alignment horizontal="left" vertical="center" wrapText="1" readingOrder="1"/>
    </xf>
    <xf numFmtId="195" fontId="9" fillId="14" borderId="3" xfId="31" applyNumberFormat="1" applyFont="1" applyFill="1" applyBorder="1"/>
    <xf numFmtId="0" fontId="91" fillId="0" borderId="0" xfId="32" quotePrefix="1"/>
    <xf numFmtId="191" fontId="92" fillId="24" borderId="3" xfId="28" applyNumberFormat="1" applyFont="1" applyFill="1" applyBorder="1" applyAlignment="1">
      <alignment horizontal="right"/>
    </xf>
    <xf numFmtId="191" fontId="8" fillId="0" borderId="3" xfId="28" applyNumberFormat="1" applyFont="1" applyBorder="1" applyAlignment="1">
      <alignment horizontal="right"/>
    </xf>
    <xf numFmtId="0" fontId="93" fillId="0" borderId="3" xfId="28" applyFont="1" applyBorder="1"/>
    <xf numFmtId="0" fontId="15" fillId="0" borderId="3" xfId="28" applyFont="1" applyBorder="1"/>
    <xf numFmtId="0" fontId="82" fillId="25" borderId="0" xfId="28" applyFont="1" applyFill="1"/>
    <xf numFmtId="0" fontId="6" fillId="25" borderId="0" xfId="28" applyFont="1" applyFill="1"/>
    <xf numFmtId="0" fontId="89" fillId="25" borderId="0" xfId="28" applyFont="1" applyFill="1"/>
    <xf numFmtId="0" fontId="8" fillId="0" borderId="0" xfId="28" applyFont="1"/>
    <xf numFmtId="0" fontId="90" fillId="0" borderId="0" xfId="28" applyFont="1" applyAlignment="1">
      <alignment horizontal="left" vertical="center" wrapText="1" readingOrder="1"/>
    </xf>
    <xf numFmtId="0" fontId="8" fillId="0" borderId="0" xfId="28" applyFont="1" applyAlignment="1">
      <alignment wrapText="1"/>
    </xf>
    <xf numFmtId="6" fontId="9" fillId="0" borderId="0" xfId="28" applyNumberFormat="1" applyFont="1"/>
    <xf numFmtId="0" fontId="8" fillId="0" borderId="3" xfId="28" applyFont="1" applyBorder="1" applyAlignment="1">
      <alignment wrapText="1"/>
    </xf>
    <xf numFmtId="0" fontId="94" fillId="24" borderId="0" xfId="28" applyFont="1" applyFill="1"/>
    <xf numFmtId="0" fontId="95" fillId="24" borderId="0" xfId="28" applyFont="1" applyFill="1"/>
    <xf numFmtId="196" fontId="6" fillId="0" borderId="0" xfId="28" applyNumberFormat="1" applyFont="1"/>
    <xf numFmtId="194" fontId="86" fillId="0" borderId="0" xfId="30" applyNumberFormat="1" applyFont="1" applyFill="1" applyAlignment="1">
      <alignment horizontal="left"/>
    </xf>
    <xf numFmtId="3" fontId="9" fillId="0" borderId="3" xfId="28" applyNumberFormat="1" applyFont="1" applyBorder="1" applyAlignment="1">
      <alignment horizontal="right"/>
    </xf>
    <xf numFmtId="197" fontId="9" fillId="0" borderId="3" xfId="28" applyNumberFormat="1" applyFont="1" applyBorder="1" applyAlignment="1">
      <alignment horizontal="right"/>
    </xf>
    <xf numFmtId="198" fontId="9" fillId="0" borderId="3" xfId="30" applyNumberFormat="1" applyFont="1" applyBorder="1" applyAlignment="1">
      <alignment horizontal="right"/>
    </xf>
    <xf numFmtId="195" fontId="9" fillId="26" borderId="3" xfId="31" applyNumberFormat="1" applyFont="1" applyFill="1" applyBorder="1"/>
    <xf numFmtId="0" fontId="83" fillId="0" borderId="0" xfId="29"/>
    <xf numFmtId="0" fontId="15" fillId="0" borderId="28" xfId="28" applyFont="1" applyBorder="1"/>
    <xf numFmtId="0" fontId="15" fillId="0" borderId="11" xfId="28" applyFont="1" applyBorder="1"/>
    <xf numFmtId="0" fontId="15" fillId="0" borderId="29" xfId="28" applyFont="1" applyBorder="1"/>
    <xf numFmtId="197" fontId="9" fillId="0" borderId="3" xfId="31" applyNumberFormat="1" applyFont="1" applyFill="1" applyBorder="1"/>
    <xf numFmtId="195" fontId="9" fillId="0" borderId="3" xfId="31" applyNumberFormat="1" applyFont="1" applyFill="1" applyBorder="1"/>
    <xf numFmtId="195" fontId="9" fillId="0" borderId="3" xfId="31" applyNumberFormat="1" applyFont="1" applyBorder="1"/>
    <xf numFmtId="191" fontId="9" fillId="0" borderId="3" xfId="28" applyNumberFormat="1" applyFont="1" applyBorder="1" applyAlignment="1">
      <alignment horizontal="right"/>
    </xf>
    <xf numFmtId="191" fontId="9" fillId="24" borderId="3" xfId="28" applyNumberFormat="1" applyFont="1" applyFill="1" applyBorder="1" applyAlignment="1">
      <alignment horizontal="right"/>
    </xf>
    <xf numFmtId="191" fontId="82" fillId="0" borderId="0" xfId="28" applyNumberFormat="1" applyFont="1"/>
    <xf numFmtId="193" fontId="96" fillId="0" borderId="0" xfId="30" applyNumberFormat="1" applyFont="1" applyAlignment="1">
      <alignment horizontal="left"/>
    </xf>
    <xf numFmtId="194" fontId="96" fillId="0" borderId="0" xfId="30" applyNumberFormat="1" applyFont="1" applyAlignment="1">
      <alignment horizontal="left"/>
    </xf>
    <xf numFmtId="0" fontId="8" fillId="0" borderId="0" xfId="29" applyFont="1"/>
    <xf numFmtId="194" fontId="97" fillId="0" borderId="0" xfId="30" applyNumberFormat="1" applyFont="1"/>
    <xf numFmtId="190" fontId="9" fillId="0" borderId="3" xfId="28" applyNumberFormat="1" applyFont="1" applyBorder="1"/>
    <xf numFmtId="0" fontId="18" fillId="0" borderId="0" xfId="28" applyFont="1"/>
    <xf numFmtId="0" fontId="8" fillId="18" borderId="0" xfId="28" applyFont="1" applyFill="1"/>
    <xf numFmtId="0" fontId="9" fillId="18" borderId="0" xfId="28" applyFont="1" applyFill="1"/>
    <xf numFmtId="0" fontId="15" fillId="18" borderId="0" xfId="28" applyFont="1" applyFill="1"/>
    <xf numFmtId="43" fontId="84" fillId="0" borderId="0" xfId="29" applyNumberFormat="1" applyFont="1"/>
    <xf numFmtId="199" fontId="9" fillId="0" borderId="3" xfId="31" applyNumberFormat="1" applyFont="1" applyFill="1" applyBorder="1"/>
    <xf numFmtId="0" fontId="93" fillId="0" borderId="3" xfId="28" applyFont="1" applyBorder="1" applyAlignment="1">
      <alignment horizontal="center"/>
    </xf>
    <xf numFmtId="0" fontId="15" fillId="0" borderId="29" xfId="28" applyFont="1" applyBorder="1" applyAlignment="1">
      <alignment horizontal="center"/>
    </xf>
    <xf numFmtId="0" fontId="8" fillId="25" borderId="0" xfId="28" applyFont="1" applyFill="1"/>
    <xf numFmtId="0" fontId="9" fillId="25" borderId="0" xfId="28" applyFont="1" applyFill="1"/>
    <xf numFmtId="0" fontId="15" fillId="25" borderId="0" xfId="28" applyFont="1" applyFill="1"/>
    <xf numFmtId="197" fontId="9" fillId="0" borderId="0" xfId="31" applyNumberFormat="1" applyFont="1" applyFill="1" applyBorder="1"/>
    <xf numFmtId="195" fontId="8" fillId="0" borderId="3" xfId="31" applyNumberFormat="1" applyFont="1" applyFill="1" applyBorder="1"/>
    <xf numFmtId="0" fontId="84" fillId="0" borderId="0" xfId="29" applyFont="1" applyAlignment="1">
      <alignment wrapText="1"/>
    </xf>
    <xf numFmtId="0" fontId="15" fillId="0" borderId="3" xfId="28" applyFont="1" applyBorder="1" applyAlignment="1">
      <alignment horizontal="center"/>
    </xf>
    <xf numFmtId="0" fontId="77" fillId="24" borderId="0" xfId="28" applyFont="1" applyFill="1"/>
    <xf numFmtId="0" fontId="93" fillId="24" borderId="0" xfId="28" applyFont="1" applyFill="1"/>
    <xf numFmtId="191" fontId="6" fillId="0" borderId="0" xfId="28" applyNumberFormat="1" applyFont="1"/>
    <xf numFmtId="43" fontId="84" fillId="0" borderId="3" xfId="29" applyNumberFormat="1" applyFont="1" applyBorder="1"/>
    <xf numFmtId="0" fontId="9" fillId="0" borderId="3" xfId="28" applyFont="1" applyBorder="1" applyAlignment="1">
      <alignment horizontal="left" vertical="center" wrapText="1" readingOrder="1"/>
    </xf>
    <xf numFmtId="196" fontId="9" fillId="0" borderId="3" xfId="28" applyNumberFormat="1" applyFont="1" applyBorder="1"/>
    <xf numFmtId="0" fontId="8" fillId="0" borderId="3" xfId="28" applyFont="1" applyBorder="1" applyAlignment="1">
      <alignment horizontal="left" vertical="center" wrapText="1" readingOrder="1"/>
    </xf>
    <xf numFmtId="0" fontId="89" fillId="0" borderId="3" xfId="28" applyFont="1" applyBorder="1"/>
    <xf numFmtId="0" fontId="98" fillId="0" borderId="0" xfId="28" applyFont="1" applyAlignment="1">
      <alignment wrapText="1"/>
    </xf>
    <xf numFmtId="196" fontId="92" fillId="0" borderId="0" xfId="28" applyNumberFormat="1" applyFont="1"/>
    <xf numFmtId="0" fontId="8" fillId="0" borderId="26" xfId="28" applyFont="1" applyBorder="1" applyAlignment="1">
      <alignment vertical="top" wrapText="1"/>
    </xf>
    <xf numFmtId="0" fontId="8" fillId="0" borderId="30" xfId="28" applyFont="1" applyBorder="1" applyAlignment="1">
      <alignment vertical="top" wrapText="1"/>
    </xf>
    <xf numFmtId="0" fontId="8" fillId="0" borderId="27" xfId="28" applyFont="1" applyBorder="1" applyAlignment="1">
      <alignment vertical="top" wrapText="1"/>
    </xf>
    <xf numFmtId="2" fontId="9" fillId="0" borderId="3" xfId="28" applyNumberFormat="1" applyFont="1" applyBorder="1"/>
    <xf numFmtId="196" fontId="8" fillId="0" borderId="3" xfId="28" applyNumberFormat="1" applyFont="1" applyBorder="1"/>
    <xf numFmtId="0" fontId="89" fillId="0" borderId="0" xfId="28" applyFont="1"/>
    <xf numFmtId="0" fontId="99" fillId="0" borderId="0" xfId="29" applyFont="1"/>
    <xf numFmtId="195" fontId="9" fillId="0" borderId="3" xfId="28" applyNumberFormat="1" applyFont="1" applyBorder="1" applyAlignment="1">
      <alignment horizontal="right"/>
    </xf>
    <xf numFmtId="195" fontId="8" fillId="0" borderId="3" xfId="31" applyNumberFormat="1" applyFont="1" applyFill="1" applyBorder="1" applyAlignment="1">
      <alignment horizontal="right"/>
    </xf>
    <xf numFmtId="195" fontId="9" fillId="0" borderId="3" xfId="31" applyNumberFormat="1" applyFont="1" applyFill="1" applyBorder="1" applyAlignment="1">
      <alignment horizontal="right"/>
    </xf>
    <xf numFmtId="0" fontId="20" fillId="0" borderId="0" xfId="17" applyFont="1" applyAlignment="1">
      <alignment horizontal="right" wrapText="1"/>
    </xf>
    <xf numFmtId="0" fontId="77" fillId="24" borderId="0" xfId="33" applyFont="1" applyFill="1"/>
    <xf numFmtId="0" fontId="9" fillId="0" borderId="0" xfId="33" applyFont="1"/>
    <xf numFmtId="0" fontId="15" fillId="0" borderId="3" xfId="33" applyFont="1" applyBorder="1"/>
    <xf numFmtId="0" fontId="90" fillId="0" borderId="3" xfId="33" applyFont="1" applyBorder="1" applyAlignment="1">
      <alignment wrapText="1"/>
    </xf>
    <xf numFmtId="0" fontId="90" fillId="0" borderId="3" xfId="33" applyFont="1" applyBorder="1" applyAlignment="1">
      <alignment horizontal="left" vertical="center" wrapText="1" readingOrder="1"/>
    </xf>
    <xf numFmtId="195" fontId="9" fillId="0" borderId="3" xfId="34" applyNumberFormat="1" applyFont="1" applyFill="1" applyBorder="1" applyAlignment="1">
      <alignment horizontal="right"/>
    </xf>
    <xf numFmtId="0" fontId="8" fillId="0" borderId="3" xfId="33" applyFont="1" applyBorder="1" applyAlignment="1">
      <alignment wrapText="1"/>
    </xf>
    <xf numFmtId="0" fontId="90" fillId="0" borderId="3" xfId="33" applyFont="1" applyBorder="1" applyAlignment="1">
      <alignment vertical="center" wrapText="1" readingOrder="1"/>
    </xf>
    <xf numFmtId="43" fontId="9" fillId="0" borderId="3" xfId="34" applyFont="1" applyBorder="1" applyAlignment="1"/>
    <xf numFmtId="0" fontId="9" fillId="0" borderId="3" xfId="33" applyFont="1" applyBorder="1"/>
    <xf numFmtId="3" fontId="9" fillId="0" borderId="3" xfId="33" applyNumberFormat="1" applyFont="1" applyBorder="1" applyAlignment="1">
      <alignment horizontal="right"/>
    </xf>
    <xf numFmtId="0" fontId="9" fillId="0" borderId="3" xfId="33" applyFont="1" applyBorder="1" applyAlignment="1">
      <alignment wrapText="1"/>
    </xf>
    <xf numFmtId="192" fontId="9" fillId="0" borderId="3" xfId="30" applyFont="1" applyFill="1" applyBorder="1" applyAlignment="1">
      <alignment horizontal="right"/>
    </xf>
    <xf numFmtId="191" fontId="9" fillId="0" borderId="3" xfId="33" applyNumberFormat="1" applyFont="1" applyBorder="1"/>
    <xf numFmtId="0" fontId="8" fillId="0" borderId="3" xfId="33" applyFont="1" applyBorder="1"/>
    <xf numFmtId="171" fontId="9" fillId="0" borderId="3" xfId="33" applyNumberFormat="1" applyFont="1" applyBorder="1"/>
    <xf numFmtId="3" fontId="9" fillId="0" borderId="3" xfId="33" applyNumberFormat="1" applyFont="1" applyBorder="1"/>
    <xf numFmtId="43" fontId="9" fillId="0" borderId="3" xfId="33" applyNumberFormat="1" applyFont="1" applyBorder="1"/>
    <xf numFmtId="4" fontId="9" fillId="0" borderId="3" xfId="33" applyNumberFormat="1" applyFont="1" applyBorder="1"/>
    <xf numFmtId="0" fontId="101" fillId="0" borderId="3" xfId="32" applyFont="1" applyBorder="1" applyAlignment="1">
      <alignment wrapText="1"/>
    </xf>
    <xf numFmtId="0" fontId="9" fillId="0" borderId="0" xfId="33" applyFont="1" applyAlignment="1">
      <alignment wrapText="1"/>
    </xf>
    <xf numFmtId="3" fontId="9" fillId="0" borderId="0" xfId="33" applyNumberFormat="1" applyFont="1"/>
    <xf numFmtId="0" fontId="8" fillId="0" borderId="0" xfId="33" applyFont="1" applyAlignment="1">
      <alignment wrapText="1"/>
    </xf>
    <xf numFmtId="0" fontId="14" fillId="0" borderId="0" xfId="33" applyFont="1"/>
    <xf numFmtId="0" fontId="15" fillId="0" borderId="0" xfId="33" applyFont="1"/>
    <xf numFmtId="0" fontId="15" fillId="0" borderId="0" xfId="33" applyFont="1" applyAlignment="1">
      <alignment horizontal="right"/>
    </xf>
    <xf numFmtId="0" fontId="102" fillId="0" borderId="0" xfId="29" applyFont="1"/>
    <xf numFmtId="0" fontId="90" fillId="0" borderId="0" xfId="33" applyFont="1" applyAlignment="1">
      <alignment horizontal="left" vertical="center" wrapText="1" readingOrder="1"/>
    </xf>
    <xf numFmtId="192" fontId="9" fillId="0" borderId="0" xfId="30" applyFont="1"/>
    <xf numFmtId="0" fontId="103" fillId="0" borderId="4" xfId="33" applyFont="1" applyBorder="1" applyAlignment="1">
      <alignment horizontal="left" vertical="center" wrapText="1" readingOrder="1"/>
    </xf>
    <xf numFmtId="3" fontId="93" fillId="0" borderId="4" xfId="33" applyNumberFormat="1" applyFont="1" applyBorder="1" applyAlignment="1">
      <alignment horizontal="right"/>
    </xf>
    <xf numFmtId="0" fontId="8" fillId="0" borderId="4" xfId="33" applyFont="1" applyBorder="1" applyAlignment="1">
      <alignment wrapText="1"/>
    </xf>
    <xf numFmtId="3" fontId="8" fillId="0" borderId="0" xfId="33" applyNumberFormat="1" applyFont="1" applyAlignment="1">
      <alignment horizontal="right"/>
    </xf>
    <xf numFmtId="0" fontId="103" fillId="0" borderId="0" xfId="33" applyFont="1" applyAlignment="1">
      <alignment horizontal="left" vertical="center" wrapText="1" readingOrder="1"/>
    </xf>
    <xf numFmtId="3" fontId="93" fillId="0" borderId="0" xfId="33" applyNumberFormat="1" applyFont="1" applyAlignment="1">
      <alignment horizontal="right"/>
    </xf>
    <xf numFmtId="0" fontId="8" fillId="0" borderId="0" xfId="33" applyFont="1"/>
    <xf numFmtId="0" fontId="93" fillId="0" borderId="4" xfId="33" applyFont="1" applyBorder="1" applyAlignment="1">
      <alignment wrapText="1"/>
    </xf>
    <xf numFmtId="4" fontId="93" fillId="0" borderId="0" xfId="33" applyNumberFormat="1" applyFont="1" applyAlignment="1">
      <alignment horizontal="right"/>
    </xf>
    <xf numFmtId="0" fontId="93" fillId="0" borderId="0" xfId="33" applyFont="1" applyAlignment="1">
      <alignment wrapText="1"/>
    </xf>
    <xf numFmtId="0" fontId="92" fillId="0" borderId="0" xfId="33" applyFont="1"/>
    <xf numFmtId="0" fontId="9" fillId="24" borderId="0" xfId="33" applyFont="1" applyFill="1"/>
    <xf numFmtId="195" fontId="9" fillId="0" borderId="3" xfId="34" applyNumberFormat="1" applyFont="1" applyBorder="1" applyAlignment="1">
      <alignment horizontal="right"/>
    </xf>
    <xf numFmtId="195" fontId="9" fillId="0" borderId="0" xfId="34" applyNumberFormat="1" applyFont="1" applyBorder="1" applyAlignment="1">
      <alignment horizontal="right"/>
    </xf>
    <xf numFmtId="0" fontId="101" fillId="0" borderId="0" xfId="32" applyFont="1" applyBorder="1"/>
    <xf numFmtId="0" fontId="85" fillId="0" borderId="3" xfId="29" applyFont="1" applyBorder="1" applyAlignment="1">
      <alignment horizontal="left"/>
    </xf>
    <xf numFmtId="2" fontId="90" fillId="0" borderId="3" xfId="33" applyNumberFormat="1" applyFont="1" applyBorder="1" applyAlignment="1">
      <alignment horizontal="center" vertical="center" wrapText="1" readingOrder="1"/>
    </xf>
    <xf numFmtId="0" fontId="90" fillId="0" borderId="3" xfId="33" applyFont="1" applyBorder="1" applyAlignment="1">
      <alignment horizontal="center" vertical="center" wrapText="1" readingOrder="1"/>
    </xf>
    <xf numFmtId="1" fontId="90" fillId="0" borderId="3" xfId="33" applyNumberFormat="1" applyFont="1" applyBorder="1" applyAlignment="1">
      <alignment horizontal="center" vertical="center" wrapText="1" readingOrder="1"/>
    </xf>
    <xf numFmtId="195" fontId="9" fillId="0" borderId="3" xfId="34" applyNumberFormat="1" applyFont="1" applyBorder="1" applyAlignment="1">
      <alignment horizontal="left"/>
    </xf>
    <xf numFmtId="195" fontId="9" fillId="0" borderId="3" xfId="34" applyNumberFormat="1" applyFont="1" applyFill="1" applyBorder="1" applyAlignment="1">
      <alignment horizontal="left"/>
    </xf>
    <xf numFmtId="10" fontId="105" fillId="27" borderId="0" xfId="0" applyNumberFormat="1" applyFont="1" applyFill="1"/>
    <xf numFmtId="0" fontId="1" fillId="28" borderId="0" xfId="37" applyFill="1"/>
    <xf numFmtId="0" fontId="1" fillId="0" borderId="0" xfId="37"/>
    <xf numFmtId="0" fontId="106" fillId="0" borderId="0" xfId="38"/>
    <xf numFmtId="0" fontId="107" fillId="0" borderId="0" xfId="37" applyFont="1"/>
    <xf numFmtId="0" fontId="108" fillId="0" borderId="0" xfId="37" applyFont="1"/>
    <xf numFmtId="0" fontId="109" fillId="0" borderId="0" xfId="37" applyFont="1"/>
    <xf numFmtId="0" fontId="110" fillId="0" borderId="0" xfId="37" applyFont="1"/>
    <xf numFmtId="0" fontId="111" fillId="0" borderId="0" xfId="37" applyFont="1"/>
    <xf numFmtId="2" fontId="111" fillId="0" borderId="0" xfId="37" applyNumberFormat="1" applyFont="1" applyAlignment="1">
      <alignment horizontal="left"/>
    </xf>
    <xf numFmtId="0" fontId="112" fillId="0" borderId="0" xfId="37" applyFont="1"/>
    <xf numFmtId="200" fontId="113" fillId="0" borderId="0" xfId="37" applyNumberFormat="1" applyFont="1" applyAlignment="1">
      <alignment horizontal="left"/>
    </xf>
    <xf numFmtId="0" fontId="114" fillId="0" borderId="0" xfId="37" applyFont="1"/>
    <xf numFmtId="0" fontId="40" fillId="2" borderId="0" xfId="0" applyFont="1" applyFill="1" applyAlignment="1">
      <alignment horizontal="left"/>
    </xf>
    <xf numFmtId="0" fontId="9" fillId="0" borderId="16" xfId="17" applyFont="1" applyBorder="1" applyAlignment="1">
      <alignment horizontal="left" vertical="center" wrapText="1"/>
    </xf>
    <xf numFmtId="0" fontId="9" fillId="0" borderId="17" xfId="17" applyFont="1" applyBorder="1" applyAlignment="1">
      <alignment horizontal="left" vertical="center" wrapText="1"/>
    </xf>
    <xf numFmtId="0" fontId="9" fillId="0" borderId="18" xfId="17" applyFont="1" applyBorder="1" applyAlignment="1">
      <alignment horizontal="left" vertical="center" wrapText="1"/>
    </xf>
    <xf numFmtId="0" fontId="9" fillId="0" borderId="14" xfId="17" applyFont="1" applyBorder="1" applyAlignment="1">
      <alignment horizontal="left" vertical="center" wrapText="1"/>
    </xf>
    <xf numFmtId="0" fontId="78" fillId="0" borderId="14" xfId="17" applyFont="1" applyBorder="1" applyAlignment="1">
      <alignment horizontal="left" vertical="center" wrapText="1"/>
    </xf>
    <xf numFmtId="0" fontId="9" fillId="0" borderId="0" xfId="33" applyFont="1" applyAlignment="1">
      <alignment horizontal="left" vertical="top"/>
    </xf>
    <xf numFmtId="0" fontId="9" fillId="0" borderId="0" xfId="33" applyFont="1" applyAlignment="1">
      <alignment horizontal="left" vertical="top" wrapText="1"/>
    </xf>
    <xf numFmtId="0" fontId="15" fillId="0" borderId="29" xfId="28" applyFont="1" applyBorder="1" applyAlignment="1">
      <alignment horizontal="center"/>
    </xf>
    <xf numFmtId="0" fontId="15" fillId="0" borderId="11" xfId="28" applyFont="1" applyBorder="1" applyAlignment="1">
      <alignment horizontal="center"/>
    </xf>
    <xf numFmtId="0" fontId="15" fillId="0" borderId="28" xfId="28" applyFont="1" applyBorder="1" applyAlignment="1">
      <alignment horizontal="center"/>
    </xf>
    <xf numFmtId="0" fontId="8" fillId="0" borderId="27" xfId="28" applyFont="1" applyBorder="1" applyAlignment="1">
      <alignment horizontal="left" wrapText="1"/>
    </xf>
    <xf numFmtId="0" fontId="8" fillId="0" borderId="26" xfId="28" applyFont="1" applyBorder="1" applyAlignment="1">
      <alignment horizontal="left" wrapText="1"/>
    </xf>
    <xf numFmtId="0" fontId="8" fillId="0" borderId="27" xfId="28" applyFont="1" applyBorder="1" applyAlignment="1">
      <alignment horizontal="left" vertical="top" wrapText="1"/>
    </xf>
    <xf numFmtId="0" fontId="8" fillId="0" borderId="26" xfId="28" applyFont="1" applyBorder="1" applyAlignment="1">
      <alignment horizontal="left" vertical="top" wrapText="1"/>
    </xf>
    <xf numFmtId="0" fontId="8" fillId="0" borderId="3" xfId="28" applyFont="1" applyBorder="1" applyAlignment="1">
      <alignment horizontal="left" wrapText="1"/>
    </xf>
    <xf numFmtId="0" fontId="8" fillId="0" borderId="30" xfId="28" applyFont="1" applyBorder="1" applyAlignment="1">
      <alignment horizontal="left" vertical="top" wrapText="1"/>
    </xf>
    <xf numFmtId="201" fontId="18" fillId="0" borderId="7" xfId="17" applyNumberFormat="1" applyBorder="1" applyAlignment="1">
      <alignment horizontal="left"/>
    </xf>
    <xf numFmtId="204" fontId="18" fillId="0" borderId="7" xfId="17" applyNumberFormat="1" applyBorder="1" applyAlignment="1">
      <alignment horizontal="left"/>
    </xf>
    <xf numFmtId="204" fontId="18" fillId="0" borderId="7" xfId="17" applyNumberFormat="1" applyBorder="1" applyAlignment="1">
      <alignment horizontal="center"/>
    </xf>
    <xf numFmtId="204" fontId="18" fillId="0" borderId="0" xfId="17" applyNumberFormat="1" applyAlignment="1">
      <alignment horizontal="center"/>
    </xf>
    <xf numFmtId="205" fontId="24" fillId="0" borderId="8" xfId="21" applyNumberFormat="1">
      <alignment horizontal="right"/>
    </xf>
    <xf numFmtId="205" fontId="51" fillId="11" borderId="0" xfId="23" applyNumberFormat="1" applyAlignment="1">
      <alignment horizontal="right" vertical="center"/>
    </xf>
    <xf numFmtId="205" fontId="51" fillId="11" borderId="0" xfId="23" applyNumberFormat="1" applyAlignment="1">
      <alignment horizontal="right"/>
    </xf>
    <xf numFmtId="205" fontId="66" fillId="0" borderId="0" xfId="17" applyNumberFormat="1" applyFont="1" applyAlignment="1">
      <alignment horizontal="left"/>
    </xf>
    <xf numFmtId="205" fontId="67" fillId="0" borderId="0" xfId="17" applyNumberFormat="1" applyFont="1" applyAlignment="1">
      <alignment horizontal="left" vertical="center"/>
    </xf>
    <xf numFmtId="205" fontId="67" fillId="0" borderId="10" xfId="17" applyNumberFormat="1" applyFont="1" applyBorder="1" applyAlignment="1">
      <alignment horizontal="left" vertical="center"/>
    </xf>
    <xf numFmtId="205" fontId="71" fillId="0" borderId="0" xfId="17" applyNumberFormat="1" applyFont="1" applyAlignment="1">
      <alignment horizontal="left" vertical="center"/>
    </xf>
    <xf numFmtId="205" fontId="115" fillId="0" borderId="0" xfId="17" applyNumberFormat="1" applyFont="1" applyAlignment="1">
      <alignment horizontal="left" vertical="center"/>
    </xf>
    <xf numFmtId="205" fontId="61" fillId="0" borderId="0" xfId="0" applyNumberFormat="1" applyFont="1" applyAlignment="1">
      <alignment horizontal="left"/>
    </xf>
    <xf numFmtId="205" fontId="71" fillId="0" borderId="7" xfId="17" applyNumberFormat="1" applyFont="1" applyBorder="1" applyAlignment="1">
      <alignment horizontal="left" vertical="center"/>
    </xf>
  </cellXfs>
  <cellStyles count="39">
    <cellStyle name="Assumption" xfId="22" xr:uid="{E21B85CB-AE39-493C-90CF-A6033D394DF7}"/>
    <cellStyle name="Base_Input" xfId="11" xr:uid="{00000000-0005-0000-0000-000000000000}"/>
    <cellStyle name="Calc_Grid" xfId="27" xr:uid="{F8AC95C9-DD72-45F3-937D-A40295414305}"/>
    <cellStyle name="Comma [0] 2" xfId="3" xr:uid="{00000000-0005-0000-0000-000002000000}"/>
    <cellStyle name="Comma 2" xfId="31" xr:uid="{501D0CE8-60BB-4AE7-A148-C2453BCA046B}"/>
    <cellStyle name="Comma 2 2" xfId="34" xr:uid="{8D022EC3-8D5F-4199-B4E9-96412C7D8BE8}"/>
    <cellStyle name="Comma 4" xfId="30" xr:uid="{93FDBF7B-CE53-4F18-8C7B-B937CC980A62}"/>
    <cellStyle name="Empty_Cell" xfId="9" xr:uid="{00000000-0005-0000-0000-000004000000}"/>
    <cellStyle name="Explanatory Text" xfId="1" builtinId="53" customBuiltin="1"/>
    <cellStyle name="Fixed_input" xfId="23" xr:uid="{0B0B930C-107A-4F05-8A3E-C5F6EECE17A8}"/>
    <cellStyle name="Flag" xfId="4" xr:uid="{00000000-0005-0000-0000-000006000000}"/>
    <cellStyle name="Header_3" xfId="35" xr:uid="{49DC3E70-0D40-4F4B-9B0B-1C20D864F7FC}"/>
    <cellStyle name="Header1" xfId="15" xr:uid="{00000000-0005-0000-0000-000007000000}"/>
    <cellStyle name="Header1A" xfId="16" xr:uid="{00000000-0005-0000-0000-000008000000}"/>
    <cellStyle name="Header2" xfId="13" xr:uid="{00000000-0005-0000-0000-000009000000}"/>
    <cellStyle name="Header3" xfId="5" xr:uid="{00000000-0005-0000-0000-00000A000000}"/>
    <cellStyle name="Header4" xfId="14" xr:uid="{00000000-0005-0000-0000-00000B000000}"/>
    <cellStyle name="Hyperlink" xfId="32" builtinId="8"/>
    <cellStyle name="Information" xfId="25" xr:uid="{DA2525B4-66EE-4857-AFE3-9C7ADE6F916F}"/>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7" xr:uid="{59EBAEB1-13C8-4373-8DB4-B4C525DCEC98}"/>
    <cellStyle name="Normal 2 2" xfId="24" xr:uid="{D49C4081-9D03-4C8F-8778-34555D4B3E0F}"/>
    <cellStyle name="Normal 2 3" xfId="28" xr:uid="{6AF98F75-7B38-42E7-9A8E-B1A4856C33B1}"/>
    <cellStyle name="Normal 2 4" xfId="33" xr:uid="{EC19042A-6436-45BC-9F0B-2B014AD46D2A}"/>
    <cellStyle name="Normal 2 5" xfId="36" xr:uid="{1EC59A0D-6FB4-40DC-B5F9-710162C7455F}"/>
    <cellStyle name="Normal 2 6" xfId="38" xr:uid="{CFEF5A81-D23A-449D-B8F9-ED25B440C1AA}"/>
    <cellStyle name="Normal 3" xfId="19" xr:uid="{9D4C47DD-E890-4097-9475-8567B8B53D92}"/>
    <cellStyle name="Normal 3 2" xfId="37" xr:uid="{6C0A7ADE-736E-48E3-9A19-6A589123040B}"/>
    <cellStyle name="Normal 4" xfId="29" xr:uid="{12223953-2141-49C2-A08A-055AED2F3F6D}"/>
    <cellStyle name="Offsheet" xfId="10" xr:uid="{00000000-0005-0000-0000-000012000000}"/>
    <cellStyle name="Percent 2" xfId="18" xr:uid="{39961233-90E2-46DE-A48A-52E8009F685E}"/>
    <cellStyle name="Result" xfId="21" xr:uid="{6557DBFB-C674-4413-A044-F9C12EE60C25}"/>
    <cellStyle name="Table_Header1" xfId="26" xr:uid="{731F0518-CF2E-4446-AC6A-744FBBAFA3EE}"/>
    <cellStyle name="Unit" xfId="12" xr:uid="{00000000-0005-0000-0000-000014000000}"/>
    <cellStyle name="Units" xfId="20" xr:uid="{1AB48B31-3307-411F-96E5-E0E849D0DDE8}"/>
    <cellStyle name="User_Input_Actual" xfId="2" xr:uid="{00000000-0005-0000-0000-000015000000}"/>
  </cellStyles>
  <dxfs count="20">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0"/>
      </font>
    </dxf>
    <dxf>
      <font>
        <color theme="0"/>
      </font>
    </dxf>
    <dxf>
      <font>
        <color theme="0"/>
      </font>
    </dxf>
    <dxf>
      <font>
        <color theme="0"/>
      </font>
    </dxf>
    <dxf>
      <font>
        <color theme="5"/>
      </font>
    </dxf>
    <dxf>
      <font>
        <color theme="5"/>
      </font>
    </dxf>
  </dxfs>
  <tableStyles count="0" defaultTableStyle="TableStyleMedium2" defaultPivotStyle="PivotStyleMedium9"/>
  <colors>
    <mruColors>
      <color rgb="FFFFFFCC"/>
      <color rgb="FFFFFF00"/>
      <color rgb="FFCC3300"/>
      <color rgb="FFFF6600"/>
      <color rgb="FF0099FF"/>
      <color rgb="FF3333FF"/>
      <color rgb="FFFF0066"/>
      <color rgb="FFEEEC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8320753950531736E-2"/>
          <c:y val="6.7052724761764201E-2"/>
          <c:w val="0.92363373786992364"/>
          <c:h val="0.7956199259478457"/>
        </c:manualLayout>
      </c:layout>
      <c:lineChart>
        <c:grouping val="standard"/>
        <c:varyColors val="0"/>
        <c:ser>
          <c:idx val="0"/>
          <c:order val="0"/>
          <c:tx>
            <c:strRef>
              <c:f>Consol!$H$77</c:f>
              <c:strCache>
                <c:ptCount val="1"/>
                <c:pt idx="0">
                  <c:v>Option 3 capex</c:v>
                </c:pt>
              </c:strCache>
            </c:strRef>
          </c:tx>
          <c:spPr>
            <a:ln>
              <a:solidFill>
                <a:srgbClr val="699FCE"/>
              </a:solidFill>
            </a:ln>
          </c:spPr>
          <c:marker>
            <c:symbol val="none"/>
          </c:marker>
          <c:cat>
            <c:strRef>
              <c:f>Consol!$I$74:$R$74</c:f>
              <c:strCache>
                <c:ptCount val="10"/>
                <c:pt idx="0">
                  <c:v>FY27</c:v>
                </c:pt>
                <c:pt idx="1">
                  <c:v>FY28</c:v>
                </c:pt>
                <c:pt idx="2">
                  <c:v>FY29</c:v>
                </c:pt>
                <c:pt idx="3">
                  <c:v>FY30</c:v>
                </c:pt>
                <c:pt idx="4">
                  <c:v>FY31</c:v>
                </c:pt>
                <c:pt idx="5">
                  <c:v>FY32</c:v>
                </c:pt>
                <c:pt idx="6">
                  <c:v>FY33</c:v>
                </c:pt>
                <c:pt idx="7">
                  <c:v>FY34</c:v>
                </c:pt>
                <c:pt idx="8">
                  <c:v>FY35</c:v>
                </c:pt>
                <c:pt idx="9">
                  <c:v>FY36</c:v>
                </c:pt>
              </c:strCache>
            </c:strRef>
          </c:cat>
          <c:val>
            <c:numRef>
              <c:f>Consol!$I$77:$R$77</c:f>
              <c:numCache>
                <c:formatCode>#,##0;[Red]\ \-#,##0;\ "-"</c:formatCode>
                <c:ptCount val="10"/>
                <c:pt idx="0">
                  <c:v>2.381932421599807</c:v>
                </c:pt>
                <c:pt idx="1">
                  <c:v>4.3623084537455572</c:v>
                </c:pt>
                <c:pt idx="2">
                  <c:v>6.1727801076214925</c:v>
                </c:pt>
                <c:pt idx="3">
                  <c:v>6.4259409401103573</c:v>
                </c:pt>
                <c:pt idx="4">
                  <c:v>6.6864700541302931</c:v>
                </c:pt>
                <c:pt idx="5">
                  <c:v>0</c:v>
                </c:pt>
                <c:pt idx="6">
                  <c:v>0</c:v>
                </c:pt>
                <c:pt idx="7">
                  <c:v>0</c:v>
                </c:pt>
                <c:pt idx="8">
                  <c:v>0</c:v>
                </c:pt>
                <c:pt idx="9">
                  <c:v>0</c:v>
                </c:pt>
              </c:numCache>
            </c:numRef>
          </c:val>
          <c:smooth val="0"/>
          <c:extLst>
            <c:ext xmlns:c16="http://schemas.microsoft.com/office/drawing/2014/chart" uri="{C3380CC4-5D6E-409C-BE32-E72D297353CC}">
              <c16:uniqueId val="{00000001-3EB2-4C98-8D6B-039018A538BF}"/>
            </c:ext>
          </c:extLst>
        </c:ser>
        <c:ser>
          <c:idx val="1"/>
          <c:order val="1"/>
          <c:tx>
            <c:strRef>
              <c:f>Consol!$H$78</c:f>
              <c:strCache>
                <c:ptCount val="1"/>
                <c:pt idx="0">
                  <c:v>Option 1 (base case) risk cost</c:v>
                </c:pt>
              </c:strCache>
            </c:strRef>
          </c:tx>
          <c:spPr>
            <a:ln>
              <a:solidFill>
                <a:srgbClr val="CC3300"/>
              </a:solidFill>
            </a:ln>
          </c:spPr>
          <c:marker>
            <c:symbol val="none"/>
          </c:marker>
          <c:cat>
            <c:strRef>
              <c:f>Consol!$I$74:$R$74</c:f>
              <c:strCache>
                <c:ptCount val="10"/>
                <c:pt idx="0">
                  <c:v>FY27</c:v>
                </c:pt>
                <c:pt idx="1">
                  <c:v>FY28</c:v>
                </c:pt>
                <c:pt idx="2">
                  <c:v>FY29</c:v>
                </c:pt>
                <c:pt idx="3">
                  <c:v>FY30</c:v>
                </c:pt>
                <c:pt idx="4">
                  <c:v>FY31</c:v>
                </c:pt>
                <c:pt idx="5">
                  <c:v>FY32</c:v>
                </c:pt>
                <c:pt idx="6">
                  <c:v>FY33</c:v>
                </c:pt>
                <c:pt idx="7">
                  <c:v>FY34</c:v>
                </c:pt>
                <c:pt idx="8">
                  <c:v>FY35</c:v>
                </c:pt>
                <c:pt idx="9">
                  <c:v>FY36</c:v>
                </c:pt>
              </c:strCache>
            </c:strRef>
          </c:cat>
          <c:val>
            <c:numRef>
              <c:f>Consol!$I$78:$R$78</c:f>
              <c:numCache>
                <c:formatCode>#,##0;[Red]\ \-#,##0;\ "-"</c:formatCode>
                <c:ptCount val="10"/>
                <c:pt idx="0">
                  <c:v>26.61906904801041</c:v>
                </c:pt>
                <c:pt idx="1">
                  <c:v>26.61906904801041</c:v>
                </c:pt>
                <c:pt idx="2">
                  <c:v>26.61906904801041</c:v>
                </c:pt>
                <c:pt idx="3">
                  <c:v>26.61906904801041</c:v>
                </c:pt>
                <c:pt idx="4">
                  <c:v>26.61906904801041</c:v>
                </c:pt>
                <c:pt idx="5">
                  <c:v>0</c:v>
                </c:pt>
                <c:pt idx="6">
                  <c:v>0</c:v>
                </c:pt>
                <c:pt idx="7">
                  <c:v>0</c:v>
                </c:pt>
                <c:pt idx="8">
                  <c:v>0</c:v>
                </c:pt>
                <c:pt idx="9">
                  <c:v>0</c:v>
                </c:pt>
              </c:numCache>
            </c:numRef>
          </c:val>
          <c:smooth val="0"/>
          <c:extLst>
            <c:ext xmlns:c16="http://schemas.microsoft.com/office/drawing/2014/chart" uri="{C3380CC4-5D6E-409C-BE32-E72D297353CC}">
              <c16:uniqueId val="{00000003-3EB2-4C98-8D6B-039018A538BF}"/>
            </c:ext>
          </c:extLst>
        </c:ser>
        <c:dLbls>
          <c:showLegendKey val="0"/>
          <c:showVal val="0"/>
          <c:showCatName val="0"/>
          <c:showSerName val="0"/>
          <c:showPercent val="0"/>
          <c:showBubbleSize val="0"/>
        </c:dLbls>
        <c:smooth val="0"/>
        <c:axId val="233907328"/>
        <c:axId val="233908864"/>
      </c:lineChart>
      <c:catAx>
        <c:axId val="233907328"/>
        <c:scaling>
          <c:orientation val="minMax"/>
        </c:scaling>
        <c:delete val="0"/>
        <c:axPos val="b"/>
        <c:numFmt formatCode="General" sourceLinked="1"/>
        <c:majorTickMark val="in"/>
        <c:minorTickMark val="none"/>
        <c:tickLblPos val="nextTo"/>
        <c:spPr>
          <a:ln>
            <a:solidFill>
              <a:schemeClr val="bg1">
                <a:lumMod val="85000"/>
              </a:schemeClr>
            </a:solidFill>
          </a:ln>
        </c:spPr>
        <c:txPr>
          <a:bodyPr/>
          <a:lstStyle/>
          <a:p>
            <a:pPr>
              <a:defRPr sz="800"/>
            </a:pPr>
            <a:endParaRPr lang="en-US"/>
          </a:p>
        </c:txPr>
        <c:crossAx val="233908864"/>
        <c:crosses val="autoZero"/>
        <c:auto val="1"/>
        <c:lblAlgn val="ctr"/>
        <c:lblOffset val="100"/>
        <c:noMultiLvlLbl val="0"/>
      </c:catAx>
      <c:valAx>
        <c:axId val="233908864"/>
        <c:scaling>
          <c:orientation val="minMax"/>
        </c:scaling>
        <c:delete val="0"/>
        <c:axPos val="l"/>
        <c:majorGridlines>
          <c:spPr>
            <a:ln>
              <a:solidFill>
                <a:schemeClr val="bg1"/>
              </a:solidFill>
            </a:ln>
          </c:spPr>
        </c:majorGridlines>
        <c:numFmt formatCode="#,##0;[Red]\ \-#,##0;\ &quot;-&quot;" sourceLinked="1"/>
        <c:majorTickMark val="in"/>
        <c:minorTickMark val="none"/>
        <c:tickLblPos val="nextTo"/>
        <c:spPr>
          <a:ln>
            <a:solidFill>
              <a:schemeClr val="bg1">
                <a:lumMod val="85000"/>
              </a:schemeClr>
            </a:solidFill>
          </a:ln>
        </c:spPr>
        <c:txPr>
          <a:bodyPr/>
          <a:lstStyle/>
          <a:p>
            <a:pPr>
              <a:defRPr sz="800"/>
            </a:pPr>
            <a:endParaRPr lang="en-US"/>
          </a:p>
        </c:txPr>
        <c:crossAx val="233907328"/>
        <c:crosses val="autoZero"/>
        <c:crossBetween val="between"/>
      </c:valAx>
      <c:spPr>
        <a:solidFill>
          <a:schemeClr val="bg1">
            <a:lumMod val="95000"/>
          </a:schemeClr>
        </a:solidFill>
        <a:ln>
          <a:solidFill>
            <a:schemeClr val="bg1">
              <a:lumMod val="85000"/>
            </a:schemeClr>
          </a:solidFill>
        </a:ln>
      </c:spPr>
    </c:plotArea>
    <c:legend>
      <c:legendPos val="b"/>
      <c:layout>
        <c:manualLayout>
          <c:xMode val="edge"/>
          <c:yMode val="edge"/>
          <c:x val="3.8098399741236723E-2"/>
          <c:y val="0.92669555775069901"/>
          <c:w val="0.91173906386701675"/>
          <c:h val="7.1070608505362828E-2"/>
        </c:manualLayout>
      </c:layout>
      <c:overlay val="0"/>
      <c:txPr>
        <a:bodyPr/>
        <a:lstStyle/>
        <a:p>
          <a:pPr>
            <a:defRPr sz="8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8</xdr:col>
      <xdr:colOff>561975</xdr:colOff>
      <xdr:row>1</xdr:row>
      <xdr:rowOff>47625</xdr:rowOff>
    </xdr:from>
    <xdr:ext cx="1277471" cy="438577"/>
    <xdr:pic>
      <xdr:nvPicPr>
        <xdr:cNvPr id="2" name="Picture 1">
          <a:extLst>
            <a:ext uri="{FF2B5EF4-FFF2-40B4-BE49-F238E27FC236}">
              <a16:creationId xmlns:a16="http://schemas.microsoft.com/office/drawing/2014/main" id="{B4E0C325-6BBB-4AEC-A2F9-720697835C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238125"/>
          <a:ext cx="1277471" cy="4385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179295</xdr:colOff>
      <xdr:row>35</xdr:row>
      <xdr:rowOff>78440</xdr:rowOff>
    </xdr:from>
    <xdr:to>
      <xdr:col>7</xdr:col>
      <xdr:colOff>254001</xdr:colOff>
      <xdr:row>60</xdr:row>
      <xdr:rowOff>44823</xdr:rowOff>
    </xdr:to>
    <xdr:graphicFrame macro="">
      <xdr:nvGraphicFramePr>
        <xdr:cNvPr id="4" name="Chart 3">
          <a:extLst>
            <a:ext uri="{FF2B5EF4-FFF2-40B4-BE49-F238E27FC236}">
              <a16:creationId xmlns:a16="http://schemas.microsoft.com/office/drawing/2014/main" id="{7F4FA90B-26EA-4B2F-BB30-10702267B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0.15442</cdr:x>
      <cdr:y>0.0557</cdr:y>
    </cdr:to>
    <cdr:sp macro="" textlink="">
      <cdr:nvSpPr>
        <cdr:cNvPr id="2" name="TextBox 1">
          <a:extLst xmlns:a="http://schemas.openxmlformats.org/drawingml/2006/main">
            <a:ext uri="{FF2B5EF4-FFF2-40B4-BE49-F238E27FC236}">
              <a16:creationId xmlns:a16="http://schemas.microsoft.com/office/drawing/2014/main" id="{487EBA0A-3E23-4E9B-EE4B-24E6D04E64B2}"/>
            </a:ext>
          </a:extLst>
        </cdr:cNvPr>
        <cdr:cNvSpPr txBox="1"/>
      </cdr:nvSpPr>
      <cdr:spPr>
        <a:xfrm xmlns:a="http://schemas.openxmlformats.org/drawingml/2006/main">
          <a:off x="0" y="0"/>
          <a:ext cx="1288676" cy="221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b="1">
              <a:solidFill>
                <a:sysClr val="windowText" lastClr="000000"/>
              </a:solidFill>
              <a:latin typeface="+mn-lt"/>
            </a:rPr>
            <a:t>$m,</a:t>
          </a:r>
          <a:r>
            <a:rPr lang="en-AU" sz="1000" b="1" baseline="0">
              <a:solidFill>
                <a:sysClr val="windowText" lastClr="000000"/>
              </a:solidFill>
              <a:latin typeface="+mn-lt"/>
            </a:rPr>
            <a:t> June 2026</a:t>
          </a:r>
          <a:endParaRPr lang="en-AU" sz="1000" b="1">
            <a:solidFill>
              <a:sysClr val="windowText" lastClr="000000"/>
            </a:solidFill>
            <a:latin typeface="+mn-lt"/>
          </a:endParaRP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385542</xdr:colOff>
          <xdr:row>4</xdr:row>
          <xdr:rowOff>109444</xdr:rowOff>
        </xdr:from>
        <xdr:to>
          <xdr:col>15</xdr:col>
          <xdr:colOff>597987</xdr:colOff>
          <xdr:row>10</xdr:row>
          <xdr:rowOff>6008</xdr:rowOff>
        </xdr:to>
        <xdr:pic>
          <xdr:nvPicPr>
            <xdr:cNvPr id="2" name="Picture 1">
              <a:extLst>
                <a:ext uri="{FF2B5EF4-FFF2-40B4-BE49-F238E27FC236}">
                  <a16:creationId xmlns:a16="http://schemas.microsoft.com/office/drawing/2014/main" id="{73E0E772-A544-8797-AF25-CA402473D47A}"/>
                </a:ext>
              </a:extLst>
            </xdr:cNvPr>
            <xdr:cNvPicPr>
              <a:picLocks noChangeAspect="1" noChangeArrowheads="1"/>
              <a:extLst>
                <a:ext uri="{84589F7E-364E-4C9E-8A38-B11213B215E9}">
                  <a14:cameraTool cellRange="Data!$AA$13:$AA$17" spid="_x0000_s23353"/>
                </a:ext>
              </a:extLst>
            </xdr:cNvPicPr>
          </xdr:nvPicPr>
          <xdr:blipFill>
            <a:blip xmlns:r="http://schemas.openxmlformats.org/officeDocument/2006/relationships" r:embed="rId1"/>
            <a:srcRect/>
            <a:stretch>
              <a:fillRect/>
            </a:stretch>
          </xdr:blipFill>
          <xdr:spPr bwMode="auto">
            <a:xfrm>
              <a:off x="9106209" y="892611"/>
              <a:ext cx="1461279" cy="849064"/>
            </a:xfrm>
            <a:prstGeom prst="rect">
              <a:avLst/>
            </a:prstGeom>
            <a:noFill/>
            <a:ln>
              <a:solidFill>
                <a:schemeClr val="bg1">
                  <a:lumMod val="85000"/>
                </a:schemeClr>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200585</xdr:colOff>
          <xdr:row>8</xdr:row>
          <xdr:rowOff>129357</xdr:rowOff>
        </xdr:from>
        <xdr:to>
          <xdr:col>12</xdr:col>
          <xdr:colOff>156697</xdr:colOff>
          <xdr:row>10</xdr:row>
          <xdr:rowOff>141673</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26:$AD$27" spid="_x0000_s23354"/>
                </a:ext>
              </a:extLst>
            </xdr:cNvPicPr>
          </xdr:nvPicPr>
          <xdr:blipFill>
            <a:blip xmlns:r="http://schemas.openxmlformats.org/officeDocument/2006/relationships" r:embed="rId2"/>
            <a:srcRect/>
            <a:stretch>
              <a:fillRect/>
            </a:stretch>
          </xdr:blipFill>
          <xdr:spPr bwMode="auto">
            <a:xfrm>
              <a:off x="4658285" y="1901007"/>
              <a:ext cx="3574491" cy="336166"/>
            </a:xfrm>
            <a:prstGeom prst="rect">
              <a:avLst/>
            </a:prstGeom>
            <a:solidFill>
              <a:schemeClr val="bg1"/>
            </a:solidFill>
            <a:effec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owercor">
    <a:dk1>
      <a:sysClr val="windowText" lastClr="000000"/>
    </a:dk1>
    <a:lt1>
      <a:sysClr val="window" lastClr="FFFFFF"/>
    </a:lt1>
    <a:dk2>
      <a:srgbClr val="696464"/>
    </a:dk2>
    <a:lt2>
      <a:srgbClr val="E9E5DC"/>
    </a:lt2>
    <a:accent1>
      <a:srgbClr val="E50000"/>
    </a:accent1>
    <a:accent2>
      <a:srgbClr val="FF9999"/>
    </a:accent2>
    <a:accent3>
      <a:srgbClr val="918485"/>
    </a:accent3>
    <a:accent4>
      <a:srgbClr val="C00000"/>
    </a:accent4>
    <a:accent5>
      <a:srgbClr val="E99C92"/>
    </a:accent5>
    <a:accent6>
      <a:srgbClr val="E7DDDD"/>
    </a:accent6>
    <a:hlink>
      <a:srgbClr val="CC9900"/>
    </a:hlink>
    <a:folHlink>
      <a:srgbClr val="96A9A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DF1CC-22E7-4091-97B3-ABE8E3E741D1}">
  <sheetPr codeName="Sheet5">
    <tabColor theme="1" tint="0.34998626667073579"/>
  </sheetPr>
  <dimension ref="A1:K43"/>
  <sheetViews>
    <sheetView showGridLines="0" workbookViewId="0">
      <selection activeCell="C2" sqref="C2"/>
    </sheetView>
  </sheetViews>
  <sheetFormatPr defaultColWidth="9" defaultRowHeight="12.75" customHeight="1" zeroHeight="1" x14ac:dyDescent="0.3"/>
  <cols>
    <col min="1" max="1" width="10.84375" style="397" customWidth="1"/>
    <col min="2" max="2" width="2.15234375" style="397" customWidth="1"/>
    <col min="3" max="3" width="14.23046875" style="397" customWidth="1"/>
    <col min="4" max="11" width="9" style="397" customWidth="1"/>
    <col min="12" max="16384" width="9" style="397"/>
  </cols>
  <sheetData>
    <row r="1" spans="1:11" ht="14.5" x14ac:dyDescent="0.35">
      <c r="A1" s="395"/>
      <c r="B1" s="396"/>
      <c r="C1" s="396"/>
      <c r="D1" s="396"/>
      <c r="E1" s="396"/>
      <c r="F1" s="396"/>
      <c r="G1" s="396"/>
      <c r="H1" s="396"/>
      <c r="I1" s="396"/>
      <c r="J1" s="396"/>
      <c r="K1" s="396"/>
    </row>
    <row r="2" spans="1:11" ht="23" x14ac:dyDescent="0.5">
      <c r="A2" s="395"/>
      <c r="B2" s="396"/>
      <c r="C2" s="398" t="s">
        <v>31</v>
      </c>
      <c r="D2" s="399"/>
      <c r="E2" s="399"/>
      <c r="F2" s="396"/>
      <c r="G2" s="396"/>
      <c r="H2" s="396"/>
      <c r="I2" s="396"/>
      <c r="J2" s="396"/>
      <c r="K2" s="396"/>
    </row>
    <row r="3" spans="1:11" ht="15.5" x14ac:dyDescent="0.35">
      <c r="A3" s="395"/>
      <c r="B3" s="396"/>
      <c r="C3" s="400" t="s">
        <v>424</v>
      </c>
      <c r="D3" s="399"/>
      <c r="E3" s="399"/>
      <c r="F3" s="396"/>
      <c r="G3" s="396"/>
      <c r="H3" s="396"/>
      <c r="I3" s="396"/>
      <c r="J3" s="396"/>
      <c r="K3" s="396"/>
    </row>
    <row r="4" spans="1:11" ht="14.5" x14ac:dyDescent="0.35">
      <c r="A4" s="395"/>
      <c r="B4" s="396"/>
      <c r="C4" s="396"/>
      <c r="D4" s="399"/>
      <c r="E4" s="399"/>
      <c r="F4" s="396"/>
      <c r="G4" s="396"/>
      <c r="H4" s="396"/>
      <c r="I4" s="396"/>
      <c r="J4" s="396"/>
      <c r="K4" s="396"/>
    </row>
    <row r="5" spans="1:11" ht="14.5" x14ac:dyDescent="0.35">
      <c r="A5" s="395"/>
      <c r="B5" s="396"/>
      <c r="C5" s="401" t="str" cm="1">
        <f t="array" aca="1" ref="C5" ca="1">REPLACE(LEFT(_xlfn.TEXTAFTER(CELL("filename")," - ",1),FIND("Jan2025",_xlfn.TEXTAFTER(CELL("filename")," - "),1)-4),1,1,UPPER(LEFT(LEFT(_xlfn.TEXTAFTER(CELL("filename")," - ",1),FIND("Jan2025",_xlfn.TEXTAFTER(CELL("filename")," - "),1)-4),1)))</f>
        <v>Infrastructure refresh risk</v>
      </c>
      <c r="D5" s="396"/>
      <c r="E5" s="396"/>
      <c r="F5" s="396"/>
      <c r="G5" s="396"/>
      <c r="H5" s="396"/>
      <c r="I5" s="396"/>
      <c r="J5" s="396"/>
      <c r="K5" s="396"/>
    </row>
    <row r="6" spans="1:11" ht="14.5" x14ac:dyDescent="0.35">
      <c r="A6" s="395"/>
      <c r="B6" s="396"/>
      <c r="C6" s="402" t="s">
        <v>425</v>
      </c>
      <c r="D6" s="403" t="str" cm="1">
        <f t="array" aca="1" ref="D6" ca="1">LEFT(_xlfn.TEXTAFTER(CELL("filename")," MOD "),FIND(" - ",_xlfn.TEXTAFTER(CELL("filename")," MOD "),1)-1)</f>
        <v>7.08</v>
      </c>
      <c r="E6" s="402"/>
      <c r="F6" s="396"/>
      <c r="G6" s="396"/>
      <c r="H6" s="396"/>
      <c r="I6" s="396"/>
      <c r="J6" s="396"/>
      <c r="K6" s="396"/>
    </row>
    <row r="7" spans="1:11" ht="14.5" x14ac:dyDescent="0.35">
      <c r="A7" s="395"/>
      <c r="B7" s="396"/>
      <c r="C7" s="396"/>
      <c r="D7" s="396"/>
      <c r="E7" s="396"/>
      <c r="F7" s="404"/>
      <c r="G7" s="404"/>
      <c r="H7" s="404"/>
      <c r="I7" s="396"/>
      <c r="J7" s="404"/>
      <c r="K7" s="404"/>
    </row>
    <row r="8" spans="1:11" ht="14.5" x14ac:dyDescent="0.35">
      <c r="A8" s="395"/>
      <c r="B8" s="396"/>
      <c r="C8" s="405">
        <v>45688</v>
      </c>
      <c r="D8" s="396"/>
      <c r="E8" s="396"/>
      <c r="F8" s="404"/>
      <c r="G8" s="404"/>
      <c r="H8" s="404"/>
      <c r="I8" s="396"/>
      <c r="J8" s="404"/>
      <c r="K8" s="404"/>
    </row>
    <row r="9" spans="1:11" ht="14.5" x14ac:dyDescent="0.35">
      <c r="A9" s="395"/>
      <c r="B9" s="396"/>
      <c r="C9" s="406"/>
      <c r="D9" s="406"/>
      <c r="E9" s="396"/>
      <c r="F9" s="404"/>
      <c r="G9" s="404"/>
      <c r="H9" s="404"/>
      <c r="I9" s="404"/>
      <c r="J9" s="404"/>
      <c r="K9" s="404"/>
    </row>
    <row r="10" spans="1:11" ht="14.5" x14ac:dyDescent="0.35">
      <c r="A10" s="395"/>
      <c r="B10" s="396"/>
      <c r="C10" s="406"/>
      <c r="D10" s="406"/>
      <c r="E10" s="396"/>
      <c r="F10" s="404"/>
      <c r="G10" s="404"/>
      <c r="H10" s="404"/>
      <c r="I10" s="404"/>
      <c r="J10" s="404"/>
      <c r="K10" s="404"/>
    </row>
    <row r="11" spans="1:11" ht="14.5" x14ac:dyDescent="0.35">
      <c r="A11" s="395"/>
      <c r="B11" s="396"/>
      <c r="C11" s="406"/>
      <c r="D11" s="406"/>
      <c r="E11" s="396"/>
      <c r="F11" s="404"/>
      <c r="G11" s="404"/>
      <c r="H11" s="404"/>
      <c r="I11" s="404"/>
      <c r="J11" s="404"/>
      <c r="K11" s="404"/>
    </row>
    <row r="12" spans="1:11" ht="14.5" x14ac:dyDescent="0.35">
      <c r="A12" s="395"/>
      <c r="B12" s="396"/>
      <c r="C12" s="406"/>
      <c r="D12" s="406"/>
      <c r="E12" s="396"/>
      <c r="F12" s="404"/>
      <c r="G12" s="404"/>
      <c r="H12" s="404"/>
      <c r="I12" s="404"/>
      <c r="J12" s="404"/>
      <c r="K12" s="404"/>
    </row>
    <row r="13" spans="1:11" ht="14.5" x14ac:dyDescent="0.35">
      <c r="A13" s="395"/>
      <c r="B13" s="396"/>
      <c r="C13" s="406"/>
      <c r="D13" s="406"/>
      <c r="E13" s="396"/>
      <c r="F13" s="404"/>
      <c r="G13" s="404"/>
      <c r="H13" s="404"/>
      <c r="I13" s="404"/>
      <c r="J13" s="404"/>
      <c r="K13" s="404"/>
    </row>
    <row r="14" spans="1:11" ht="14.5" x14ac:dyDescent="0.35">
      <c r="A14" s="395"/>
      <c r="B14" s="396"/>
      <c r="C14" s="404"/>
      <c r="D14" s="404"/>
      <c r="E14" s="404"/>
      <c r="F14" s="404"/>
      <c r="G14" s="404"/>
      <c r="H14" s="404"/>
      <c r="I14" s="404"/>
      <c r="J14" s="404"/>
      <c r="K14" s="404"/>
    </row>
    <row r="15" spans="1:11" ht="14.5" x14ac:dyDescent="0.35">
      <c r="A15" s="395"/>
      <c r="B15" s="396"/>
      <c r="C15" s="401"/>
      <c r="D15" s="404"/>
      <c r="E15" s="404"/>
      <c r="F15" s="404"/>
      <c r="G15" s="404"/>
      <c r="H15" s="404"/>
      <c r="I15" s="404"/>
      <c r="J15" s="404"/>
      <c r="K15" s="404"/>
    </row>
    <row r="16" spans="1:11" ht="14.5" x14ac:dyDescent="0.35">
      <c r="A16" s="395"/>
      <c r="B16" s="396"/>
      <c r="C16" s="401"/>
      <c r="D16" s="404"/>
      <c r="E16" s="404"/>
      <c r="F16" s="404"/>
      <c r="G16" s="404"/>
      <c r="H16" s="404"/>
      <c r="I16" s="404"/>
      <c r="J16" s="404"/>
      <c r="K16" s="404"/>
    </row>
    <row r="17" spans="1:11" ht="14.5" x14ac:dyDescent="0.35">
      <c r="A17" s="395"/>
      <c r="B17" s="396"/>
      <c r="C17" s="404"/>
      <c r="D17" s="404"/>
      <c r="E17" s="404"/>
      <c r="F17" s="404"/>
      <c r="G17" s="404"/>
      <c r="H17" s="404"/>
      <c r="I17" s="404"/>
      <c r="J17" s="404"/>
      <c r="K17" s="404"/>
    </row>
    <row r="18" spans="1:11" ht="14.5" x14ac:dyDescent="0.35">
      <c r="A18" s="395"/>
      <c r="B18" s="396"/>
      <c r="C18" s="404"/>
      <c r="D18" s="404"/>
      <c r="E18" s="404"/>
      <c r="F18" s="404"/>
      <c r="G18" s="404"/>
      <c r="H18" s="404"/>
      <c r="I18" s="404"/>
      <c r="J18" s="404"/>
      <c r="K18" s="404"/>
    </row>
    <row r="19" spans="1:11" ht="14.5" x14ac:dyDescent="0.35">
      <c r="A19" s="395"/>
      <c r="B19" s="396"/>
      <c r="C19" s="404"/>
      <c r="D19" s="404"/>
      <c r="E19" s="404"/>
      <c r="F19" s="404"/>
      <c r="H19" s="404"/>
      <c r="I19" s="404"/>
      <c r="J19" s="404"/>
      <c r="K19" s="404"/>
    </row>
    <row r="20" spans="1:11" ht="14.5" x14ac:dyDescent="0.35">
      <c r="A20" s="395"/>
      <c r="B20" s="396"/>
      <c r="C20" s="404"/>
      <c r="D20" s="404"/>
      <c r="E20" s="404"/>
      <c r="F20" s="404"/>
      <c r="G20" s="404"/>
      <c r="H20" s="404"/>
      <c r="I20" s="404"/>
      <c r="J20" s="404"/>
      <c r="K20" s="404"/>
    </row>
    <row r="21" spans="1:11" ht="14.5" x14ac:dyDescent="0.35">
      <c r="A21" s="395"/>
      <c r="B21" s="396"/>
      <c r="C21" s="404"/>
      <c r="D21" s="404"/>
      <c r="E21" s="404"/>
      <c r="F21" s="404"/>
      <c r="G21" s="404"/>
      <c r="H21" s="404"/>
      <c r="I21" s="404"/>
      <c r="J21" s="404"/>
      <c r="K21" s="404"/>
    </row>
    <row r="22" spans="1:11" ht="14.5" x14ac:dyDescent="0.35">
      <c r="A22" s="395"/>
      <c r="B22" s="396"/>
      <c r="C22" s="404"/>
      <c r="D22" s="404"/>
      <c r="E22" s="404"/>
      <c r="F22" s="404"/>
      <c r="G22" s="404"/>
      <c r="H22" s="404"/>
      <c r="I22" s="404"/>
      <c r="J22" s="404"/>
      <c r="K22" s="404"/>
    </row>
    <row r="23" spans="1:11" ht="14.5" x14ac:dyDescent="0.35">
      <c r="A23" s="395"/>
      <c r="B23" s="396"/>
      <c r="C23" s="404"/>
      <c r="D23" s="404"/>
      <c r="E23" s="404"/>
      <c r="F23" s="404"/>
      <c r="G23" s="404"/>
      <c r="H23" s="404"/>
      <c r="I23" s="404"/>
      <c r="J23" s="404"/>
      <c r="K23" s="404"/>
    </row>
    <row r="24" spans="1:11" ht="14.5" x14ac:dyDescent="0.35">
      <c r="A24" s="395"/>
      <c r="B24" s="396"/>
      <c r="C24" s="404"/>
      <c r="D24" s="404"/>
      <c r="E24" s="404"/>
      <c r="F24" s="404"/>
      <c r="G24" s="404"/>
      <c r="H24" s="404"/>
      <c r="I24" s="404"/>
      <c r="J24" s="404"/>
      <c r="K24" s="404"/>
    </row>
    <row r="25" spans="1:11" ht="14.5" x14ac:dyDescent="0.35">
      <c r="A25" s="395"/>
      <c r="B25" s="396"/>
      <c r="C25" s="404"/>
      <c r="D25" s="404"/>
      <c r="E25" s="404"/>
      <c r="F25" s="404"/>
      <c r="G25" s="404"/>
      <c r="H25" s="404"/>
      <c r="I25" s="404"/>
      <c r="J25" s="404"/>
      <c r="K25" s="404"/>
    </row>
    <row r="26" spans="1:11" ht="14.5" x14ac:dyDescent="0.35">
      <c r="A26" s="395"/>
      <c r="B26" s="396"/>
      <c r="C26" s="404"/>
      <c r="D26" s="404"/>
      <c r="E26" s="404"/>
      <c r="F26" s="404"/>
      <c r="G26" s="404"/>
      <c r="H26" s="404"/>
      <c r="I26" s="404"/>
      <c r="J26" s="404"/>
      <c r="K26" s="404"/>
    </row>
    <row r="27" spans="1:11" ht="14.5" x14ac:dyDescent="0.35">
      <c r="A27" s="395"/>
      <c r="B27" s="396"/>
      <c r="C27" s="404"/>
      <c r="D27" s="404"/>
      <c r="E27" s="404"/>
      <c r="F27" s="404"/>
      <c r="G27" s="404"/>
      <c r="H27" s="404"/>
      <c r="I27" s="404"/>
      <c r="J27" s="404"/>
      <c r="K27" s="404"/>
    </row>
    <row r="28" spans="1:11" ht="14.5" x14ac:dyDescent="0.35">
      <c r="A28" s="395"/>
      <c r="B28" s="396"/>
      <c r="C28" s="404"/>
      <c r="D28" s="404"/>
      <c r="E28" s="404"/>
      <c r="F28" s="404"/>
      <c r="G28" s="404"/>
      <c r="H28" s="404"/>
      <c r="I28" s="404"/>
      <c r="J28" s="404"/>
      <c r="K28" s="404"/>
    </row>
    <row r="29" spans="1:11" ht="14.5" x14ac:dyDescent="0.35">
      <c r="A29" s="395"/>
      <c r="B29" s="396"/>
      <c r="C29" s="404"/>
      <c r="D29" s="404"/>
      <c r="E29" s="404"/>
      <c r="F29" s="404"/>
      <c r="G29" s="404"/>
      <c r="H29" s="404"/>
      <c r="I29" s="404"/>
      <c r="J29" s="404"/>
      <c r="K29" s="404"/>
    </row>
    <row r="30" spans="1:11" ht="14.5" x14ac:dyDescent="0.35">
      <c r="A30" s="395"/>
      <c r="B30" s="396"/>
      <c r="C30" s="404"/>
      <c r="D30" s="396"/>
      <c r="E30" s="404"/>
      <c r="F30" s="404"/>
      <c r="G30" s="404"/>
      <c r="H30" s="404"/>
      <c r="I30" s="404"/>
      <c r="J30" s="404"/>
      <c r="K30" s="404"/>
    </row>
    <row r="31" spans="1:11" ht="14.5" x14ac:dyDescent="0.35">
      <c r="A31" s="395"/>
      <c r="B31" s="396"/>
      <c r="C31" s="396"/>
      <c r="D31" s="396"/>
      <c r="E31" s="396"/>
      <c r="F31" s="396"/>
      <c r="G31" s="396"/>
      <c r="H31" s="396"/>
      <c r="I31" s="396"/>
      <c r="J31" s="396"/>
      <c r="K31" s="396"/>
    </row>
    <row r="32" spans="1:11" ht="14.5" x14ac:dyDescent="0.35">
      <c r="A32" s="395"/>
      <c r="B32" s="396"/>
      <c r="C32" s="396"/>
      <c r="D32" s="396"/>
      <c r="E32" s="396"/>
      <c r="F32" s="396"/>
      <c r="G32" s="396"/>
      <c r="H32" s="396"/>
      <c r="I32" s="396"/>
      <c r="J32" s="396"/>
      <c r="K32" s="396"/>
    </row>
    <row r="33" spans="1:11" ht="14.5" x14ac:dyDescent="0.35">
      <c r="A33" s="395"/>
      <c r="B33" s="396"/>
      <c r="C33" s="396"/>
      <c r="D33" s="396"/>
      <c r="E33" s="396"/>
      <c r="F33" s="396"/>
      <c r="G33" s="396"/>
      <c r="H33" s="396"/>
      <c r="I33" s="396"/>
      <c r="J33" s="396"/>
      <c r="K33" s="396"/>
    </row>
    <row r="34" spans="1:11" ht="14.5" x14ac:dyDescent="0.35">
      <c r="A34" s="395"/>
      <c r="B34" s="396"/>
      <c r="C34" s="396"/>
      <c r="D34" s="396"/>
      <c r="E34" s="396"/>
      <c r="F34" s="396"/>
      <c r="G34" s="396"/>
      <c r="H34" s="396"/>
      <c r="I34" s="396"/>
      <c r="J34" s="396"/>
      <c r="K34" s="396"/>
    </row>
    <row r="35" spans="1:11" ht="14.5" x14ac:dyDescent="0.35">
      <c r="A35" s="395"/>
      <c r="B35" s="396"/>
      <c r="C35" s="396"/>
      <c r="D35" s="396"/>
      <c r="E35" s="396"/>
      <c r="F35" s="396"/>
      <c r="G35" s="396"/>
      <c r="H35" s="396"/>
      <c r="I35" s="396"/>
      <c r="J35" s="396"/>
      <c r="K35" s="396"/>
    </row>
    <row r="36" spans="1:11" ht="14.5" x14ac:dyDescent="0.35">
      <c r="A36" s="395"/>
      <c r="B36" s="396"/>
      <c r="C36" s="396"/>
      <c r="D36" s="396"/>
      <c r="E36" s="396"/>
      <c r="F36" s="396"/>
      <c r="G36" s="396"/>
      <c r="H36" s="396"/>
      <c r="I36" s="396"/>
      <c r="J36" s="396"/>
      <c r="K36" s="396"/>
    </row>
    <row r="37" spans="1:11" ht="14.5" x14ac:dyDescent="0.35">
      <c r="A37" s="395"/>
      <c r="B37" s="396"/>
      <c r="C37" s="396"/>
      <c r="D37" s="396"/>
      <c r="E37" s="396"/>
      <c r="F37" s="396"/>
      <c r="G37" s="396"/>
      <c r="H37" s="396"/>
      <c r="I37" s="396"/>
      <c r="J37" s="396"/>
      <c r="K37" s="396"/>
    </row>
    <row r="38" spans="1:11" ht="14.5" x14ac:dyDescent="0.35">
      <c r="A38" s="395"/>
      <c r="B38" s="396"/>
      <c r="C38" s="396"/>
      <c r="D38" s="396"/>
      <c r="E38" s="396"/>
      <c r="F38" s="396"/>
      <c r="G38" s="396"/>
      <c r="H38" s="396"/>
      <c r="I38" s="396"/>
      <c r="J38" s="396"/>
      <c r="K38" s="396"/>
    </row>
    <row r="39" spans="1:11" ht="14.5" x14ac:dyDescent="0.35">
      <c r="A39" s="395"/>
      <c r="B39" s="396"/>
      <c r="C39" s="396"/>
      <c r="D39" s="396"/>
      <c r="E39" s="396"/>
      <c r="F39" s="396"/>
      <c r="G39" s="396"/>
      <c r="H39" s="396"/>
      <c r="I39" s="396"/>
      <c r="J39" s="396"/>
      <c r="K39" s="396"/>
    </row>
    <row r="40" spans="1:11" ht="14.5" x14ac:dyDescent="0.35">
      <c r="A40" s="395"/>
      <c r="B40" s="396"/>
      <c r="C40" s="396"/>
      <c r="D40" s="396"/>
      <c r="E40" s="396"/>
      <c r="F40" s="396"/>
      <c r="G40" s="396"/>
      <c r="H40" s="396"/>
      <c r="I40" s="396"/>
      <c r="J40" s="396"/>
      <c r="K40" s="396"/>
    </row>
    <row r="41" spans="1:11" ht="14.5" x14ac:dyDescent="0.35">
      <c r="A41" s="395"/>
      <c r="B41" s="396"/>
      <c r="C41" s="396"/>
      <c r="D41" s="396"/>
      <c r="E41" s="396"/>
      <c r="F41" s="396"/>
      <c r="G41" s="396"/>
      <c r="H41" s="396"/>
      <c r="I41" s="396"/>
      <c r="J41" s="396"/>
      <c r="K41" s="396"/>
    </row>
    <row r="42" spans="1:11" ht="14.5" x14ac:dyDescent="0.35">
      <c r="A42" s="395"/>
      <c r="B42" s="396"/>
      <c r="C42" s="396"/>
      <c r="D42" s="396"/>
      <c r="E42" s="396"/>
      <c r="F42" s="396"/>
      <c r="G42" s="396"/>
      <c r="H42" s="396"/>
      <c r="I42" s="396"/>
      <c r="J42" s="396"/>
      <c r="K42" s="396"/>
    </row>
    <row r="43" spans="1:11" ht="14.5" x14ac:dyDescent="0.35">
      <c r="A43" s="395"/>
      <c r="B43" s="396"/>
      <c r="C43" s="396"/>
      <c r="D43" s="396"/>
      <c r="E43" s="396"/>
      <c r="F43" s="396"/>
      <c r="G43" s="396"/>
      <c r="H43" s="396"/>
      <c r="I43" s="396"/>
      <c r="J43" s="396"/>
      <c r="K43" s="396"/>
    </row>
  </sheetData>
  <conditionalFormatting sqref="C5">
    <cfRule type="expression" dxfId="19" priority="1">
      <formula>LEFT(C5,1)="&lt;"</formula>
    </cfRule>
  </conditionalFormatting>
  <conditionalFormatting sqref="D6">
    <cfRule type="expression" dxfId="18" priority="2">
      <formula>LEFT(D6,1)="&lt;"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M341"/>
  <sheetViews>
    <sheetView showGridLines="0" tabSelected="1" zoomScaleNormal="100" workbookViewId="0">
      <pane ySplit="2" topLeftCell="A3" activePane="bottomLeft" state="frozen"/>
      <selection activeCell="Z23" sqref="Z23"/>
      <selection pane="bottomLeft" activeCell="D75" sqref="D75"/>
    </sheetView>
  </sheetViews>
  <sheetFormatPr defaultColWidth="9" defaultRowHeight="12" zeroHeight="1" x14ac:dyDescent="0.3"/>
  <cols>
    <col min="1" max="1" width="4.84375" style="9" customWidth="1"/>
    <col min="2" max="2" width="5.23046875" style="9" customWidth="1"/>
    <col min="3" max="3" width="15.23046875" style="9" customWidth="1"/>
    <col min="4" max="4" width="40.4609375" style="9" customWidth="1"/>
    <col min="5" max="5" width="13.15234375" style="9" customWidth="1"/>
    <col min="6" max="6" width="15.3828125" style="9" customWidth="1"/>
    <col min="7" max="7" width="13.61328125" style="9" customWidth="1"/>
    <col min="8" max="8" width="13.765625" style="9" customWidth="1"/>
    <col min="9" max="9" width="13.15234375" style="9" customWidth="1"/>
    <col min="10" max="10" width="5.15234375" style="9" customWidth="1"/>
    <col min="11" max="11" width="13.15234375" style="9" customWidth="1"/>
    <col min="12" max="13" width="8.765625" style="9" customWidth="1"/>
    <col min="14" max="16384" width="9" style="9"/>
  </cols>
  <sheetData>
    <row r="1" spans="1:13" s="7" customFormat="1" ht="18.5" x14ac:dyDescent="0.45">
      <c r="A1" s="14" t="str">
        <f>bus</f>
        <v>United Energy</v>
      </c>
      <c r="B1" s="14"/>
      <c r="C1" s="14"/>
      <c r="D1" s="14"/>
      <c r="E1" s="14"/>
      <c r="F1" s="14"/>
      <c r="G1" s="14"/>
      <c r="H1" s="14"/>
      <c r="I1" s="14"/>
      <c r="J1" s="14"/>
      <c r="K1" s="14"/>
    </row>
    <row r="2" spans="1:13" s="7" customFormat="1" ht="18.5" x14ac:dyDescent="0.45">
      <c r="A2" s="54" t="str">
        <f>proj</f>
        <v>Infrastructure refresh risk</v>
      </c>
      <c r="B2" s="14"/>
      <c r="C2" s="14"/>
      <c r="D2" s="14"/>
      <c r="E2" s="14"/>
      <c r="F2" s="14"/>
      <c r="G2" s="14"/>
      <c r="H2" s="14"/>
      <c r="I2" s="14"/>
      <c r="J2" s="14"/>
      <c r="K2" s="14"/>
    </row>
    <row r="3" spans="1:13" s="2" customFormat="1" ht="18.5" x14ac:dyDescent="0.45">
      <c r="A3" s="163" t="s">
        <v>9</v>
      </c>
      <c r="B3" s="32"/>
      <c r="C3" s="32"/>
      <c r="D3" s="31"/>
      <c r="E3" s="31"/>
      <c r="F3" s="31"/>
      <c r="G3" s="31"/>
      <c r="H3" s="31"/>
      <c r="I3" s="31"/>
      <c r="J3" s="31"/>
      <c r="K3" s="31"/>
      <c r="L3" s="7"/>
      <c r="M3" s="7"/>
    </row>
    <row r="4" spans="1:13" s="2" customFormat="1" ht="18.5" x14ac:dyDescent="0.45">
      <c r="A4" s="32"/>
      <c r="B4" s="32"/>
      <c r="C4" s="32"/>
      <c r="D4" s="31"/>
      <c r="E4" s="31"/>
      <c r="F4" s="31"/>
      <c r="G4" s="31"/>
      <c r="H4" s="31"/>
      <c r="I4" s="31"/>
      <c r="J4" s="31"/>
      <c r="K4" s="31"/>
      <c r="L4" s="7"/>
      <c r="M4" s="7"/>
    </row>
    <row r="5" spans="1:13" s="2" customFormat="1" ht="14.5" x14ac:dyDescent="0.35">
      <c r="A5" s="18" t="s">
        <v>113</v>
      </c>
      <c r="B5" s="18"/>
      <c r="C5" s="18"/>
      <c r="D5" s="18"/>
      <c r="E5" s="18"/>
      <c r="F5" s="18"/>
      <c r="G5" s="18"/>
      <c r="H5" s="18"/>
      <c r="I5" s="18"/>
      <c r="J5" s="18"/>
      <c r="K5" s="18"/>
      <c r="L5" s="7"/>
      <c r="M5" s="7"/>
    </row>
    <row r="6" spans="1:13" s="2" customFormat="1" ht="13" x14ac:dyDescent="0.3">
      <c r="A6" s="8"/>
      <c r="B6" s="8"/>
      <c r="C6" s="8"/>
      <c r="D6" s="4"/>
      <c r="E6" s="8"/>
      <c r="F6" s="8"/>
      <c r="G6" s="8"/>
      <c r="H6" s="8"/>
      <c r="I6" s="8"/>
      <c r="J6" s="8"/>
      <c r="K6" s="8"/>
      <c r="L6" s="7"/>
      <c r="M6" s="7"/>
    </row>
    <row r="7" spans="1:13" s="2" customFormat="1" ht="26" x14ac:dyDescent="0.3">
      <c r="E7" s="343"/>
      <c r="F7" s="193" t="s">
        <v>160</v>
      </c>
      <c r="G7" s="192" t="s">
        <v>158</v>
      </c>
      <c r="H7" s="192" t="s">
        <v>159</v>
      </c>
      <c r="I7" s="129" t="s">
        <v>85</v>
      </c>
    </row>
    <row r="8" spans="1:13" s="2" customFormat="1" ht="13" x14ac:dyDescent="0.3">
      <c r="C8" s="27" t="s">
        <v>1</v>
      </c>
      <c r="D8" s="27"/>
      <c r="E8" s="146"/>
      <c r="F8" s="427">
        <f>output_dollars</f>
        <v>46203</v>
      </c>
      <c r="G8" s="426">
        <f>output_dollars</f>
        <v>46203</v>
      </c>
      <c r="H8" s="426">
        <f>output_dollars</f>
        <v>46203</v>
      </c>
      <c r="I8" s="426">
        <f>output_dollars</f>
        <v>46203</v>
      </c>
    </row>
    <row r="9" spans="1:13" s="2" customFormat="1" ht="13" x14ac:dyDescent="0.3">
      <c r="C9" s="67" t="str" cm="1">
        <f t="array" ref="C9:C12">options</f>
        <v>Option 1 (base case)</v>
      </c>
      <c r="D9" s="194" t="str">
        <f>INDEX(Assumptions!$E$14:$E$17, MATCH(C9, Assumptions!$C$14:$C$17,0))</f>
        <v>Maintain status quo</v>
      </c>
      <c r="E9" s="94"/>
      <c r="F9" s="196">
        <f>IF(Data!$C9, "", INDEX(Consol!$F$15:$F$68, MATCH($C9&amp;G$7, Consol!$D$15:$D$68,0))/mill_conv)</f>
        <v>-15.109265692550956</v>
      </c>
      <c r="G9" s="94">
        <v>0</v>
      </c>
      <c r="H9" s="94">
        <f>IF(Data!$C9, "", INDEX(Consol!$F$15:$F$68, MATCH($C9&amp;H$7, Consol!$D$15:$D$68,0))/mill_conv)</f>
        <v>0</v>
      </c>
      <c r="I9" s="94">
        <v>0</v>
      </c>
    </row>
    <row r="10" spans="1:13" s="2" customFormat="1" ht="13" customHeight="1" x14ac:dyDescent="0.3">
      <c r="C10" s="67" t="str">
        <v>Option 2</v>
      </c>
      <c r="D10" s="195" t="str">
        <f>INDEX(Assumptions!$E$14:$E$17, MATCH(C10, Assumptions!$C$14:$C$17,0))</f>
        <v>Maintain existing infrastructure with more frequent upgrades</v>
      </c>
      <c r="E10" s="195"/>
      <c r="F10" s="94">
        <f>G10+IF(Data!$C9, "", INDEX(Consol!$F$15:$F$68, MATCH($C9&amp;G$7, Consol!$D$15:$D$68,0))/mill_conv)</f>
        <v>-26.812945025437962</v>
      </c>
      <c r="G10" s="94">
        <f>IF(Data!$C10, "", INDEX(Consol!$F$15:$F$68, MATCH($C10&amp;G$7, Consol!$D$15:$D$68,0))/mill_conv)</f>
        <v>-11.703679332887008</v>
      </c>
      <c r="H10" s="94">
        <f>IF(Data!$C10, "", INDEX(Consol!$F$15:$F$68, MATCH($C10&amp;H$7, Consol!$D$15:$D$68,0))/mill_conv)</f>
        <v>72.94064035257766</v>
      </c>
      <c r="I10" s="94">
        <f>IF(Data!$C10, "", INDEX(Consol!$F$15:$F$68, MATCH($C10&amp;I$7, Consol!$D$15:$D$68,0))/mill_conv)</f>
        <v>61.236961019690654</v>
      </c>
    </row>
    <row r="11" spans="1:13" s="2" customFormat="1" ht="13" x14ac:dyDescent="0.3">
      <c r="C11" s="67" t="str">
        <v>Option 3</v>
      </c>
      <c r="D11" s="195" t="str">
        <f>INDEX(Assumptions!$E$14:$E$17, MATCH(C11, Assumptions!$C$14:$C$17,0))</f>
        <v>Criteria-based IT infrastructure refresh</v>
      </c>
      <c r="E11" s="195"/>
      <c r="F11" s="94">
        <f>G11+IF(Data!$C9, "", INDEX(Consol!$F$15:$F$68, MATCH($C9&amp;G$7, Consol!$D$15:$D$68,0))/mill_conv)</f>
        <v>-32.625750333243644</v>
      </c>
      <c r="G11" s="94">
        <f>IF(Data!$C11, "", INDEX(Consol!$F$15:$F$68, MATCH($C11&amp;G$7, Consol!$D$15:$D$68,0))/mill_conv)</f>
        <v>-17.516484640692692</v>
      </c>
      <c r="H11" s="94">
        <f>IF(Data!$C11, "", INDEX(Consol!$F$15:$F$68, MATCH($C11&amp;H$7, Consol!$D$15:$D$68,0))/mill_conv)</f>
        <v>88.874124326881983</v>
      </c>
      <c r="I11" s="94">
        <f>IF(Data!$C11, "", INDEX(Consol!$F$15:$F$68, MATCH($C11&amp;I$7, Consol!$D$15:$D$68,0))/mill_conv)</f>
        <v>71.357639686189273</v>
      </c>
      <c r="M11" s="56"/>
    </row>
    <row r="12" spans="1:13" s="2" customFormat="1" ht="13" x14ac:dyDescent="0.3">
      <c r="C12" s="67" t="str">
        <v>Option 4</v>
      </c>
      <c r="D12" s="195" t="str">
        <f>INDEX(Assumptions!$E$14:$E$17, MATCH(C12, Assumptions!$C$14:$C$17,0))</f>
        <v>Public cloud infrastructure refresh</v>
      </c>
      <c r="E12" s="195"/>
      <c r="F12" s="94">
        <f>G12+IF(Data!$C9, "", INDEX(Consol!$F$15:$F$68, MATCH($C9&amp;G$7, Consol!$D$15:$D$68,0))/mill_conv)</f>
        <v>-38.537391968106284</v>
      </c>
      <c r="G12" s="94">
        <f>IF(Data!$C12, "", INDEX(Consol!$F$15:$F$68, MATCH($C12&amp;G$7, Consol!$D$15:$D$68,0))/mill_conv)</f>
        <v>-23.428126275555329</v>
      </c>
      <c r="H12" s="94">
        <f>IF(Data!$C12, "", INDEX(Consol!$F$15:$F$68, MATCH($C12&amp;H$7, Consol!$D$15:$D$68,0))/mill_conv)</f>
        <v>87.513534993291501</v>
      </c>
      <c r="I12" s="94">
        <f>IF(Data!$C12, "", INDEX(Consol!$F$15:$F$68, MATCH($C12&amp;I$7, Consol!$D$15:$D$68,0))/mill_conv)</f>
        <v>64.085408717736172</v>
      </c>
    </row>
    <row r="13" spans="1:13" s="2" customFormat="1" ht="13.5" x14ac:dyDescent="0.3">
      <c r="C13" s="67"/>
      <c r="D13" s="67"/>
      <c r="E13" s="80"/>
      <c r="F13"/>
      <c r="H13" s="8"/>
    </row>
    <row r="14" spans="1:13" s="2" customFormat="1" ht="13.5" x14ac:dyDescent="0.3">
      <c r="C14" s="67"/>
      <c r="D14" s="67"/>
      <c r="E14" s="80"/>
      <c r="F14"/>
      <c r="H14" s="8"/>
    </row>
    <row r="15" spans="1:13" s="2" customFormat="1" ht="13.5" x14ac:dyDescent="0.3">
      <c r="E15" s="129" t="s">
        <v>85</v>
      </c>
      <c r="F15"/>
      <c r="H15" s="8"/>
    </row>
    <row r="16" spans="1:13" s="2" customFormat="1" ht="13.5" x14ac:dyDescent="0.3">
      <c r="C16" s="25" t="s">
        <v>12</v>
      </c>
      <c r="D16" s="27"/>
      <c r="E16" s="426">
        <f>output_dollars</f>
        <v>46203</v>
      </c>
      <c r="F16"/>
      <c r="H16" s="8"/>
    </row>
    <row r="17" spans="1:13" s="2" customFormat="1" ht="13.5" x14ac:dyDescent="0.3">
      <c r="C17" s="33" t="str">
        <f>INDEX($C$9:$C$12,MATCH(E17, $I$9:$I$12,0))</f>
        <v>Option 3</v>
      </c>
      <c r="D17" s="47" t="str">
        <f>INDEX($D$9:$D$12,MATCH(E17, $I$9:$I$12,0))</f>
        <v>Criteria-based IT infrastructure refresh</v>
      </c>
      <c r="E17" s="95">
        <f>_xlfn.MAXIFS(I9:I12, Data!$C$9:$C$12,FALSE)</f>
        <v>71.357639686189273</v>
      </c>
      <c r="F17"/>
    </row>
    <row r="18" spans="1:13" s="2" customFormat="1" ht="13.5" x14ac:dyDescent="0.3">
      <c r="F18"/>
    </row>
    <row r="19" spans="1:13" x14ac:dyDescent="0.3"/>
    <row r="20" spans="1:13" x14ac:dyDescent="0.3"/>
    <row r="21" spans="1:13" x14ac:dyDescent="0.3"/>
    <row r="22" spans="1:13" ht="14.5" x14ac:dyDescent="0.35">
      <c r="A22" s="18" t="s">
        <v>67</v>
      </c>
      <c r="B22" s="18"/>
      <c r="C22" s="18"/>
      <c r="D22" s="18"/>
      <c r="E22" s="18"/>
      <c r="F22" s="18"/>
      <c r="G22" s="18"/>
      <c r="H22" s="18"/>
      <c r="I22" s="18"/>
      <c r="J22" s="18"/>
      <c r="K22" s="18"/>
      <c r="L22" s="7"/>
      <c r="M22" s="7"/>
    </row>
    <row r="23" spans="1:13" x14ac:dyDescent="0.3"/>
    <row r="24" spans="1:13" s="7" customFormat="1" ht="13" x14ac:dyDescent="0.3">
      <c r="C24" s="13" t="s">
        <v>16</v>
      </c>
    </row>
    <row r="25" spans="1:13" s="7" customFormat="1" ht="13" x14ac:dyDescent="0.3">
      <c r="C25" s="81" t="str">
        <f>C17</f>
        <v>Option 3</v>
      </c>
    </row>
    <row r="26" spans="1:13" s="7" customFormat="1" ht="13" x14ac:dyDescent="0.3">
      <c r="E26" s="11"/>
    </row>
    <row r="27" spans="1:13" s="7" customFormat="1" ht="13" x14ac:dyDescent="0.3"/>
    <row r="28" spans="1:13" s="7" customFormat="1" ht="13" x14ac:dyDescent="0.3">
      <c r="C28" s="49" t="s">
        <v>17</v>
      </c>
      <c r="D28" s="425">
        <f>output_dollars</f>
        <v>46203</v>
      </c>
      <c r="E28" s="53" t="str">
        <f>'Option1 (base case)'!I8</f>
        <v>2026-27</v>
      </c>
      <c r="F28" s="53" t="str">
        <f>'Option1 (base case)'!J8</f>
        <v>2027-28</v>
      </c>
      <c r="G28" s="53" t="str">
        <f>'Option1 (base case)'!K8</f>
        <v>2028-29</v>
      </c>
      <c r="H28" s="53" t="str">
        <f>'Option1 (base case)'!L8</f>
        <v>2029-30</v>
      </c>
      <c r="I28" s="53" t="str">
        <f>'Option1 (base case)'!M8</f>
        <v>2030-31</v>
      </c>
      <c r="K28" s="53" t="s">
        <v>101</v>
      </c>
    </row>
    <row r="29" spans="1:13" s="7" customFormat="1" ht="13" x14ac:dyDescent="0.3">
      <c r="C29" s="4" t="s">
        <v>18</v>
      </c>
      <c r="E29" s="96">
        <f>(-INDEX(Consol!I$15:I$68,MATCH($C$25&amp;"Incremental capital expenditure",Consol!$D$15:$D$68,0))-INDEX(Consol!I$15:I$68,MATCH("Option 1 (base case)"&amp;"Incremental capital expenditure",Consol!$D$15:$D$68,0)))/mill_conv</f>
        <v>10.754549638355</v>
      </c>
      <c r="F29" s="96">
        <f>(-INDEX(Consol!J$15:J$68,MATCH($C$25&amp;"Incremental capital expenditure",Consol!$D$15:$D$68,0))-INDEX(Consol!J$15:J$68,MATCH("Option 1 (base case)"&amp;"Incremental capital expenditure",Consol!$D$15:$D$68,0)))/mill_conv</f>
        <v>8.720669939055</v>
      </c>
      <c r="G29" s="96">
        <f>(-INDEX(Consol!K$15:K$68,MATCH($C$25&amp;"Incremental capital expenditure",Consol!$D$15:$D$68,0))-INDEX(Consol!K$15:K$68,MATCH("Option 1 (base case)"&amp;"Incremental capital expenditure",Consol!$D$15:$D$68,0)))/mill_conv</f>
        <v>7.8626341131749999</v>
      </c>
      <c r="H29" s="96">
        <f>(-INDEX(Consol!L$15:L$68,MATCH($C$25&amp;"Incremental capital expenditure",Consol!$D$15:$D$68,0))-INDEX(Consol!L$15:L$68,MATCH("Option 1 (base case)"&amp;"Incremental capital expenditure",Consol!$D$15:$D$68,0)))/mill_conv</f>
        <v>0.99898781253500002</v>
      </c>
      <c r="I29" s="96">
        <f>(-INDEX(Consol!M$15:M$68,MATCH($C$25&amp;"Incremental capital expenditure",Consol!$D$15:$D$68,0))-INDEX(Consol!M$15:M$68,MATCH("Option 1 (base case)"&amp;"Incremental capital expenditure",Consol!$D$15:$D$68,0)))/mill_conv</f>
        <v>1.0322559895650001</v>
      </c>
      <c r="J29" s="147"/>
      <c r="K29" s="147">
        <f>SUM(E29:I29)</f>
        <v>29.369097492685</v>
      </c>
    </row>
    <row r="30" spans="1:13" s="7" customFormat="1" ht="13" x14ac:dyDescent="0.3">
      <c r="C30" s="4" t="s">
        <v>19</v>
      </c>
      <c r="D30" s="11"/>
      <c r="E30" s="96">
        <f>(-INDEX(Consol!I$15:I$68,MATCH($C$25&amp;"Incremental operating expenditure",Consol!$D$15:$D$68,0))-INDEX(Consol!I$15:I$68,MATCH("Option 1 (base case)"&amp;"Incremental operating expenditure",Consol!$D$15:$D$68,0)))/mill_conv</f>
        <v>1.3405433540404992</v>
      </c>
      <c r="F30" s="96">
        <f>(-INDEX(Consol!J$15:J$68,MATCH($C$25&amp;"Incremental operating expenditure",Consol!$D$15:$D$68,0))-INDEX(Consol!J$15:J$68,MATCH("Option 1 (base case)"&amp;"Incremental operating expenditure",Consol!$D$15:$D$68,0)))/mill_conv</f>
        <v>2.3272241281373063</v>
      </c>
      <c r="G30" s="96">
        <f>(-INDEX(Consol!K$15:K$68,MATCH($C$25&amp;"Incremental operating expenditure",Consol!$D$15:$D$68,0))-INDEX(Consol!K$15:K$68,MATCH("Option 1 (base case)"&amp;"Incremental operating expenditure",Consol!$D$15:$D$68,0)))/mill_conv</f>
        <v>2.4788634485788461</v>
      </c>
      <c r="H30" s="96">
        <f>(-INDEX(Consol!L$15:L$68,MATCH($C$25&amp;"Incremental operating expenditure",Consol!$D$15:$D$68,0))-INDEX(Consol!L$15:L$68,MATCH("Option 1 (base case)"&amp;"Incremental operating expenditure",Consol!$D$15:$D$68,0)))/mill_conv</f>
        <v>1.7141334471266152</v>
      </c>
      <c r="I30" s="96">
        <f>(-INDEX(Consol!M$15:M$68,MATCH($C$25&amp;"Incremental operating expenditure",Consol!$D$15:$D$68,0))-INDEX(Consol!M$15:M$68,MATCH("Option 1 (base case)"&amp;"Incremental operating expenditure",Consol!$D$15:$D$68,0)))/mill_conv</f>
        <v>2.0206084329873866</v>
      </c>
      <c r="J30" s="147"/>
      <c r="K30" s="147">
        <f>SUM(E30:I30)</f>
        <v>9.8813728108706549</v>
      </c>
    </row>
    <row r="31" spans="1:13" s="7" customFormat="1" ht="13" x14ac:dyDescent="0.3"/>
    <row r="32" spans="1:13" s="7" customFormat="1" ht="13" x14ac:dyDescent="0.3"/>
    <row r="33" spans="1:11" s="7" customFormat="1" ht="13" x14ac:dyDescent="0.3"/>
    <row r="34" spans="1:11" s="7" customFormat="1" ht="14.5" x14ac:dyDescent="0.35">
      <c r="A34" s="18" t="s">
        <v>112</v>
      </c>
      <c r="B34" s="18"/>
      <c r="C34" s="18"/>
      <c r="D34" s="18"/>
      <c r="E34" s="18"/>
      <c r="F34" s="18"/>
      <c r="G34" s="18"/>
      <c r="H34" s="18"/>
      <c r="I34" s="18"/>
      <c r="J34" s="18"/>
      <c r="K34" s="18"/>
    </row>
    <row r="35" spans="1:11" s="7" customFormat="1" ht="13" x14ac:dyDescent="0.3"/>
    <row r="36" spans="1:11" s="7" customFormat="1" ht="15.5" x14ac:dyDescent="0.35">
      <c r="C36" s="127"/>
      <c r="D36" s="11"/>
    </row>
    <row r="37" spans="1:11" s="7" customFormat="1" ht="13" x14ac:dyDescent="0.3"/>
    <row r="38" spans="1:11" s="7" customFormat="1" ht="13" x14ac:dyDescent="0.3"/>
    <row r="39" spans="1:11" s="7" customFormat="1" ht="13" x14ac:dyDescent="0.3"/>
    <row r="40" spans="1:11" s="7" customFormat="1" ht="13" x14ac:dyDescent="0.3"/>
    <row r="41" spans="1:11" s="7" customFormat="1" ht="13" x14ac:dyDescent="0.3"/>
    <row r="42" spans="1:11" s="7" customFormat="1" ht="13" x14ac:dyDescent="0.3"/>
    <row r="43" spans="1:11" s="7" customFormat="1" ht="13" x14ac:dyDescent="0.3"/>
    <row r="44" spans="1:11" s="7" customFormat="1" ht="13" x14ac:dyDescent="0.3"/>
    <row r="45" spans="1:11" s="7" customFormat="1" ht="13" x14ac:dyDescent="0.3"/>
    <row r="46" spans="1:11" s="7" customFormat="1" ht="13" x14ac:dyDescent="0.3"/>
    <row r="47" spans="1:11" s="7" customFormat="1" ht="13" x14ac:dyDescent="0.3"/>
    <row r="48" spans="1:11" s="7" customFormat="1" ht="13" x14ac:dyDescent="0.3"/>
    <row r="49" s="7" customFormat="1" ht="13" x14ac:dyDescent="0.3"/>
    <row r="50" s="7" customFormat="1" ht="13" x14ac:dyDescent="0.3"/>
    <row r="51" s="7" customFormat="1" ht="13" x14ac:dyDescent="0.3"/>
    <row r="52" s="7" customFormat="1" ht="13" x14ac:dyDescent="0.3"/>
    <row r="53" s="7" customFormat="1" ht="13" x14ac:dyDescent="0.3"/>
    <row r="54" s="7" customFormat="1" ht="13" x14ac:dyDescent="0.3"/>
    <row r="55" s="7" customFormat="1" ht="13" x14ac:dyDescent="0.3"/>
    <row r="56" s="7" customFormat="1" ht="13" x14ac:dyDescent="0.3"/>
    <row r="57" s="7" customFormat="1" ht="13" x14ac:dyDescent="0.3"/>
    <row r="58" s="7" customFormat="1" ht="13" x14ac:dyDescent="0.3"/>
    <row r="59" s="7" customFormat="1" ht="13" x14ac:dyDescent="0.3"/>
    <row r="60" s="7" customFormat="1" ht="13" x14ac:dyDescent="0.3"/>
    <row r="61" s="7" customFormat="1" ht="13" x14ac:dyDescent="0.3"/>
    <row r="62" s="7" customFormat="1" ht="13" x14ac:dyDescent="0.3"/>
    <row r="63" s="7" customFormat="1" ht="13" x14ac:dyDescent="0.3"/>
    <row r="64" s="7" customFormat="1" ht="13" x14ac:dyDescent="0.3"/>
    <row r="65" spans="1:11" s="7" customFormat="1" ht="13" x14ac:dyDescent="0.3"/>
    <row r="66" spans="1:11" s="7" customFormat="1" ht="14.5" x14ac:dyDescent="0.35">
      <c r="A66" s="18" t="s">
        <v>114</v>
      </c>
      <c r="B66" s="18"/>
      <c r="C66" s="18"/>
      <c r="D66" s="18"/>
      <c r="E66" s="18"/>
      <c r="F66" s="18"/>
      <c r="G66" s="18"/>
      <c r="H66" s="18"/>
      <c r="I66" s="18"/>
      <c r="J66" s="18"/>
      <c r="K66" s="18"/>
    </row>
    <row r="67" spans="1:11" s="7" customFormat="1" ht="13" x14ac:dyDescent="0.3"/>
    <row r="68" spans="1:11" s="7" customFormat="1" ht="13" x14ac:dyDescent="0.3"/>
    <row r="69" spans="1:11" s="7" customFormat="1" ht="13" x14ac:dyDescent="0.3">
      <c r="C69" s="13" t="s">
        <v>27</v>
      </c>
    </row>
    <row r="70" spans="1:11" s="7" customFormat="1" ht="13" x14ac:dyDescent="0.3">
      <c r="C70" s="12" t="s">
        <v>168</v>
      </c>
    </row>
    <row r="71" spans="1:11" s="7" customFormat="1" ht="13" x14ac:dyDescent="0.3"/>
    <row r="72" spans="1:11" s="7" customFormat="1" ht="13" x14ac:dyDescent="0.3"/>
    <row r="73" spans="1:11" s="7" customFormat="1" ht="13" x14ac:dyDescent="0.3">
      <c r="C73" s="49" t="str">
        <f>C70</f>
        <v>Incremental Capital expenditure</v>
      </c>
      <c r="D73" s="424">
        <f>output_dollars</f>
        <v>46203</v>
      </c>
      <c r="E73" s="53" t="str">
        <f>'Option1 (base case)'!I8</f>
        <v>2026-27</v>
      </c>
      <c r="F73" s="53" t="str">
        <f>'Option1 (base case)'!J8</f>
        <v>2027-28</v>
      </c>
      <c r="G73" s="53" t="str">
        <f>'Option1 (base case)'!K8</f>
        <v>2028-29</v>
      </c>
      <c r="H73" s="53" t="str">
        <f>'Option1 (base case)'!L8</f>
        <v>2029-30</v>
      </c>
      <c r="I73" s="53" t="str">
        <f>'Option1 (base case)'!M8</f>
        <v>2030-31</v>
      </c>
      <c r="K73" s="53" t="s">
        <v>101</v>
      </c>
    </row>
    <row r="74" spans="1:11" s="7" customFormat="1" ht="13" x14ac:dyDescent="0.3">
      <c r="C74" s="67" t="str">
        <f>Assumptions!C14</f>
        <v>Option 1 (base case)</v>
      </c>
      <c r="D74" s="67" t="str">
        <f>Assumptions!E14</f>
        <v>Maintain status quo</v>
      </c>
      <c r="E74" s="96">
        <f>IF(Data!$C9, "", INDEX(Consol!I$15:I$68,MATCH($C74&amp;$C$70,Consol!$D$15:$D$68,0))/mill_conv*INDEX(Data!$C$25:$C$32, MATCH($C$70, Data!$B$25:$B$32,0)))</f>
        <v>8.3407870316100006</v>
      </c>
      <c r="F74" s="96">
        <f>IF(Data!$C9, "", INDEX(Consol!J$15:J$68,MATCH($C74&amp;$C$70,Consol!$D$15:$D$68,0))/mill_conv*INDEX(Data!$C$25:$C$32, MATCH($C$70, Data!$B$25:$B$32,0)))</f>
        <v>3.079294</v>
      </c>
      <c r="G74" s="96">
        <f>IF(Data!$C9, "", INDEX(Consol!K$15:K$68,MATCH($C74&amp;$C$70,Consol!$D$15:$D$68,0))/mill_conv*INDEX(Data!$C$25:$C$32, MATCH($C$70, Data!$B$25:$B$32,0)))</f>
        <v>4.3469319999999998</v>
      </c>
      <c r="H74" s="96">
        <f>IF(Data!$C9, "", INDEX(Consol!L$15:L$68,MATCH($C74&amp;$C$70,Consol!$D$15:$D$68,0))/mill_conv*INDEX(Data!$C$25:$C$32, MATCH($C$70, Data!$B$25:$B$32,0)))</f>
        <v>2.0085980000000001</v>
      </c>
      <c r="I74" s="96">
        <f>IF(Data!$C9, "", INDEX(Consol!M$15:M$68,MATCH($C74&amp;$C$70,Consol!$D$15:$D$68,0))/mill_conv*INDEX(Data!$C$25:$C$32, MATCH($C$70, Data!$B$25:$B$32,0)))</f>
        <v>2.0085980000000001</v>
      </c>
      <c r="J74" s="147"/>
      <c r="K74" s="147">
        <f>IF(Data!$C9,"",SUM(E74:I74))</f>
        <v>19.784209031609997</v>
      </c>
    </row>
    <row r="75" spans="1:11" s="7" customFormat="1" ht="26" x14ac:dyDescent="0.3">
      <c r="C75" s="67" t="str">
        <f>Assumptions!C15</f>
        <v>Option 2</v>
      </c>
      <c r="D75" s="67" t="str">
        <f>Assumptions!E15</f>
        <v>Maintain existing infrastructure with more frequent upgrades</v>
      </c>
      <c r="E75" s="96">
        <f>IF(Data!$C10, "", INDEX(Consol!I$15:I$68,MATCH($C75&amp;$C$70,Consol!$D$15:$D$68,0))/mill_conv*INDEX(Data!$C$25:$C$32, MATCH($C$70, Data!$B$25:$B$32,0)))</f>
        <v>3.1010009222099999</v>
      </c>
      <c r="F75" s="96">
        <f>IF(Data!$C10, "", INDEX(Consol!J$15:J$68,MATCH($C75&amp;$C$70,Consol!$D$15:$D$68,0))/mill_conv*INDEX(Data!$C$25:$C$32, MATCH($C$70, Data!$B$25:$B$32,0)))</f>
        <v>3.1925628932349999</v>
      </c>
      <c r="G75" s="96">
        <f>IF(Data!$C10, "", INDEX(Consol!K$15:K$68,MATCH($C75&amp;$C$70,Consol!$D$15:$D$68,0))/mill_conv*INDEX(Data!$C$25:$C$32, MATCH($C$70, Data!$B$25:$B$32,0)))</f>
        <v>4.2796227086049994</v>
      </c>
      <c r="H75" s="96">
        <f>IF(Data!$C10, "", INDEX(Consol!L$15:L$68,MATCH($C75&amp;$C$70,Consol!$D$15:$D$68,0))/mill_conv*INDEX(Data!$C$25:$C$32, MATCH($C$70, Data!$B$25:$B$32,0)))</f>
        <v>4.4698521211049993</v>
      </c>
      <c r="I75" s="96">
        <f>IF(Data!$C10, "", INDEX(Consol!M$15:M$68,MATCH($C75&amp;$C$70,Consol!$D$15:$D$68,0))/mill_conv*INDEX(Data!$C$25:$C$32, MATCH($C$70, Data!$B$25:$B$32,0)))</f>
        <v>1.9918637778399999</v>
      </c>
      <c r="J75" s="147"/>
      <c r="K75" s="147">
        <f>IF(Data!$C10,"",SUM(E75:I75))</f>
        <v>17.034902422994996</v>
      </c>
    </row>
    <row r="76" spans="1:11" s="7" customFormat="1" ht="13" x14ac:dyDescent="0.3">
      <c r="C76" s="67" t="str">
        <f>Assumptions!C16</f>
        <v>Option 3</v>
      </c>
      <c r="D76" s="67" t="str">
        <f>Assumptions!E16</f>
        <v>Criteria-based IT infrastructure refresh</v>
      </c>
      <c r="E76" s="96">
        <f>IF(Data!$C11, "", INDEX(Consol!I$15:I$68,MATCH($C76&amp;$C$70,Consol!$D$15:$D$68,0))/mill_conv*INDEX(Data!$C$25:$C$32, MATCH($C$70, Data!$B$25:$B$32,0)))</f>
        <v>2.4137626067450002</v>
      </c>
      <c r="F76" s="96">
        <f>IF(Data!$C11, "", INDEX(Consol!J$15:J$68,MATCH($C76&amp;$C$70,Consol!$D$15:$D$68,0))/mill_conv*INDEX(Data!$C$25:$C$32, MATCH($C$70, Data!$B$25:$B$32,0)))</f>
        <v>5.6413759390549991</v>
      </c>
      <c r="G76" s="96">
        <f>IF(Data!$C11, "", INDEX(Consol!K$15:K$68,MATCH($C76&amp;$C$70,Consol!$D$15:$D$68,0))/mill_conv*INDEX(Data!$C$25:$C$32, MATCH($C$70, Data!$B$25:$B$32,0)))</f>
        <v>3.5157021131750001</v>
      </c>
      <c r="H76" s="96">
        <f>IF(Data!$C11, "", INDEX(Consol!L$15:L$68,MATCH($C76&amp;$C$70,Consol!$D$15:$D$68,0))/mill_conv*INDEX(Data!$C$25:$C$32, MATCH($C$70, Data!$B$25:$B$32,0)))</f>
        <v>-1.0096101874649999</v>
      </c>
      <c r="I76" s="96">
        <f>IF(Data!$C11, "", INDEX(Consol!M$15:M$68,MATCH($C76&amp;$C$70,Consol!$D$15:$D$68,0))/mill_conv*INDEX(Data!$C$25:$C$32, MATCH($C$70, Data!$B$25:$B$32,0)))</f>
        <v>-0.97634201043499991</v>
      </c>
      <c r="J76" s="147"/>
      <c r="K76" s="147">
        <f>IF(Data!$C11,"",SUM(E76:I76))</f>
        <v>9.584888461074998</v>
      </c>
    </row>
    <row r="77" spans="1:11" s="7" customFormat="1" ht="13" x14ac:dyDescent="0.3">
      <c r="C77" s="67" t="str">
        <f>Assumptions!C17</f>
        <v>Option 4</v>
      </c>
      <c r="D77" s="67" t="str">
        <f>Assumptions!E17</f>
        <v>Public cloud infrastructure refresh</v>
      </c>
      <c r="E77" s="96">
        <f>IF(Data!$C12, "", INDEX(Consol!I$15:I$68,MATCH($C77&amp;$C$70,Consol!$D$15:$D$68,0))/mill_conv*INDEX(Data!$C$25:$C$32, MATCH($C$70, Data!$B$25:$B$32,0)))</f>
        <v>1.0849914054200001</v>
      </c>
      <c r="F77" s="96">
        <f>IF(Data!$C12, "", INDEX(Consol!J$15:J$68,MATCH($C77&amp;$C$70,Consol!$D$15:$D$68,0))/mill_conv*INDEX(Data!$C$25:$C$32, MATCH($C$70, Data!$B$25:$B$32,0)))</f>
        <v>1.0663746441549999</v>
      </c>
      <c r="G77" s="96">
        <f>IF(Data!$C12, "", INDEX(Consol!K$15:K$68,MATCH($C77&amp;$C$70,Consol!$D$15:$D$68,0))/mill_conv*INDEX(Data!$C$25:$C$32, MATCH($C$70, Data!$B$25:$B$32,0)))</f>
        <v>-2.5702254947399998</v>
      </c>
      <c r="H77" s="96">
        <f>IF(Data!$C12, "", INDEX(Consol!L$15:L$68,MATCH($C77&amp;$C$70,Consol!$D$15:$D$68,0))/mill_conv*INDEX(Data!$C$25:$C$32, MATCH($C$70, Data!$B$25:$B$32,0)))</f>
        <v>-1.4577553167199999</v>
      </c>
      <c r="I77" s="96">
        <f>IF(Data!$C12, "", INDEX(Consol!M$15:M$68,MATCH($C77&amp;$C$70,Consol!$D$15:$D$68,0))/mill_conv*INDEX(Data!$C$25:$C$32, MATCH($C$70, Data!$B$25:$B$32,0)))</f>
        <v>-1.368731166815</v>
      </c>
      <c r="J77" s="147"/>
      <c r="K77" s="147">
        <f>IF(Data!$C12,"",SUM(E77:I77))</f>
        <v>-3.2453459286999999</v>
      </c>
    </row>
    <row r="78" spans="1:11" s="7" customFormat="1" ht="13" x14ac:dyDescent="0.3">
      <c r="C78" s="67"/>
      <c r="D78" s="67"/>
      <c r="E78" s="29"/>
      <c r="F78" s="29"/>
      <c r="G78" s="29"/>
      <c r="H78" s="29"/>
      <c r="I78" s="29"/>
    </row>
    <row r="79" spans="1:11" s="7" customFormat="1" ht="13" x14ac:dyDescent="0.3">
      <c r="C79" s="11"/>
      <c r="D79" s="11"/>
    </row>
    <row r="80" spans="1:11" s="7" customFormat="1" ht="13" x14ac:dyDescent="0.3">
      <c r="C80" s="11"/>
      <c r="D80" s="11"/>
    </row>
    <row r="81" spans="1:11" s="7" customFormat="1" ht="13" x14ac:dyDescent="0.3"/>
    <row r="82" spans="1:11" s="7" customFormat="1" ht="13" x14ac:dyDescent="0.3">
      <c r="A82" s="31"/>
      <c r="B82" s="31"/>
      <c r="C82" s="31"/>
    </row>
    <row r="83" spans="1:11" s="7" customFormat="1" ht="13" x14ac:dyDescent="0.3">
      <c r="A83" s="31"/>
      <c r="B83" s="31"/>
      <c r="C83" s="31"/>
    </row>
    <row r="84" spans="1:11" s="7" customFormat="1" ht="13" x14ac:dyDescent="0.3">
      <c r="A84" s="31"/>
      <c r="B84" s="31"/>
      <c r="C84" s="31"/>
      <c r="D84" s="50"/>
      <c r="G84" s="31"/>
      <c r="H84" s="31"/>
      <c r="I84" s="31"/>
      <c r="J84" s="31"/>
      <c r="K84" s="31"/>
    </row>
    <row r="85" spans="1:11" s="7" customFormat="1" ht="13" x14ac:dyDescent="0.3">
      <c r="A85" s="51" t="s">
        <v>3</v>
      </c>
      <c r="B85" s="51"/>
      <c r="C85" s="51"/>
      <c r="D85" s="51"/>
      <c r="E85" s="51" t="s">
        <v>10</v>
      </c>
      <c r="F85" s="51" t="s">
        <v>10</v>
      </c>
      <c r="G85" s="51" t="s">
        <v>10</v>
      </c>
      <c r="H85" s="51" t="s">
        <v>10</v>
      </c>
      <c r="I85" s="51" t="s">
        <v>10</v>
      </c>
      <c r="J85" s="51" t="s">
        <v>10</v>
      </c>
      <c r="K85" s="51" t="s">
        <v>10</v>
      </c>
    </row>
    <row r="86" spans="1:11" s="7" customFormat="1" ht="13" x14ac:dyDescent="0.3"/>
    <row r="87" spans="1:11" s="7" customFormat="1" ht="13" x14ac:dyDescent="0.3"/>
    <row r="88" spans="1:11" s="7" customFormat="1" ht="13" x14ac:dyDescent="0.3"/>
    <row r="89" spans="1:11" s="7" customFormat="1" ht="13" x14ac:dyDescent="0.3"/>
    <row r="90" spans="1:11" s="7" customFormat="1" ht="13" x14ac:dyDescent="0.3"/>
    <row r="91" spans="1:11" s="7" customFormat="1" ht="13" x14ac:dyDescent="0.3"/>
    <row r="92" spans="1:11" s="7" customFormat="1" ht="13" x14ac:dyDescent="0.3"/>
    <row r="93" spans="1:11" s="7" customFormat="1" ht="13" x14ac:dyDescent="0.3"/>
    <row r="94" spans="1:11" s="7" customFormat="1" ht="13" x14ac:dyDescent="0.3"/>
    <row r="95" spans="1:11" s="7" customFormat="1" ht="13" x14ac:dyDescent="0.3"/>
    <row r="96" spans="1:11" s="7" customFormat="1" ht="13" x14ac:dyDescent="0.3"/>
    <row r="97" s="7" customFormat="1" ht="13" x14ac:dyDescent="0.3"/>
    <row r="98" s="7" customFormat="1" ht="13" x14ac:dyDescent="0.3"/>
    <row r="99" s="7" customFormat="1" ht="13" x14ac:dyDescent="0.3"/>
    <row r="100" s="7" customFormat="1" ht="13" x14ac:dyDescent="0.3"/>
    <row r="101" s="7" customFormat="1" ht="13" x14ac:dyDescent="0.3"/>
    <row r="102" s="7" customFormat="1" ht="13" x14ac:dyDescent="0.3"/>
    <row r="103" s="7" customFormat="1" ht="13" x14ac:dyDescent="0.3"/>
    <row r="104" s="7" customFormat="1" ht="13" x14ac:dyDescent="0.3"/>
    <row r="105" s="7" customFormat="1" ht="13" x14ac:dyDescent="0.3"/>
    <row r="106" s="7" customFormat="1" ht="13" x14ac:dyDescent="0.3"/>
    <row r="107" s="7" customFormat="1" ht="13" x14ac:dyDescent="0.3"/>
    <row r="108" s="7" customFormat="1" ht="13" x14ac:dyDescent="0.3"/>
    <row r="109" s="7" customFormat="1" ht="13" x14ac:dyDescent="0.3"/>
    <row r="110" s="7" customFormat="1" ht="13" x14ac:dyDescent="0.3"/>
    <row r="111" s="7" customFormat="1" ht="13" x14ac:dyDescent="0.3"/>
    <row r="112" s="7" customFormat="1" ht="13" x14ac:dyDescent="0.3"/>
    <row r="113" s="7" customFormat="1" ht="13" x14ac:dyDescent="0.3"/>
    <row r="114" s="7" customFormat="1" ht="13" x14ac:dyDescent="0.3"/>
    <row r="115" s="7" customFormat="1" ht="13" x14ac:dyDescent="0.3"/>
    <row r="116" s="7" customFormat="1" ht="13" x14ac:dyDescent="0.3"/>
    <row r="117" s="7" customFormat="1" ht="13" x14ac:dyDescent="0.3"/>
    <row r="118" s="7" customFormat="1" ht="13" x14ac:dyDescent="0.3"/>
    <row r="119" s="7" customFormat="1" ht="13" x14ac:dyDescent="0.3"/>
    <row r="120" s="7" customFormat="1" ht="13" x14ac:dyDescent="0.3"/>
    <row r="121" s="7" customFormat="1" ht="13" x14ac:dyDescent="0.3"/>
    <row r="122" s="7" customFormat="1" ht="13" x14ac:dyDescent="0.3"/>
    <row r="123" s="7" customFormat="1" ht="13" x14ac:dyDescent="0.3"/>
    <row r="124" s="7" customFormat="1" ht="13" x14ac:dyDescent="0.3"/>
    <row r="125" s="7" customFormat="1" ht="13" x14ac:dyDescent="0.3"/>
    <row r="126" s="7" customFormat="1" ht="13" x14ac:dyDescent="0.3"/>
    <row r="127" s="7" customFormat="1" ht="13" x14ac:dyDescent="0.3"/>
    <row r="128" s="7" customFormat="1" ht="13" x14ac:dyDescent="0.3"/>
    <row r="129" s="7" customFormat="1" ht="13" x14ac:dyDescent="0.3"/>
    <row r="130" s="7" customFormat="1" ht="13" x14ac:dyDescent="0.3"/>
    <row r="131" s="7" customFormat="1" ht="13" x14ac:dyDescent="0.3"/>
    <row r="132" s="7" customFormat="1" ht="13" x14ac:dyDescent="0.3"/>
    <row r="133" s="7" customFormat="1" ht="13" x14ac:dyDescent="0.3"/>
    <row r="134" s="7" customFormat="1" ht="13" x14ac:dyDescent="0.3"/>
    <row r="135" s="7" customFormat="1" ht="13" x14ac:dyDescent="0.3"/>
    <row r="136" s="7" customFormat="1" ht="13" x14ac:dyDescent="0.3"/>
    <row r="137" s="7" customFormat="1" ht="13" x14ac:dyDescent="0.3"/>
    <row r="138" s="7" customFormat="1" ht="13" x14ac:dyDescent="0.3"/>
    <row r="139" s="7" customFormat="1" ht="13" x14ac:dyDescent="0.3"/>
    <row r="140" s="7" customFormat="1" ht="13" x14ac:dyDescent="0.3"/>
    <row r="141" s="7" customFormat="1" ht="13" x14ac:dyDescent="0.3"/>
    <row r="142" s="7" customFormat="1" ht="13" x14ac:dyDescent="0.3"/>
    <row r="143" s="7" customFormat="1" ht="13" x14ac:dyDescent="0.3"/>
    <row r="144" s="7" customFormat="1" ht="13" x14ac:dyDescent="0.3"/>
    <row r="145" s="7" customFormat="1" ht="13" x14ac:dyDescent="0.3"/>
    <row r="146" s="7" customFormat="1" ht="13" x14ac:dyDescent="0.3"/>
    <row r="147" s="7" customFormat="1" ht="13" x14ac:dyDescent="0.3"/>
    <row r="148" s="7" customFormat="1" ht="13" x14ac:dyDescent="0.3"/>
    <row r="149" s="7" customFormat="1" ht="13" x14ac:dyDescent="0.3"/>
    <row r="150" s="7" customFormat="1" ht="13" x14ac:dyDescent="0.3"/>
    <row r="151" s="7" customFormat="1" ht="13" x14ac:dyDescent="0.3"/>
    <row r="152" s="7" customFormat="1" ht="13" x14ac:dyDescent="0.3"/>
    <row r="153" s="7" customFormat="1" ht="13" x14ac:dyDescent="0.3"/>
    <row r="154" s="7" customFormat="1" ht="13" x14ac:dyDescent="0.3"/>
    <row r="155" s="7" customFormat="1" ht="13" x14ac:dyDescent="0.3"/>
    <row r="156" s="7" customFormat="1" ht="13" x14ac:dyDescent="0.3"/>
    <row r="157" s="7" customFormat="1" ht="13" x14ac:dyDescent="0.3"/>
    <row r="158" s="7" customFormat="1" ht="13" x14ac:dyDescent="0.3"/>
    <row r="159" s="7" customFormat="1" ht="13" x14ac:dyDescent="0.3"/>
    <row r="160" s="7" customFormat="1" ht="13" x14ac:dyDescent="0.3"/>
    <row r="161" s="7" customFormat="1" ht="13" x14ac:dyDescent="0.3"/>
    <row r="162" s="7" customFormat="1" ht="13" x14ac:dyDescent="0.3"/>
    <row r="163" s="7" customFormat="1" ht="13" x14ac:dyDescent="0.3"/>
    <row r="164" s="7" customFormat="1" ht="13" x14ac:dyDescent="0.3"/>
    <row r="165" s="7" customFormat="1" ht="13" x14ac:dyDescent="0.3"/>
    <row r="166" s="7" customFormat="1" ht="13" x14ac:dyDescent="0.3"/>
    <row r="167" s="7" customFormat="1" ht="13" x14ac:dyDescent="0.3"/>
    <row r="168" s="7" customFormat="1" ht="13" x14ac:dyDescent="0.3"/>
    <row r="169" s="7" customFormat="1" ht="13" x14ac:dyDescent="0.3"/>
    <row r="170" s="7" customFormat="1" ht="13" x14ac:dyDescent="0.3"/>
    <row r="171" s="7" customFormat="1" ht="13" x14ac:dyDescent="0.3"/>
    <row r="172" s="7" customFormat="1" ht="13" x14ac:dyDescent="0.3"/>
    <row r="173" s="7" customFormat="1" ht="13" x14ac:dyDescent="0.3"/>
    <row r="174" s="7" customFormat="1" ht="13" x14ac:dyDescent="0.3"/>
    <row r="175" s="7" customFormat="1" ht="13" x14ac:dyDescent="0.3"/>
    <row r="176" s="7" customFormat="1" ht="13" x14ac:dyDescent="0.3"/>
    <row r="177" s="7" customFormat="1" ht="13" x14ac:dyDescent="0.3"/>
    <row r="178" s="7" customFormat="1" ht="13" x14ac:dyDescent="0.3"/>
    <row r="179" s="7" customFormat="1" ht="13" x14ac:dyDescent="0.3"/>
    <row r="180" s="7" customFormat="1" ht="13" x14ac:dyDescent="0.3"/>
    <row r="181" s="7" customFormat="1" ht="13" x14ac:dyDescent="0.3"/>
    <row r="182" s="7" customFormat="1" ht="13" x14ac:dyDescent="0.3"/>
    <row r="183" s="7" customFormat="1" ht="13" x14ac:dyDescent="0.3"/>
    <row r="184" s="7" customFormat="1" ht="13" x14ac:dyDescent="0.3"/>
    <row r="185" s="7" customFormat="1" ht="13" x14ac:dyDescent="0.3"/>
    <row r="186" s="7" customFormat="1" ht="13" x14ac:dyDescent="0.3"/>
    <row r="187" s="7" customFormat="1" ht="13" x14ac:dyDescent="0.3"/>
    <row r="188" s="7" customFormat="1" ht="13" x14ac:dyDescent="0.3"/>
    <row r="189" s="7" customFormat="1" ht="13" x14ac:dyDescent="0.3"/>
    <row r="190" s="7" customFormat="1" ht="13" x14ac:dyDescent="0.3"/>
    <row r="191" s="7" customFormat="1" ht="13" x14ac:dyDescent="0.3"/>
    <row r="192" s="7" customFormat="1" ht="13" x14ac:dyDescent="0.3"/>
    <row r="193" s="7" customFormat="1" ht="13" x14ac:dyDescent="0.3"/>
    <row r="194" s="7" customFormat="1" ht="13" x14ac:dyDescent="0.3"/>
    <row r="195" s="7" customFormat="1" ht="13" x14ac:dyDescent="0.3"/>
    <row r="196" s="7" customFormat="1" ht="13" x14ac:dyDescent="0.3"/>
    <row r="197" s="7" customFormat="1" ht="13" x14ac:dyDescent="0.3"/>
    <row r="198" s="7" customFormat="1" ht="13" x14ac:dyDescent="0.3"/>
    <row r="199" s="7" customFormat="1" ht="13" x14ac:dyDescent="0.3"/>
    <row r="200" s="7" customFormat="1" ht="13" x14ac:dyDescent="0.3"/>
    <row r="201" s="7" customFormat="1" ht="13" x14ac:dyDescent="0.3"/>
    <row r="202" s="7" customFormat="1" ht="13" x14ac:dyDescent="0.3"/>
    <row r="203" s="7" customFormat="1" ht="13" x14ac:dyDescent="0.3"/>
    <row r="204" s="7" customFormat="1" ht="13" x14ac:dyDescent="0.3"/>
    <row r="205" s="7" customFormat="1" ht="13" x14ac:dyDescent="0.3"/>
    <row r="206" s="7" customFormat="1" ht="13" x14ac:dyDescent="0.3"/>
    <row r="207" s="7" customFormat="1" ht="13" x14ac:dyDescent="0.3"/>
    <row r="208" s="7" customFormat="1" ht="13" x14ac:dyDescent="0.3"/>
    <row r="209" s="7" customFormat="1" ht="13" x14ac:dyDescent="0.3"/>
    <row r="210" s="7" customFormat="1" ht="13" x14ac:dyDescent="0.3"/>
    <row r="211" s="7" customFormat="1" ht="13" x14ac:dyDescent="0.3"/>
    <row r="212" s="7" customFormat="1" ht="13" x14ac:dyDescent="0.3"/>
    <row r="213" s="7" customFormat="1" ht="13" x14ac:dyDescent="0.3"/>
    <row r="214" s="7" customFormat="1" ht="13" x14ac:dyDescent="0.3"/>
    <row r="215" s="7" customFormat="1" ht="13" x14ac:dyDescent="0.3"/>
    <row r="216" s="7" customFormat="1" ht="13" x14ac:dyDescent="0.3"/>
    <row r="217" s="7" customFormat="1" ht="13" x14ac:dyDescent="0.3"/>
    <row r="218" s="7" customFormat="1" ht="13" x14ac:dyDescent="0.3"/>
    <row r="219" s="7" customFormat="1" ht="13" x14ac:dyDescent="0.3"/>
    <row r="220" s="7" customFormat="1" ht="13" x14ac:dyDescent="0.3"/>
    <row r="221" s="7" customFormat="1" ht="13" x14ac:dyDescent="0.3"/>
    <row r="222" s="7" customFormat="1" ht="13" x14ac:dyDescent="0.3"/>
    <row r="223" s="7" customFormat="1" ht="1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sheetData>
  <pageMargins left="0.25" right="0.25" top="0.75" bottom="0.75" header="0.3" footer="0.3"/>
  <pageSetup paperSize="9" scale="3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1" id="{6E0000F2-4B34-40F0-A950-26A22E7F516A}">
            <xm:f>AND(Data!$C14, NOT(#REF!))</xm:f>
            <x14:dxf>
              <font>
                <color theme="0"/>
              </font>
            </x14:dxf>
          </x14:cfRule>
          <xm:sqref>C13:D13</xm:sqref>
        </x14:conditionalFormatting>
        <x14:conditionalFormatting xmlns:xm="http://schemas.microsoft.com/office/excel/2006/main">
          <x14:cfRule type="expression" priority="154" id="{02BC339A-D8F4-48E6-8B91-63EF4AEF9FF2}">
            <xm:f>Data!$C9</xm:f>
            <x14:dxf>
              <font>
                <color theme="0"/>
              </font>
            </x14:dxf>
          </x14:cfRule>
          <xm:sqref>C74:D77</xm:sqref>
        </x14:conditionalFormatting>
        <x14:conditionalFormatting xmlns:xm="http://schemas.microsoft.com/office/excel/2006/main">
          <x14:cfRule type="expression" priority="192" id="{02BC339A-D8F4-48E6-8B91-63EF4AEF9FF2}">
            <xm:f>Data!#REF!</xm:f>
            <x14:dxf>
              <font>
                <color theme="0"/>
              </font>
            </x14:dxf>
          </x14:cfRule>
          <xm:sqref>C78:D78</xm:sqref>
        </x14:conditionalFormatting>
        <x14:conditionalFormatting xmlns:xm="http://schemas.microsoft.com/office/excel/2006/main">
          <x14:cfRule type="expression" priority="193" id="{6E0000F2-4B34-40F0-A950-26A22E7F516A}">
            <xm:f>Data!$C9</xm:f>
            <x14:dxf>
              <font>
                <color theme="0"/>
              </font>
            </x14:dxf>
          </x14:cfRule>
          <xm:sqref>C14:D14 E9 C9:D12 G9:I12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5339C62-4493-47C4-B119-AC0AEF46FC91}">
          <x14:formula1>
            <xm:f>Data!$B$25:$B$32</xm:f>
          </x14:formula1>
          <xm:sqref>C70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sheetPr>
  <dimension ref="A1:P35"/>
  <sheetViews>
    <sheetView showGridLines="0" zoomScale="90" zoomScaleNormal="90" workbookViewId="0">
      <pane ySplit="2" topLeftCell="A3" activePane="bottomLeft" state="frozen"/>
      <selection activeCell="A101" sqref="A101"/>
      <selection pane="bottomLeft" activeCell="D1" sqref="D1"/>
    </sheetView>
  </sheetViews>
  <sheetFormatPr defaultColWidth="9" defaultRowHeight="13" x14ac:dyDescent="0.3"/>
  <cols>
    <col min="1" max="1" width="3.61328125" style="7" customWidth="1"/>
    <col min="2" max="2" width="2.61328125" style="7" customWidth="1"/>
    <col min="3" max="3" width="14.765625" style="7" customWidth="1"/>
    <col min="4" max="4" width="9.23046875" style="7" customWidth="1"/>
    <col min="5" max="5" width="16.3828125" style="7" customWidth="1"/>
    <col min="6" max="6" width="1.15234375" style="7" customWidth="1"/>
    <col min="7" max="7" width="14.765625" style="7" customWidth="1"/>
    <col min="8" max="8" width="12.84375" style="7" customWidth="1"/>
    <col min="9" max="9" width="11.4609375" style="7" customWidth="1"/>
    <col min="10" max="10" width="6.84375" style="7" customWidth="1"/>
    <col min="11" max="16" width="8.15234375" style="7" customWidth="1"/>
    <col min="17" max="19" width="9" style="7"/>
    <col min="20" max="20" width="17.61328125" style="7" customWidth="1"/>
    <col min="21" max="16384" width="9" style="7"/>
  </cols>
  <sheetData>
    <row r="1" spans="1:16" ht="18.5" x14ac:dyDescent="0.45">
      <c r="A1" s="14" t="str">
        <f>bus</f>
        <v>United Energy</v>
      </c>
      <c r="B1" s="14"/>
      <c r="C1" s="14"/>
      <c r="D1" s="14"/>
      <c r="E1" s="14"/>
      <c r="F1" s="14"/>
      <c r="G1" s="14"/>
      <c r="H1" s="14"/>
      <c r="I1" s="14"/>
      <c r="J1" s="14"/>
      <c r="K1" s="14"/>
      <c r="L1" s="14"/>
      <c r="M1" s="14"/>
      <c r="N1" s="14"/>
      <c r="O1" s="14"/>
      <c r="P1" s="14"/>
    </row>
    <row r="2" spans="1:16" ht="15.5" x14ac:dyDescent="0.35">
      <c r="A2" s="54" t="str">
        <f>proj</f>
        <v>Infrastructure refresh risk</v>
      </c>
      <c r="B2" s="18"/>
      <c r="C2" s="18"/>
      <c r="D2" s="18"/>
      <c r="E2" s="18"/>
      <c r="F2" s="18"/>
      <c r="G2" s="18"/>
      <c r="H2" s="18"/>
      <c r="I2" s="18"/>
      <c r="J2" s="18"/>
      <c r="K2" s="18"/>
      <c r="L2" s="18"/>
      <c r="M2" s="18"/>
      <c r="N2" s="18"/>
      <c r="O2" s="18"/>
      <c r="P2" s="18"/>
    </row>
    <row r="4" spans="1:16" s="1" customFormat="1" ht="14.5" x14ac:dyDescent="0.3">
      <c r="A4" s="17" t="s">
        <v>32</v>
      </c>
      <c r="B4" s="17"/>
      <c r="C4" s="15"/>
      <c r="D4" s="15"/>
      <c r="E4" s="15"/>
      <c r="F4" s="15"/>
      <c r="G4" s="15"/>
      <c r="H4" s="15"/>
      <c r="I4" s="15"/>
      <c r="J4" s="15"/>
      <c r="K4" s="16"/>
      <c r="L4" s="16"/>
      <c r="M4" s="16"/>
      <c r="N4" s="16"/>
      <c r="O4" s="16"/>
      <c r="P4" s="16"/>
    </row>
    <row r="5" spans="1:16" s="1" customFormat="1" x14ac:dyDescent="0.3">
      <c r="M5" s="11"/>
      <c r="N5" s="11"/>
      <c r="O5" s="11"/>
      <c r="P5" s="11"/>
    </row>
    <row r="6" spans="1:16" ht="12.75" customHeight="1" x14ac:dyDescent="0.3">
      <c r="C6" s="13" t="s">
        <v>6</v>
      </c>
      <c r="D6" s="62" t="s">
        <v>39</v>
      </c>
      <c r="E6" s="12" t="s">
        <v>31</v>
      </c>
    </row>
    <row r="7" spans="1:16" s="1" customFormat="1" ht="12.75" customHeight="1" x14ac:dyDescent="0.3">
      <c r="M7" s="11"/>
      <c r="N7" s="11"/>
      <c r="O7" s="11"/>
      <c r="P7" s="11"/>
    </row>
    <row r="8" spans="1:16" x14ac:dyDescent="0.3">
      <c r="C8" s="13" t="s">
        <v>7</v>
      </c>
      <c r="D8" s="13"/>
      <c r="E8" s="407" t="s">
        <v>427</v>
      </c>
      <c r="F8" s="407"/>
      <c r="G8" s="407"/>
      <c r="H8" s="407"/>
      <c r="I8" s="1"/>
      <c r="J8" s="1"/>
    </row>
    <row r="9" spans="1:16" x14ac:dyDescent="0.3">
      <c r="C9" s="13"/>
      <c r="D9" s="13"/>
    </row>
    <row r="10" spans="1:16" s="1" customFormat="1" x14ac:dyDescent="0.3">
      <c r="C10" s="3" t="s">
        <v>8</v>
      </c>
      <c r="D10" s="62" t="s">
        <v>39</v>
      </c>
      <c r="E10" s="58" t="s">
        <v>33</v>
      </c>
      <c r="F10" s="7"/>
      <c r="G10" s="34">
        <v>2024</v>
      </c>
      <c r="I10" s="63"/>
      <c r="J10" s="63"/>
    </row>
    <row r="11" spans="1:16" x14ac:dyDescent="0.3">
      <c r="I11" s="63"/>
      <c r="J11" s="63"/>
    </row>
    <row r="12" spans="1:16" x14ac:dyDescent="0.3">
      <c r="H12" s="37"/>
      <c r="I12" s="37"/>
      <c r="J12" s="37"/>
    </row>
    <row r="13" spans="1:16" s="67" customFormat="1" ht="13.5" x14ac:dyDescent="0.3">
      <c r="C13" s="68" t="s">
        <v>1</v>
      </c>
      <c r="D13" s="68"/>
      <c r="E13" s="68" t="s">
        <v>0</v>
      </c>
      <c r="F13" s="68"/>
      <c r="G13" s="68"/>
      <c r="H13" s="69"/>
      <c r="I13" s="69"/>
      <c r="J13" s="69"/>
      <c r="K13" s="69"/>
      <c r="L13"/>
    </row>
    <row r="14" spans="1:16" s="1" customFormat="1" ht="12.75" customHeight="1" x14ac:dyDescent="0.3">
      <c r="C14" s="59" t="str" cm="1">
        <f t="array" ref="C14:C17">options</f>
        <v>Option 1 (base case)</v>
      </c>
      <c r="D14" s="59"/>
      <c r="E14" s="232" t="s">
        <v>243</v>
      </c>
      <c r="F14" s="232"/>
      <c r="G14" s="232"/>
      <c r="H14" s="232"/>
      <c r="I14" s="232"/>
      <c r="J14" s="232"/>
      <c r="K14" s="232"/>
      <c r="L14"/>
    </row>
    <row r="15" spans="1:16" s="1" customFormat="1" ht="12.75" customHeight="1" x14ac:dyDescent="0.3">
      <c r="C15" s="59" t="str">
        <v>Option 2</v>
      </c>
      <c r="D15" s="59"/>
      <c r="E15" s="233" t="s">
        <v>430</v>
      </c>
      <c r="F15" s="233"/>
      <c r="G15" s="233"/>
      <c r="H15" s="233"/>
      <c r="I15" s="233"/>
      <c r="J15" s="233"/>
      <c r="K15" s="233"/>
      <c r="L15"/>
    </row>
    <row r="16" spans="1:16" s="1" customFormat="1" ht="12.75" customHeight="1" x14ac:dyDescent="0.3">
      <c r="C16" s="59" t="str">
        <v>Option 3</v>
      </c>
      <c r="D16" s="59"/>
      <c r="E16" s="233" t="s">
        <v>431</v>
      </c>
      <c r="F16" s="233"/>
      <c r="G16" s="233"/>
      <c r="H16" s="233"/>
      <c r="I16" s="233"/>
      <c r="J16" s="233"/>
      <c r="K16" s="233"/>
      <c r="L16"/>
    </row>
    <row r="17" spans="1:16" s="1" customFormat="1" ht="12.75" customHeight="1" x14ac:dyDescent="0.3">
      <c r="C17" s="59" t="str">
        <v>Option 4</v>
      </c>
      <c r="D17" s="59"/>
      <c r="E17" s="233" t="s">
        <v>432</v>
      </c>
      <c r="F17" s="233"/>
      <c r="G17" s="233"/>
      <c r="H17" s="233"/>
      <c r="I17" s="233"/>
      <c r="J17" s="233"/>
      <c r="K17" s="233"/>
      <c r="L17"/>
    </row>
    <row r="18" spans="1:16" s="1" customFormat="1" ht="12.75" customHeight="1" x14ac:dyDescent="0.3">
      <c r="C18"/>
      <c r="D18"/>
      <c r="E18"/>
      <c r="F18"/>
      <c r="G18"/>
      <c r="H18"/>
      <c r="I18"/>
      <c r="J18"/>
      <c r="K18"/>
      <c r="L18"/>
      <c r="M18"/>
    </row>
    <row r="19" spans="1:16" s="1" customFormat="1" ht="15.5" x14ac:dyDescent="0.35">
      <c r="E19" s="5"/>
      <c r="F19" s="5"/>
      <c r="L19" s="7"/>
    </row>
    <row r="20" spans="1:16" s="1" customFormat="1" ht="14.5" x14ac:dyDescent="0.3">
      <c r="A20" s="17" t="s">
        <v>123</v>
      </c>
      <c r="B20" s="17"/>
      <c r="C20" s="15"/>
      <c r="D20" s="15"/>
      <c r="E20" s="15"/>
      <c r="F20" s="15"/>
      <c r="G20" s="15"/>
      <c r="H20" s="15"/>
      <c r="I20" s="15"/>
      <c r="J20" s="15"/>
      <c r="K20" s="15"/>
      <c r="L20" s="15"/>
      <c r="M20" s="16"/>
      <c r="N20" s="16"/>
      <c r="O20" s="16"/>
      <c r="P20" s="16"/>
    </row>
    <row r="21" spans="1:16" s="1" customFormat="1" x14ac:dyDescent="0.3"/>
    <row r="22" spans="1:16" s="1" customFormat="1" x14ac:dyDescent="0.3">
      <c r="C22" s="1" t="s">
        <v>35</v>
      </c>
      <c r="G22" s="428">
        <f>EOMONTH(DATE(Assumptions!$G$10,INDEX(Data!$J$76:$J$77, MATCH(Assumptions!$E$10, Data!$I$76:$I$77,0)), 1),0)</f>
        <v>45473</v>
      </c>
      <c r="H22" s="65" t="s">
        <v>55</v>
      </c>
    </row>
    <row r="23" spans="1:16" s="1" customFormat="1" x14ac:dyDescent="0.3">
      <c r="C23" s="1" t="s">
        <v>124</v>
      </c>
      <c r="G23" s="84">
        <v>3.5000000000000003E-2</v>
      </c>
      <c r="H23" s="65" t="s">
        <v>48</v>
      </c>
      <c r="J23" s="65"/>
    </row>
    <row r="24" spans="1:16" s="1" customFormat="1" x14ac:dyDescent="0.3">
      <c r="J24" s="65"/>
    </row>
    <row r="25" spans="1:16" s="1" customFormat="1" x14ac:dyDescent="0.3">
      <c r="C25" s="1" t="s">
        <v>34</v>
      </c>
      <c r="G25" s="85" t="s">
        <v>36</v>
      </c>
      <c r="H25" s="65" t="s">
        <v>47</v>
      </c>
      <c r="J25" s="65"/>
    </row>
    <row r="26" spans="1:16" s="1" customFormat="1" x14ac:dyDescent="0.3"/>
    <row r="27" spans="1:16" x14ac:dyDescent="0.3">
      <c r="C27" s="7" t="s">
        <v>133</v>
      </c>
      <c r="G27" s="86">
        <v>5</v>
      </c>
      <c r="H27" s="65" t="s">
        <v>134</v>
      </c>
    </row>
    <row r="28" spans="1:16" s="1" customFormat="1" x14ac:dyDescent="0.3"/>
    <row r="29" spans="1:16" s="1" customFormat="1" x14ac:dyDescent="0.3">
      <c r="C29" s="1" t="s">
        <v>20</v>
      </c>
      <c r="G29" s="429">
        <v>46203</v>
      </c>
      <c r="H29" s="65" t="s">
        <v>46</v>
      </c>
      <c r="J29" s="65"/>
    </row>
    <row r="30" spans="1:16" s="1" customFormat="1" x14ac:dyDescent="0.3">
      <c r="C30" s="1" t="s">
        <v>56</v>
      </c>
      <c r="G30" s="430">
        <v>45473</v>
      </c>
      <c r="H30" s="65" t="s">
        <v>57</v>
      </c>
      <c r="J30" s="65"/>
    </row>
    <row r="35" spans="1:15" x14ac:dyDescent="0.3">
      <c r="A35" s="1"/>
      <c r="B35" s="1"/>
      <c r="C35" s="1"/>
      <c r="D35" s="1"/>
      <c r="E35" s="1"/>
      <c r="F35" s="1"/>
      <c r="G35" s="1"/>
      <c r="K35" s="1"/>
      <c r="L35" s="1"/>
      <c r="M35" s="1"/>
      <c r="N35" s="1"/>
      <c r="O35" s="1"/>
    </row>
  </sheetData>
  <mergeCells count="1">
    <mergeCell ref="E8:H8"/>
  </mergeCells>
  <pageMargins left="0.7" right="0.7" top="0.75" bottom="0.75" header="0.3" footer="0.3"/>
  <pageSetup paperSize="9"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4"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77F821-7C4E-4D40-87BE-74B4C1E5BB39}">
          <x14:formula1>
            <xm:f>Data!$Q$76:$Q$80</xm:f>
          </x14:formula1>
          <xm:sqref>G10</xm:sqref>
        </x14:dataValidation>
        <x14:dataValidation type="list" allowBlank="1" showInputMessage="1" showErrorMessage="1" xr:uid="{093A524C-E45A-4CD6-9037-0C9A8CB9BEDE}">
          <x14:formula1>
            <xm:f>Data!$I$76:$I$77</xm:f>
          </x14:formula1>
          <xm:sqref>E10</xm:sqref>
        </x14:dataValidation>
        <x14:dataValidation type="list" allowBlank="1" showInputMessage="1" showErrorMessage="1" xr:uid="{CF78587C-02EB-4781-9E81-D2199549B1B2}">
          <x14:formula1>
            <xm:f>Data!$B$76:$B$78</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79"/>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G13" sqref="G13:G7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4" t="str">
        <f>bus</f>
        <v>United Energy</v>
      </c>
      <c r="B1" s="14"/>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43" ht="18.5" x14ac:dyDescent="0.45">
      <c r="A2" s="54" t="str">
        <f>proj</f>
        <v>Infrastructure refresh risk</v>
      </c>
      <c r="B2" s="54"/>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43" ht="15.5" x14ac:dyDescent="0.35">
      <c r="A3" s="163" t="s">
        <v>102</v>
      </c>
      <c r="B3" s="5"/>
      <c r="C3" s="112"/>
      <c r="D3" s="82"/>
    </row>
    <row r="4" spans="1:43" x14ac:dyDescent="0.3">
      <c r="A4" s="132"/>
      <c r="B4" s="148"/>
      <c r="C4" s="188" t="str">
        <f>IF(INDEX(Misc_calcs!$D$39:$D$54, MATCH(A3, Misc_calcs!$B$39:$B$54,0)), Misc_calcs!$B$57, "")</f>
        <v/>
      </c>
    </row>
    <row r="5" spans="1:43" x14ac:dyDescent="0.3">
      <c r="C5" s="90"/>
      <c r="D5" s="89"/>
      <c r="E5" s="91"/>
      <c r="F5" s="91"/>
      <c r="G5" s="91"/>
      <c r="J5" s="92"/>
      <c r="K5" s="92"/>
      <c r="L5" s="92"/>
      <c r="M5" s="92"/>
      <c r="N5" s="92"/>
      <c r="O5" s="92"/>
      <c r="P5" s="92"/>
      <c r="Q5" s="92"/>
      <c r="R5" s="92"/>
      <c r="S5" s="92"/>
      <c r="T5" s="92"/>
      <c r="U5" s="92"/>
      <c r="V5" s="92"/>
      <c r="W5" s="92"/>
      <c r="X5" s="92"/>
      <c r="Y5" s="92"/>
      <c r="Z5" s="92"/>
      <c r="AA5" s="92"/>
      <c r="AB5" s="92"/>
      <c r="AC5" s="92"/>
      <c r="AD5" s="92"/>
      <c r="AE5" s="92"/>
      <c r="AF5" s="92"/>
      <c r="AG5" s="92"/>
    </row>
    <row r="6" spans="1:43" x14ac:dyDescent="0.3">
      <c r="A6" s="89" t="s">
        <v>71</v>
      </c>
      <c r="B6" s="89"/>
      <c r="C6" s="90"/>
      <c r="D6" s="89"/>
      <c r="E6" s="91"/>
      <c r="F6" s="91"/>
      <c r="G6" s="91"/>
      <c r="H6" s="128">
        <v>0</v>
      </c>
      <c r="I6" s="92">
        <f t="shared" ref="I6:AG6" si="0">H6+1</f>
        <v>1</v>
      </c>
      <c r="J6" s="92">
        <f t="shared" si="0"/>
        <v>2</v>
      </c>
      <c r="K6" s="92">
        <f t="shared" si="0"/>
        <v>3</v>
      </c>
      <c r="L6" s="92">
        <f t="shared" si="0"/>
        <v>4</v>
      </c>
      <c r="M6" s="92">
        <f t="shared" si="0"/>
        <v>5</v>
      </c>
      <c r="N6" s="92">
        <f t="shared" si="0"/>
        <v>6</v>
      </c>
      <c r="O6" s="92">
        <f t="shared" si="0"/>
        <v>7</v>
      </c>
      <c r="P6" s="92">
        <f t="shared" si="0"/>
        <v>8</v>
      </c>
      <c r="Q6" s="92">
        <f t="shared" si="0"/>
        <v>9</v>
      </c>
      <c r="R6" s="92">
        <f t="shared" si="0"/>
        <v>10</v>
      </c>
      <c r="S6" s="92">
        <f t="shared" si="0"/>
        <v>11</v>
      </c>
      <c r="T6" s="92">
        <f t="shared" si="0"/>
        <v>12</v>
      </c>
      <c r="U6" s="92">
        <f t="shared" si="0"/>
        <v>13</v>
      </c>
      <c r="V6" s="92">
        <f t="shared" si="0"/>
        <v>14</v>
      </c>
      <c r="W6" s="92">
        <f t="shared" si="0"/>
        <v>15</v>
      </c>
      <c r="X6" s="92">
        <f t="shared" si="0"/>
        <v>16</v>
      </c>
      <c r="Y6" s="92">
        <f t="shared" si="0"/>
        <v>17</v>
      </c>
      <c r="Z6" s="92">
        <f t="shared" si="0"/>
        <v>18</v>
      </c>
      <c r="AA6" s="92">
        <f t="shared" si="0"/>
        <v>19</v>
      </c>
      <c r="AB6" s="92">
        <f t="shared" si="0"/>
        <v>20</v>
      </c>
      <c r="AC6" s="92">
        <f t="shared" si="0"/>
        <v>21</v>
      </c>
      <c r="AD6" s="92">
        <f t="shared" si="0"/>
        <v>22</v>
      </c>
      <c r="AE6" s="92">
        <f t="shared" si="0"/>
        <v>23</v>
      </c>
      <c r="AF6" s="92">
        <f t="shared" si="0"/>
        <v>24</v>
      </c>
      <c r="AG6" s="92">
        <f t="shared" si="0"/>
        <v>25</v>
      </c>
    </row>
    <row r="7" spans="1:43" ht="6.75" customHeight="1" x14ac:dyDescent="0.3">
      <c r="C7" s="90"/>
      <c r="D7" s="89"/>
      <c r="E7" s="91"/>
      <c r="F7" s="91"/>
      <c r="G7" s="89"/>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43" ht="14.5" x14ac:dyDescent="0.3">
      <c r="A8" s="143"/>
      <c r="B8" s="143"/>
      <c r="C8" s="143"/>
      <c r="D8" s="143"/>
      <c r="E8" s="143"/>
      <c r="F8" s="144"/>
      <c r="G8" s="143" t="s">
        <v>13</v>
      </c>
      <c r="H8" s="169" t="str">
        <f>start</f>
        <v>2025-26</v>
      </c>
      <c r="I8" s="145" t="str">
        <f t="shared" ref="I8:AG8" si="1">LEFT(H8,4)+1&amp;"-"&amp;RIGHT(H8,2)+1</f>
        <v>2026-27</v>
      </c>
      <c r="J8" s="145" t="str">
        <f t="shared" si="1"/>
        <v>2027-28</v>
      </c>
      <c r="K8" s="145" t="str">
        <f t="shared" si="1"/>
        <v>2028-29</v>
      </c>
      <c r="L8" s="145" t="str">
        <f t="shared" si="1"/>
        <v>2029-30</v>
      </c>
      <c r="M8" s="145" t="str">
        <f t="shared" si="1"/>
        <v>2030-31</v>
      </c>
      <c r="N8" s="145" t="str">
        <f t="shared" si="1"/>
        <v>2031-32</v>
      </c>
      <c r="O8" s="145" t="str">
        <f t="shared" si="1"/>
        <v>2032-33</v>
      </c>
      <c r="P8" s="145" t="str">
        <f t="shared" si="1"/>
        <v>2033-34</v>
      </c>
      <c r="Q8" s="145" t="str">
        <f t="shared" si="1"/>
        <v>2034-35</v>
      </c>
      <c r="R8" s="145" t="str">
        <f t="shared" si="1"/>
        <v>2035-36</v>
      </c>
      <c r="S8" s="145" t="str">
        <f t="shared" si="1"/>
        <v>2036-37</v>
      </c>
      <c r="T8" s="145" t="str">
        <f t="shared" si="1"/>
        <v>2037-38</v>
      </c>
      <c r="U8" s="145" t="str">
        <f t="shared" si="1"/>
        <v>2038-39</v>
      </c>
      <c r="V8" s="145" t="str">
        <f t="shared" si="1"/>
        <v>2039-40</v>
      </c>
      <c r="W8" s="145" t="str">
        <f t="shared" si="1"/>
        <v>2040-41</v>
      </c>
      <c r="X8" s="145" t="str">
        <f t="shared" si="1"/>
        <v>2041-42</v>
      </c>
      <c r="Y8" s="145" t="str">
        <f t="shared" si="1"/>
        <v>2042-43</v>
      </c>
      <c r="Z8" s="145" t="str">
        <f t="shared" si="1"/>
        <v>2043-44</v>
      </c>
      <c r="AA8" s="145" t="str">
        <f t="shared" si="1"/>
        <v>2044-45</v>
      </c>
      <c r="AB8" s="145" t="str">
        <f t="shared" si="1"/>
        <v>2045-46</v>
      </c>
      <c r="AC8" s="145" t="str">
        <f t="shared" si="1"/>
        <v>2046-47</v>
      </c>
      <c r="AD8" s="145" t="str">
        <f t="shared" si="1"/>
        <v>2047-48</v>
      </c>
      <c r="AE8" s="145" t="str">
        <f t="shared" si="1"/>
        <v>2048-49</v>
      </c>
      <c r="AF8" s="145" t="str">
        <f t="shared" si="1"/>
        <v>2049-50</v>
      </c>
      <c r="AG8" s="145" t="str">
        <f t="shared" si="1"/>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78" t="s">
        <v>86</v>
      </c>
      <c r="B10" s="78"/>
      <c r="C10" s="79"/>
      <c r="D10" s="79"/>
      <c r="E10" s="79"/>
      <c r="F10" s="79"/>
      <c r="G10" s="16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row>
    <row r="11" spans="1:43" x14ac:dyDescent="0.3">
      <c r="A11" s="3"/>
      <c r="B11" s="3"/>
      <c r="C11" s="3"/>
      <c r="D11" s="3"/>
      <c r="G11" s="165"/>
    </row>
    <row r="12" spans="1:43" ht="13.5" x14ac:dyDescent="0.3">
      <c r="C12" s="3" t="s">
        <v>11</v>
      </c>
      <c r="D12"/>
      <c r="E12" s="107" t="s">
        <v>54</v>
      </c>
      <c r="G12" s="166"/>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55" t="s">
        <v>164</v>
      </c>
      <c r="D13"/>
      <c r="E13" s="124">
        <v>5</v>
      </c>
      <c r="G13" s="431">
        <f>input_dollars</f>
        <v>45473</v>
      </c>
      <c r="H13" s="2"/>
      <c r="I13" s="30">
        <f>'Cost summary'!J13</f>
        <v>7782654</v>
      </c>
      <c r="J13" s="30">
        <f>'Cost summary'!K13</f>
        <v>3079294</v>
      </c>
      <c r="K13" s="30">
        <f>'Cost summary'!L13</f>
        <v>4346932</v>
      </c>
      <c r="L13" s="30">
        <f>'Cost summary'!M13</f>
        <v>2008598</v>
      </c>
      <c r="M13" s="30">
        <f>'Cost summary'!N13</f>
        <v>2008598</v>
      </c>
      <c r="N13" s="30"/>
      <c r="O13" s="30"/>
      <c r="P13" s="30"/>
      <c r="Q13" s="30"/>
      <c r="R13" s="30"/>
      <c r="S13" s="30">
        <v>0</v>
      </c>
      <c r="T13" s="30">
        <v>0</v>
      </c>
      <c r="U13" s="30">
        <v>0</v>
      </c>
      <c r="V13" s="30">
        <v>0</v>
      </c>
      <c r="W13" s="30">
        <v>0</v>
      </c>
      <c r="X13" s="30">
        <v>0</v>
      </c>
      <c r="Y13" s="30">
        <v>0</v>
      </c>
      <c r="Z13" s="30">
        <v>0</v>
      </c>
      <c r="AA13" s="30">
        <v>0</v>
      </c>
      <c r="AB13" s="30">
        <v>0</v>
      </c>
      <c r="AC13" s="30">
        <v>0</v>
      </c>
      <c r="AD13" s="30">
        <v>0</v>
      </c>
      <c r="AE13" s="30">
        <v>0</v>
      </c>
      <c r="AF13" s="30">
        <v>0</v>
      </c>
      <c r="AG13" s="30">
        <v>0</v>
      </c>
      <c r="AH13"/>
      <c r="AI13"/>
      <c r="AJ13"/>
      <c r="AK13"/>
      <c r="AL13"/>
      <c r="AM13"/>
      <c r="AN13"/>
      <c r="AO13"/>
      <c r="AP13"/>
      <c r="AQ13"/>
    </row>
    <row r="14" spans="1:43" ht="13.5" x14ac:dyDescent="0.3">
      <c r="C14" s="55" t="s">
        <v>247</v>
      </c>
      <c r="D14"/>
      <c r="E14" s="124">
        <v>5</v>
      </c>
      <c r="G14" s="431">
        <f>input_dollars</f>
        <v>45473</v>
      </c>
      <c r="H14" s="2"/>
      <c r="I14" s="30">
        <v>0</v>
      </c>
      <c r="J14" s="30">
        <v>0</v>
      </c>
      <c r="K14" s="30">
        <v>0</v>
      </c>
      <c r="L14" s="30">
        <v>0</v>
      </c>
      <c r="M14" s="30">
        <v>0</v>
      </c>
      <c r="N14" s="30"/>
      <c r="O14" s="30"/>
      <c r="P14" s="30"/>
      <c r="Q14" s="30"/>
      <c r="R14" s="30"/>
      <c r="S14" s="30">
        <v>0</v>
      </c>
      <c r="T14" s="30">
        <v>0</v>
      </c>
      <c r="U14" s="30">
        <v>0</v>
      </c>
      <c r="V14" s="30">
        <v>0</v>
      </c>
      <c r="W14" s="30">
        <v>0</v>
      </c>
      <c r="X14" s="30">
        <v>0</v>
      </c>
      <c r="Y14" s="30">
        <v>0</v>
      </c>
      <c r="Z14" s="30">
        <v>0</v>
      </c>
      <c r="AA14" s="30">
        <v>0</v>
      </c>
      <c r="AB14" s="30">
        <v>0</v>
      </c>
      <c r="AC14" s="30">
        <v>0</v>
      </c>
      <c r="AD14" s="30">
        <v>0</v>
      </c>
      <c r="AE14" s="30">
        <v>0</v>
      </c>
      <c r="AF14" s="30">
        <v>0</v>
      </c>
      <c r="AG14" s="30">
        <v>0</v>
      </c>
      <c r="AH14"/>
      <c r="AI14"/>
      <c r="AJ14"/>
      <c r="AK14"/>
      <c r="AL14"/>
      <c r="AM14"/>
      <c r="AN14"/>
      <c r="AO14"/>
      <c r="AP14"/>
      <c r="AQ14"/>
    </row>
    <row r="15" spans="1:43" ht="13.5" x14ac:dyDescent="0.3">
      <c r="C15" s="55" t="s">
        <v>43</v>
      </c>
      <c r="D15"/>
      <c r="E15" s="124">
        <v>0</v>
      </c>
      <c r="G15" s="431">
        <f>input_dollars</f>
        <v>45473</v>
      </c>
      <c r="H15" s="2"/>
      <c r="I15" s="30">
        <v>0</v>
      </c>
      <c r="J15" s="30">
        <v>0</v>
      </c>
      <c r="K15" s="30">
        <v>0</v>
      </c>
      <c r="L15" s="30">
        <v>0</v>
      </c>
      <c r="M15" s="30">
        <v>0</v>
      </c>
      <c r="N15" s="30"/>
      <c r="O15" s="30"/>
      <c r="P15" s="30"/>
      <c r="Q15" s="30"/>
      <c r="R15" s="30"/>
      <c r="S15" s="30">
        <v>0</v>
      </c>
      <c r="T15" s="30">
        <v>0</v>
      </c>
      <c r="U15" s="30">
        <v>0</v>
      </c>
      <c r="V15" s="30">
        <v>0</v>
      </c>
      <c r="W15" s="30">
        <v>0</v>
      </c>
      <c r="X15" s="30">
        <v>0</v>
      </c>
      <c r="Y15" s="30">
        <v>0</v>
      </c>
      <c r="Z15" s="30">
        <v>0</v>
      </c>
      <c r="AA15" s="30">
        <v>0</v>
      </c>
      <c r="AB15" s="30">
        <v>0</v>
      </c>
      <c r="AC15" s="30">
        <v>0</v>
      </c>
      <c r="AD15" s="30">
        <v>0</v>
      </c>
      <c r="AE15" s="30">
        <v>0</v>
      </c>
      <c r="AF15" s="30">
        <v>0</v>
      </c>
      <c r="AG15" s="30">
        <v>0</v>
      </c>
      <c r="AH15"/>
      <c r="AI15"/>
      <c r="AJ15"/>
      <c r="AK15"/>
      <c r="AL15"/>
      <c r="AM15"/>
      <c r="AN15"/>
      <c r="AO15"/>
      <c r="AP15"/>
      <c r="AQ15"/>
    </row>
    <row r="16" spans="1:43" ht="13.5" x14ac:dyDescent="0.3">
      <c r="C16" s="1" t="s">
        <v>18</v>
      </c>
      <c r="G16" s="431">
        <f>input_dollars</f>
        <v>45473</v>
      </c>
      <c r="H16" s="98"/>
      <c r="I16" s="97">
        <f t="shared" ref="I16:AB16" si="2">SUM(I13:I15)</f>
        <v>7782654</v>
      </c>
      <c r="J16" s="97">
        <f t="shared" si="2"/>
        <v>3079294</v>
      </c>
      <c r="K16" s="97">
        <f t="shared" si="2"/>
        <v>4346932</v>
      </c>
      <c r="L16" s="97">
        <f t="shared" si="2"/>
        <v>2008598</v>
      </c>
      <c r="M16" s="97">
        <f t="shared" si="2"/>
        <v>2008598</v>
      </c>
      <c r="N16" s="97"/>
      <c r="O16" s="97"/>
      <c r="P16" s="97"/>
      <c r="Q16" s="97"/>
      <c r="R16" s="97"/>
      <c r="S16" s="97">
        <f t="shared" si="2"/>
        <v>0</v>
      </c>
      <c r="T16" s="97">
        <f t="shared" si="2"/>
        <v>0</v>
      </c>
      <c r="U16" s="97">
        <f t="shared" si="2"/>
        <v>0</v>
      </c>
      <c r="V16" s="97">
        <f t="shared" si="2"/>
        <v>0</v>
      </c>
      <c r="W16" s="97">
        <f t="shared" si="2"/>
        <v>0</v>
      </c>
      <c r="X16" s="97">
        <f t="shared" si="2"/>
        <v>0</v>
      </c>
      <c r="Y16" s="97">
        <f t="shared" si="2"/>
        <v>0</v>
      </c>
      <c r="Z16" s="97">
        <f t="shared" si="2"/>
        <v>0</v>
      </c>
      <c r="AA16" s="97">
        <f t="shared" si="2"/>
        <v>0</v>
      </c>
      <c r="AB16" s="97">
        <f t="shared" si="2"/>
        <v>0</v>
      </c>
      <c r="AC16" s="97">
        <f t="shared" ref="AC16:AF16" si="3">SUM(AC13:AC15)</f>
        <v>0</v>
      </c>
      <c r="AD16" s="97">
        <f t="shared" si="3"/>
        <v>0</v>
      </c>
      <c r="AE16" s="97">
        <f t="shared" si="3"/>
        <v>0</v>
      </c>
      <c r="AF16" s="97">
        <f t="shared" si="3"/>
        <v>0</v>
      </c>
      <c r="AG16" s="97">
        <f t="shared" ref="AG16" si="4">SUM(AG13:AG15)</f>
        <v>0</v>
      </c>
    </row>
    <row r="17" spans="1:16372" ht="13.5" x14ac:dyDescent="0.3">
      <c r="C17"/>
      <c r="D17"/>
      <c r="E17"/>
      <c r="G17" s="436"/>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16372" ht="13.5" x14ac:dyDescent="0.3">
      <c r="C18" s="1" t="s">
        <v>19</v>
      </c>
      <c r="D18"/>
      <c r="E18"/>
      <c r="F18" s="98"/>
      <c r="G18" s="431">
        <f>input_dollars</f>
        <v>45473</v>
      </c>
      <c r="H18" s="98"/>
      <c r="I18" s="30">
        <f>'Cost summary'!J20</f>
        <v>0</v>
      </c>
      <c r="J18" s="30">
        <f>'Cost summary'!K20</f>
        <v>0</v>
      </c>
      <c r="K18" s="30">
        <f>'Cost summary'!L20</f>
        <v>0</v>
      </c>
      <c r="L18" s="30">
        <f>'Cost summary'!M20</f>
        <v>0</v>
      </c>
      <c r="M18" s="30">
        <f>'Cost summary'!N20</f>
        <v>0</v>
      </c>
      <c r="N18" s="30"/>
      <c r="O18" s="30"/>
      <c r="P18" s="30"/>
      <c r="Q18" s="30"/>
      <c r="R18" s="30"/>
      <c r="S18" s="30">
        <v>0</v>
      </c>
      <c r="T18" s="30">
        <v>0</v>
      </c>
      <c r="U18" s="30">
        <v>0</v>
      </c>
      <c r="V18" s="30">
        <v>0</v>
      </c>
      <c r="W18" s="30">
        <v>0</v>
      </c>
      <c r="X18" s="30">
        <v>0</v>
      </c>
      <c r="Y18" s="30">
        <v>0</v>
      </c>
      <c r="Z18" s="30">
        <v>0</v>
      </c>
      <c r="AA18" s="30">
        <v>0</v>
      </c>
      <c r="AB18" s="30">
        <v>0</v>
      </c>
      <c r="AC18" s="30">
        <v>0</v>
      </c>
      <c r="AD18" s="30">
        <v>0</v>
      </c>
      <c r="AE18" s="30">
        <v>0</v>
      </c>
      <c r="AF18" s="30">
        <v>0</v>
      </c>
      <c r="AG18" s="30">
        <v>0</v>
      </c>
    </row>
    <row r="19" spans="1:16372" x14ac:dyDescent="0.3">
      <c r="G19" s="431"/>
    </row>
    <row r="20" spans="1:16372" ht="13.5" x14ac:dyDescent="0.3">
      <c r="C20"/>
      <c r="D20"/>
      <c r="E20"/>
      <c r="G20" s="436"/>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16372" ht="14.5" x14ac:dyDescent="0.3">
      <c r="A21" s="78" t="s">
        <v>108</v>
      </c>
      <c r="B21" s="78"/>
      <c r="C21" s="78"/>
      <c r="D21" s="78"/>
      <c r="E21" s="78"/>
      <c r="F21" s="78"/>
      <c r="G21" s="437"/>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c r="AI21"/>
      <c r="AJ21"/>
      <c r="AK21"/>
      <c r="AL21"/>
      <c r="AM21"/>
      <c r="AN21"/>
      <c r="AO21"/>
      <c r="AP21"/>
      <c r="AQ21"/>
    </row>
    <row r="22" spans="1:16372" ht="14.5" x14ac:dyDescent="0.3">
      <c r="A22" s="102"/>
      <c r="B22" s="102"/>
      <c r="C22" s="102" t="s">
        <v>241</v>
      </c>
      <c r="D22" s="102"/>
      <c r="E22" s="191">
        <v>0</v>
      </c>
      <c r="F22" s="102"/>
      <c r="G22" s="434"/>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c r="AI22"/>
      <c r="AJ22"/>
      <c r="AK22"/>
      <c r="AL22"/>
      <c r="AM22"/>
      <c r="AN22"/>
      <c r="AO22"/>
      <c r="AP22"/>
      <c r="AQ22"/>
    </row>
    <row r="23" spans="1:16372" ht="12.75" customHeight="1" x14ac:dyDescent="0.3">
      <c r="A23" s="102"/>
      <c r="B23" s="102"/>
      <c r="C23" s="102"/>
      <c r="D23" s="102"/>
      <c r="E23" s="102"/>
      <c r="F23" s="102"/>
      <c r="G23" s="434"/>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c r="AI23"/>
      <c r="AJ23"/>
      <c r="AK23"/>
      <c r="AL23"/>
      <c r="AM23"/>
      <c r="AN23"/>
      <c r="AO23"/>
      <c r="AP23"/>
      <c r="AQ23"/>
    </row>
    <row r="24" spans="1:16372" x14ac:dyDescent="0.3">
      <c r="C24" s="1" t="s">
        <v>149</v>
      </c>
      <c r="D24" s="165"/>
      <c r="G24" s="431">
        <f t="shared" ref="G24:G30" si="5">input_dollars</f>
        <v>45473</v>
      </c>
      <c r="I24" s="30">
        <f>SUM('Risk summary'!$I$12:$I$17)</f>
        <v>2337311.9520029272</v>
      </c>
      <c r="J24" s="30">
        <f>I24</f>
        <v>2337311.9520029272</v>
      </c>
      <c r="K24" s="30">
        <f t="shared" ref="K24:M30" si="6">J24</f>
        <v>2337311.9520029272</v>
      </c>
      <c r="L24" s="30">
        <f t="shared" si="6"/>
        <v>2337311.9520029272</v>
      </c>
      <c r="M24" s="30">
        <f t="shared" si="6"/>
        <v>2337311.9520029272</v>
      </c>
      <c r="N24" s="30"/>
      <c r="O24" s="30"/>
      <c r="P24" s="30"/>
      <c r="Q24" s="30"/>
      <c r="R24" s="30"/>
      <c r="S24" s="30">
        <v>0</v>
      </c>
      <c r="T24" s="30">
        <v>0</v>
      </c>
      <c r="U24" s="30">
        <v>0</v>
      </c>
      <c r="V24" s="30">
        <v>0</v>
      </c>
      <c r="W24" s="30">
        <v>0</v>
      </c>
      <c r="X24" s="30">
        <v>0</v>
      </c>
      <c r="Y24" s="30">
        <v>0</v>
      </c>
      <c r="Z24" s="30">
        <v>0</v>
      </c>
      <c r="AA24" s="30">
        <v>0</v>
      </c>
      <c r="AB24" s="30">
        <v>0</v>
      </c>
      <c r="AC24" s="30">
        <v>0</v>
      </c>
      <c r="AD24" s="30">
        <v>0</v>
      </c>
      <c r="AE24" s="30">
        <v>0</v>
      </c>
      <c r="AF24" s="30">
        <v>0</v>
      </c>
      <c r="AG24" s="30">
        <v>0</v>
      </c>
    </row>
    <row r="25" spans="1:16372" x14ac:dyDescent="0.3">
      <c r="C25" s="1" t="s">
        <v>150</v>
      </c>
      <c r="D25" s="165"/>
      <c r="G25" s="431">
        <f t="shared" si="5"/>
        <v>45473</v>
      </c>
      <c r="I25" s="30">
        <f>SUM('Risk summary'!$I$18:$I$25)</f>
        <v>772532.99381510413</v>
      </c>
      <c r="J25" s="30">
        <f t="shared" ref="J25:J30" si="7">I25</f>
        <v>772532.99381510413</v>
      </c>
      <c r="K25" s="30">
        <f t="shared" si="6"/>
        <v>772532.99381510413</v>
      </c>
      <c r="L25" s="30">
        <f t="shared" si="6"/>
        <v>772532.99381510413</v>
      </c>
      <c r="M25" s="30">
        <f t="shared" si="6"/>
        <v>772532.99381510413</v>
      </c>
      <c r="N25" s="30"/>
      <c r="O25" s="30"/>
      <c r="P25" s="30"/>
      <c r="Q25" s="30"/>
      <c r="R25" s="30"/>
      <c r="S25" s="30">
        <v>0</v>
      </c>
      <c r="T25" s="30">
        <v>0</v>
      </c>
      <c r="U25" s="30">
        <v>0</v>
      </c>
      <c r="V25" s="30">
        <v>0</v>
      </c>
      <c r="W25" s="30">
        <v>0</v>
      </c>
      <c r="X25" s="30">
        <v>0</v>
      </c>
      <c r="Y25" s="30">
        <v>0</v>
      </c>
      <c r="Z25" s="30">
        <v>0</v>
      </c>
      <c r="AA25" s="30">
        <v>0</v>
      </c>
      <c r="AB25" s="30">
        <v>0</v>
      </c>
      <c r="AC25" s="30">
        <v>0</v>
      </c>
      <c r="AD25" s="30">
        <v>0</v>
      </c>
      <c r="AE25" s="30">
        <v>0</v>
      </c>
      <c r="AF25" s="30">
        <v>0</v>
      </c>
      <c r="AG25" s="30">
        <v>0</v>
      </c>
    </row>
    <row r="26" spans="1:16372" x14ac:dyDescent="0.3">
      <c r="C26" s="1" t="s">
        <v>151</v>
      </c>
      <c r="D26" s="165"/>
      <c r="G26" s="431">
        <f t="shared" si="5"/>
        <v>45473</v>
      </c>
      <c r="I26" s="30">
        <f>SUM('Risk summary'!$I$26:$I$27)</f>
        <v>0</v>
      </c>
      <c r="J26" s="30">
        <f t="shared" si="7"/>
        <v>0</v>
      </c>
      <c r="K26" s="30">
        <f t="shared" si="6"/>
        <v>0</v>
      </c>
      <c r="L26" s="30">
        <f t="shared" si="6"/>
        <v>0</v>
      </c>
      <c r="M26" s="30">
        <f t="shared" si="6"/>
        <v>0</v>
      </c>
      <c r="N26" s="30"/>
      <c r="O26" s="30"/>
      <c r="P26" s="30"/>
      <c r="Q26" s="30"/>
      <c r="R26" s="30"/>
      <c r="S26" s="30">
        <v>0</v>
      </c>
      <c r="T26" s="30">
        <v>0</v>
      </c>
      <c r="U26" s="30">
        <v>0</v>
      </c>
      <c r="V26" s="30">
        <v>0</v>
      </c>
      <c r="W26" s="30">
        <v>0</v>
      </c>
      <c r="X26" s="30">
        <v>0</v>
      </c>
      <c r="Y26" s="30">
        <v>0</v>
      </c>
      <c r="Z26" s="30">
        <v>0</v>
      </c>
      <c r="AA26" s="30">
        <v>0</v>
      </c>
      <c r="AB26" s="30">
        <v>0</v>
      </c>
      <c r="AC26" s="30">
        <v>0</v>
      </c>
      <c r="AD26" s="30">
        <v>0</v>
      </c>
      <c r="AE26" s="30">
        <v>0</v>
      </c>
      <c r="AF26" s="30">
        <v>0</v>
      </c>
      <c r="AG26" s="30">
        <v>0</v>
      </c>
    </row>
    <row r="27" spans="1:16372" x14ac:dyDescent="0.3">
      <c r="C27" s="1" t="s">
        <v>152</v>
      </c>
      <c r="D27" s="165"/>
      <c r="G27" s="431">
        <f t="shared" si="5"/>
        <v>45473</v>
      </c>
      <c r="I27" s="30">
        <f>SUM('Risk summary'!$I$28:$I$30)</f>
        <v>0</v>
      </c>
      <c r="J27" s="30">
        <f t="shared" si="7"/>
        <v>0</v>
      </c>
      <c r="K27" s="30">
        <f t="shared" si="6"/>
        <v>0</v>
      </c>
      <c r="L27" s="30">
        <f t="shared" si="6"/>
        <v>0</v>
      </c>
      <c r="M27" s="30">
        <f t="shared" si="6"/>
        <v>0</v>
      </c>
      <c r="N27" s="30"/>
      <c r="O27" s="30"/>
      <c r="P27" s="30"/>
      <c r="Q27" s="30"/>
      <c r="R27" s="30"/>
      <c r="S27" s="30">
        <v>0</v>
      </c>
      <c r="T27" s="30">
        <v>0</v>
      </c>
      <c r="U27" s="30">
        <v>0</v>
      </c>
      <c r="V27" s="30">
        <v>0</v>
      </c>
      <c r="W27" s="30">
        <v>0</v>
      </c>
      <c r="X27" s="30">
        <v>0</v>
      </c>
      <c r="Y27" s="30">
        <v>0</v>
      </c>
      <c r="Z27" s="30">
        <v>0</v>
      </c>
      <c r="AA27" s="30">
        <v>0</v>
      </c>
      <c r="AB27" s="30">
        <v>0</v>
      </c>
      <c r="AC27" s="30">
        <v>0</v>
      </c>
      <c r="AD27" s="30">
        <v>0</v>
      </c>
      <c r="AE27" s="30">
        <v>0</v>
      </c>
      <c r="AF27" s="30">
        <v>0</v>
      </c>
      <c r="AG27" s="30">
        <v>0</v>
      </c>
    </row>
    <row r="28" spans="1:16372" x14ac:dyDescent="0.3">
      <c r="C28" s="1" t="s">
        <v>153</v>
      </c>
      <c r="D28" s="165"/>
      <c r="G28" s="431">
        <f t="shared" si="5"/>
        <v>45473</v>
      </c>
      <c r="I28" s="30">
        <f>SUM('Risk summary'!$I$31:$I$32)</f>
        <v>0</v>
      </c>
      <c r="J28" s="30">
        <f t="shared" si="7"/>
        <v>0</v>
      </c>
      <c r="K28" s="30">
        <f t="shared" si="6"/>
        <v>0</v>
      </c>
      <c r="L28" s="30">
        <f t="shared" si="6"/>
        <v>0</v>
      </c>
      <c r="M28" s="30">
        <f t="shared" si="6"/>
        <v>0</v>
      </c>
      <c r="N28" s="30"/>
      <c r="O28" s="30"/>
      <c r="P28" s="30"/>
      <c r="Q28" s="30"/>
      <c r="R28" s="30"/>
      <c r="S28" s="30">
        <v>0</v>
      </c>
      <c r="T28" s="30">
        <v>0</v>
      </c>
      <c r="U28" s="30">
        <v>0</v>
      </c>
      <c r="V28" s="30">
        <v>0</v>
      </c>
      <c r="W28" s="30">
        <v>0</v>
      </c>
      <c r="X28" s="30">
        <v>0</v>
      </c>
      <c r="Y28" s="30">
        <v>0</v>
      </c>
      <c r="Z28" s="30">
        <v>0</v>
      </c>
      <c r="AA28" s="30">
        <v>0</v>
      </c>
      <c r="AB28" s="30">
        <v>0</v>
      </c>
      <c r="AC28" s="30">
        <v>0</v>
      </c>
      <c r="AD28" s="30">
        <v>0</v>
      </c>
      <c r="AE28" s="30">
        <v>0</v>
      </c>
      <c r="AF28" s="30">
        <v>0</v>
      </c>
      <c r="AG28" s="30">
        <v>0</v>
      </c>
    </row>
    <row r="29" spans="1:16372" x14ac:dyDescent="0.3">
      <c r="C29" s="1" t="s">
        <v>154</v>
      </c>
      <c r="D29" s="165"/>
      <c r="G29" s="431">
        <f t="shared" si="5"/>
        <v>45473</v>
      </c>
      <c r="I29" s="30">
        <f>SUM('Risk summary'!$I$34:$I$37)</f>
        <v>18575933.10746</v>
      </c>
      <c r="J29" s="30">
        <f t="shared" si="7"/>
        <v>18575933.10746</v>
      </c>
      <c r="K29" s="30">
        <f t="shared" si="6"/>
        <v>18575933.10746</v>
      </c>
      <c r="L29" s="30">
        <f t="shared" si="6"/>
        <v>18575933.10746</v>
      </c>
      <c r="M29" s="30">
        <f t="shared" si="6"/>
        <v>18575933.10746</v>
      </c>
      <c r="N29" s="30"/>
      <c r="O29" s="30"/>
      <c r="P29" s="30"/>
      <c r="Q29" s="30"/>
      <c r="R29" s="30"/>
      <c r="S29" s="30">
        <v>0</v>
      </c>
      <c r="T29" s="30">
        <v>0</v>
      </c>
      <c r="U29" s="30">
        <v>0</v>
      </c>
      <c r="V29" s="30">
        <v>0</v>
      </c>
      <c r="W29" s="30">
        <v>0</v>
      </c>
      <c r="X29" s="30">
        <v>0</v>
      </c>
      <c r="Y29" s="30">
        <v>0</v>
      </c>
      <c r="Z29" s="30">
        <v>0</v>
      </c>
      <c r="AA29" s="30">
        <v>0</v>
      </c>
      <c r="AB29" s="30">
        <v>0</v>
      </c>
      <c r="AC29" s="30">
        <v>0</v>
      </c>
      <c r="AD29" s="30">
        <v>0</v>
      </c>
      <c r="AE29" s="30">
        <v>0</v>
      </c>
      <c r="AF29" s="30">
        <v>0</v>
      </c>
      <c r="AG29" s="30">
        <v>0</v>
      </c>
    </row>
    <row r="30" spans="1:16372" x14ac:dyDescent="0.3">
      <c r="C30" s="1" t="s">
        <v>155</v>
      </c>
      <c r="D30" s="165"/>
      <c r="G30" s="431">
        <f t="shared" si="5"/>
        <v>45473</v>
      </c>
      <c r="I30" s="30">
        <f>SUM('Risk summary'!$I$38:$I$41)</f>
        <v>3152046.4131243331</v>
      </c>
      <c r="J30" s="30">
        <f t="shared" si="7"/>
        <v>3152046.4131243331</v>
      </c>
      <c r="K30" s="30">
        <f t="shared" si="6"/>
        <v>3152046.4131243331</v>
      </c>
      <c r="L30" s="30">
        <f t="shared" si="6"/>
        <v>3152046.4131243331</v>
      </c>
      <c r="M30" s="30">
        <f t="shared" si="6"/>
        <v>3152046.4131243331</v>
      </c>
      <c r="N30" s="30"/>
      <c r="O30" s="30"/>
      <c r="P30" s="30"/>
      <c r="Q30" s="30"/>
      <c r="R30" s="30"/>
      <c r="S30" s="30">
        <v>0</v>
      </c>
      <c r="T30" s="30">
        <v>0</v>
      </c>
      <c r="U30" s="30">
        <v>0</v>
      </c>
      <c r="V30" s="30">
        <v>0</v>
      </c>
      <c r="W30" s="30">
        <v>0</v>
      </c>
      <c r="X30" s="30">
        <v>0</v>
      </c>
      <c r="Y30" s="30">
        <v>0</v>
      </c>
      <c r="Z30" s="30">
        <v>0</v>
      </c>
      <c r="AA30" s="30">
        <v>0</v>
      </c>
      <c r="AB30" s="30">
        <v>0</v>
      </c>
      <c r="AC30" s="30">
        <v>0</v>
      </c>
      <c r="AD30" s="30">
        <v>0</v>
      </c>
      <c r="AE30" s="30">
        <v>0</v>
      </c>
      <c r="AF30" s="30">
        <v>0</v>
      </c>
      <c r="AG30" s="30">
        <v>0</v>
      </c>
    </row>
    <row r="31" spans="1:16372" ht="13.5" x14ac:dyDescent="0.3">
      <c r="D31" s="166"/>
      <c r="E31"/>
      <c r="G31" s="4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row>
    <row r="32" spans="1:16372" ht="13.5" x14ac:dyDescent="0.3">
      <c r="C32" s="3" t="s">
        <v>120</v>
      </c>
      <c r="D32" s="168"/>
      <c r="E32" s="98"/>
      <c r="F32" s="3"/>
      <c r="G32" s="431"/>
      <c r="H32" s="98"/>
      <c r="I32" s="97">
        <f t="shared" ref="I32:AG32" si="8">SUM(I24:I30)</f>
        <v>24837824.466402363</v>
      </c>
      <c r="J32" s="97">
        <f t="shared" si="8"/>
        <v>24837824.466402363</v>
      </c>
      <c r="K32" s="97">
        <f t="shared" si="8"/>
        <v>24837824.466402363</v>
      </c>
      <c r="L32" s="97">
        <f t="shared" si="8"/>
        <v>24837824.466402363</v>
      </c>
      <c r="M32" s="97">
        <f t="shared" si="8"/>
        <v>24837824.466402363</v>
      </c>
      <c r="N32" s="97">
        <f t="shared" si="8"/>
        <v>0</v>
      </c>
      <c r="O32" s="97">
        <f t="shared" si="8"/>
        <v>0</v>
      </c>
      <c r="P32" s="97">
        <f t="shared" si="8"/>
        <v>0</v>
      </c>
      <c r="Q32" s="97">
        <f t="shared" si="8"/>
        <v>0</v>
      </c>
      <c r="R32" s="97">
        <f t="shared" si="8"/>
        <v>0</v>
      </c>
      <c r="S32" s="97">
        <f t="shared" si="8"/>
        <v>0</v>
      </c>
      <c r="T32" s="97">
        <f t="shared" si="8"/>
        <v>0</v>
      </c>
      <c r="U32" s="97">
        <f t="shared" si="8"/>
        <v>0</v>
      </c>
      <c r="V32" s="97">
        <f t="shared" si="8"/>
        <v>0</v>
      </c>
      <c r="W32" s="97">
        <f t="shared" si="8"/>
        <v>0</v>
      </c>
      <c r="X32" s="97">
        <f t="shared" si="8"/>
        <v>0</v>
      </c>
      <c r="Y32" s="97">
        <f t="shared" si="8"/>
        <v>0</v>
      </c>
      <c r="Z32" s="97">
        <f t="shared" si="8"/>
        <v>0</v>
      </c>
      <c r="AA32" s="97">
        <f t="shared" si="8"/>
        <v>0</v>
      </c>
      <c r="AB32" s="97">
        <f t="shared" si="8"/>
        <v>0</v>
      </c>
      <c r="AC32" s="97">
        <f t="shared" si="8"/>
        <v>0</v>
      </c>
      <c r="AD32" s="97">
        <f t="shared" si="8"/>
        <v>0</v>
      </c>
      <c r="AE32" s="97">
        <f t="shared" si="8"/>
        <v>0</v>
      </c>
      <c r="AF32" s="97">
        <f t="shared" si="8"/>
        <v>0</v>
      </c>
      <c r="AG32" s="97">
        <f t="shared" si="8"/>
        <v>0</v>
      </c>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row>
    <row r="33" spans="1:16372" ht="13.5" x14ac:dyDescent="0.3">
      <c r="D33"/>
      <c r="E33"/>
      <c r="G33" s="43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row>
    <row r="34" spans="1:16372" ht="14.5" x14ac:dyDescent="0.3">
      <c r="A34" s="78" t="s">
        <v>145</v>
      </c>
      <c r="B34" s="78"/>
      <c r="C34" s="78"/>
      <c r="D34" s="78"/>
      <c r="E34" s="78"/>
      <c r="F34" s="78"/>
      <c r="G34" s="43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c r="AI34"/>
      <c r="AJ34"/>
      <c r="AK34"/>
      <c r="AL34"/>
      <c r="AM34"/>
      <c r="AN34"/>
      <c r="AO34"/>
      <c r="AP34"/>
      <c r="AQ34"/>
    </row>
    <row r="35" spans="1:16372" ht="13.5" x14ac:dyDescent="0.3">
      <c r="D35"/>
      <c r="E35"/>
      <c r="G35" s="431"/>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16372" ht="13.5" x14ac:dyDescent="0.3">
      <c r="C36" s="3" t="s">
        <v>146</v>
      </c>
      <c r="D36" s="168"/>
      <c r="E36" s="98"/>
      <c r="F36" s="3"/>
      <c r="G36" s="432">
        <f>input_dollars</f>
        <v>45473</v>
      </c>
      <c r="H36" s="98"/>
      <c r="I36" s="133">
        <f>I31</f>
        <v>0</v>
      </c>
      <c r="J36" s="133">
        <f t="shared" ref="J36:AG36" si="9">J31</f>
        <v>0</v>
      </c>
      <c r="K36" s="133">
        <f t="shared" si="9"/>
        <v>0</v>
      </c>
      <c r="L36" s="133">
        <f t="shared" si="9"/>
        <v>0</v>
      </c>
      <c r="M36" s="133">
        <f t="shared" si="9"/>
        <v>0</v>
      </c>
      <c r="N36" s="133">
        <f t="shared" si="9"/>
        <v>0</v>
      </c>
      <c r="O36" s="133">
        <f t="shared" si="9"/>
        <v>0</v>
      </c>
      <c r="P36" s="133">
        <f t="shared" si="9"/>
        <v>0</v>
      </c>
      <c r="Q36" s="133">
        <f t="shared" si="9"/>
        <v>0</v>
      </c>
      <c r="R36" s="133">
        <f t="shared" si="9"/>
        <v>0</v>
      </c>
      <c r="S36" s="133">
        <f t="shared" si="9"/>
        <v>0</v>
      </c>
      <c r="T36" s="133">
        <f t="shared" si="9"/>
        <v>0</v>
      </c>
      <c r="U36" s="133">
        <f t="shared" si="9"/>
        <v>0</v>
      </c>
      <c r="V36" s="133">
        <f t="shared" si="9"/>
        <v>0</v>
      </c>
      <c r="W36" s="133">
        <f t="shared" si="9"/>
        <v>0</v>
      </c>
      <c r="X36" s="133">
        <f t="shared" si="9"/>
        <v>0</v>
      </c>
      <c r="Y36" s="133">
        <f t="shared" si="9"/>
        <v>0</v>
      </c>
      <c r="Z36" s="133">
        <f t="shared" si="9"/>
        <v>0</v>
      </c>
      <c r="AA36" s="133">
        <f t="shared" si="9"/>
        <v>0</v>
      </c>
      <c r="AB36" s="133">
        <f t="shared" si="9"/>
        <v>0</v>
      </c>
      <c r="AC36" s="133">
        <f t="shared" si="9"/>
        <v>0</v>
      </c>
      <c r="AD36" s="133">
        <f t="shared" si="9"/>
        <v>0</v>
      </c>
      <c r="AE36" s="133">
        <f t="shared" si="9"/>
        <v>0</v>
      </c>
      <c r="AF36" s="133">
        <f t="shared" si="9"/>
        <v>0</v>
      </c>
      <c r="AG36" s="133">
        <f t="shared" si="9"/>
        <v>0</v>
      </c>
    </row>
    <row r="37" spans="1:16372" x14ac:dyDescent="0.3">
      <c r="D37" s="165"/>
      <c r="G37" s="431"/>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row>
    <row r="38" spans="1:16372" x14ac:dyDescent="0.3">
      <c r="C38" s="1" t="s">
        <v>165</v>
      </c>
      <c r="D38" s="165"/>
      <c r="G38" s="431">
        <f>input_dollars</f>
        <v>45473</v>
      </c>
      <c r="I38" s="30">
        <f>'Risk summary'!$I$43</f>
        <v>0</v>
      </c>
      <c r="J38" s="30">
        <f>I38</f>
        <v>0</v>
      </c>
      <c r="K38" s="30">
        <f t="shared" ref="K38:AA38" si="10">J38</f>
        <v>0</v>
      </c>
      <c r="L38" s="30">
        <f t="shared" si="10"/>
        <v>0</v>
      </c>
      <c r="M38" s="30">
        <f t="shared" si="10"/>
        <v>0</v>
      </c>
      <c r="N38" s="30">
        <f t="shared" si="10"/>
        <v>0</v>
      </c>
      <c r="O38" s="30">
        <f t="shared" si="10"/>
        <v>0</v>
      </c>
      <c r="P38" s="30">
        <f t="shared" si="10"/>
        <v>0</v>
      </c>
      <c r="Q38" s="30">
        <f t="shared" si="10"/>
        <v>0</v>
      </c>
      <c r="R38" s="30">
        <f t="shared" si="10"/>
        <v>0</v>
      </c>
      <c r="S38" s="30">
        <f t="shared" si="10"/>
        <v>0</v>
      </c>
      <c r="T38" s="30">
        <f t="shared" si="10"/>
        <v>0</v>
      </c>
      <c r="U38" s="30">
        <f t="shared" si="10"/>
        <v>0</v>
      </c>
      <c r="V38" s="30">
        <f t="shared" si="10"/>
        <v>0</v>
      </c>
      <c r="W38" s="30">
        <f t="shared" si="10"/>
        <v>0</v>
      </c>
      <c r="X38" s="30">
        <f t="shared" si="10"/>
        <v>0</v>
      </c>
      <c r="Y38" s="30">
        <f t="shared" si="10"/>
        <v>0</v>
      </c>
      <c r="Z38" s="30">
        <f t="shared" si="10"/>
        <v>0</v>
      </c>
      <c r="AA38" s="30">
        <f t="shared" si="10"/>
        <v>0</v>
      </c>
      <c r="AB38" s="30">
        <v>0</v>
      </c>
      <c r="AC38" s="30">
        <v>0</v>
      </c>
      <c r="AD38" s="30">
        <v>0</v>
      </c>
      <c r="AE38" s="30">
        <v>0</v>
      </c>
      <c r="AF38" s="30">
        <v>0</v>
      </c>
      <c r="AG38" s="30">
        <v>0</v>
      </c>
    </row>
    <row r="39" spans="1:16372" x14ac:dyDescent="0.3">
      <c r="C39" s="1" t="s">
        <v>166</v>
      </c>
      <c r="D39" s="165"/>
      <c r="G39" s="431">
        <f>input_dollars</f>
        <v>45473</v>
      </c>
      <c r="I39" s="30">
        <f>'Risk summary'!$I$44</f>
        <v>0</v>
      </c>
      <c r="J39" s="30">
        <f>I39</f>
        <v>0</v>
      </c>
      <c r="K39" s="30">
        <f t="shared" ref="K39:AA40" si="11">J39</f>
        <v>0</v>
      </c>
      <c r="L39" s="30">
        <f t="shared" si="11"/>
        <v>0</v>
      </c>
      <c r="M39" s="30">
        <f t="shared" si="11"/>
        <v>0</v>
      </c>
      <c r="N39" s="30">
        <f t="shared" si="11"/>
        <v>0</v>
      </c>
      <c r="O39" s="30">
        <f t="shared" si="11"/>
        <v>0</v>
      </c>
      <c r="P39" s="30">
        <f t="shared" si="11"/>
        <v>0</v>
      </c>
      <c r="Q39" s="30">
        <f t="shared" si="11"/>
        <v>0</v>
      </c>
      <c r="R39" s="30">
        <f t="shared" si="11"/>
        <v>0</v>
      </c>
      <c r="S39" s="30">
        <f t="shared" si="11"/>
        <v>0</v>
      </c>
      <c r="T39" s="30">
        <f t="shared" si="11"/>
        <v>0</v>
      </c>
      <c r="U39" s="30">
        <f t="shared" si="11"/>
        <v>0</v>
      </c>
      <c r="V39" s="30">
        <f t="shared" si="11"/>
        <v>0</v>
      </c>
      <c r="W39" s="30">
        <f t="shared" si="11"/>
        <v>0</v>
      </c>
      <c r="X39" s="30">
        <f t="shared" si="11"/>
        <v>0</v>
      </c>
      <c r="Y39" s="30">
        <f t="shared" si="11"/>
        <v>0</v>
      </c>
      <c r="Z39" s="30">
        <f t="shared" si="11"/>
        <v>0</v>
      </c>
      <c r="AA39" s="30">
        <f t="shared" si="11"/>
        <v>0</v>
      </c>
      <c r="AB39" s="30">
        <v>0</v>
      </c>
      <c r="AC39" s="30">
        <v>0</v>
      </c>
      <c r="AD39" s="30">
        <v>0</v>
      </c>
      <c r="AE39" s="30">
        <v>0</v>
      </c>
      <c r="AF39" s="30">
        <v>0</v>
      </c>
      <c r="AG39" s="30">
        <v>0</v>
      </c>
    </row>
    <row r="40" spans="1:16372" x14ac:dyDescent="0.3">
      <c r="C40" s="1" t="s">
        <v>240</v>
      </c>
      <c r="D40" s="165"/>
      <c r="G40" s="431">
        <f>input_dollars</f>
        <v>45473</v>
      </c>
      <c r="I40" s="30">
        <f>'Risk summary'!$I$45</f>
        <v>0</v>
      </c>
      <c r="J40" s="30">
        <f>I40</f>
        <v>0</v>
      </c>
      <c r="K40" s="30">
        <f t="shared" si="11"/>
        <v>0</v>
      </c>
      <c r="L40" s="30">
        <f t="shared" si="11"/>
        <v>0</v>
      </c>
      <c r="M40" s="30">
        <f t="shared" si="11"/>
        <v>0</v>
      </c>
      <c r="N40" s="30">
        <f t="shared" si="11"/>
        <v>0</v>
      </c>
      <c r="O40" s="30">
        <f t="shared" si="11"/>
        <v>0</v>
      </c>
      <c r="P40" s="30">
        <f t="shared" si="11"/>
        <v>0</v>
      </c>
      <c r="Q40" s="30">
        <f t="shared" si="11"/>
        <v>0</v>
      </c>
      <c r="R40" s="30">
        <f t="shared" si="11"/>
        <v>0</v>
      </c>
      <c r="S40" s="30">
        <f t="shared" si="11"/>
        <v>0</v>
      </c>
      <c r="T40" s="30">
        <f t="shared" si="11"/>
        <v>0</v>
      </c>
      <c r="U40" s="30">
        <f t="shared" si="11"/>
        <v>0</v>
      </c>
      <c r="V40" s="30">
        <f t="shared" si="11"/>
        <v>0</v>
      </c>
      <c r="W40" s="30">
        <f t="shared" si="11"/>
        <v>0</v>
      </c>
      <c r="X40" s="30">
        <f t="shared" si="11"/>
        <v>0</v>
      </c>
      <c r="Y40" s="30">
        <f t="shared" si="11"/>
        <v>0</v>
      </c>
      <c r="Z40" s="30">
        <f t="shared" si="11"/>
        <v>0</v>
      </c>
      <c r="AA40" s="30">
        <f t="shared" si="11"/>
        <v>0</v>
      </c>
      <c r="AB40" s="30">
        <f t="shared" ref="AB40:AG40" si="12">AA40</f>
        <v>0</v>
      </c>
      <c r="AC40" s="30">
        <f t="shared" si="12"/>
        <v>0</v>
      </c>
      <c r="AD40" s="30">
        <f t="shared" si="12"/>
        <v>0</v>
      </c>
      <c r="AE40" s="30">
        <f t="shared" si="12"/>
        <v>0</v>
      </c>
      <c r="AF40" s="30">
        <f t="shared" si="12"/>
        <v>0</v>
      </c>
      <c r="AG40" s="30">
        <f t="shared" si="12"/>
        <v>0</v>
      </c>
    </row>
    <row r="41" spans="1:16372" x14ac:dyDescent="0.3">
      <c r="D41" s="165"/>
      <c r="G41" s="431"/>
    </row>
    <row r="42" spans="1:16372" ht="13.5" x14ac:dyDescent="0.3">
      <c r="C42" s="3" t="s">
        <v>89</v>
      </c>
      <c r="D42" s="168"/>
      <c r="E42" s="98"/>
      <c r="F42" s="3"/>
      <c r="G42" s="432">
        <f>input_dollars</f>
        <v>45473</v>
      </c>
      <c r="H42" s="98"/>
      <c r="I42" s="97">
        <f>SUM(I38:I40)</f>
        <v>0</v>
      </c>
      <c r="J42" s="97">
        <f t="shared" ref="J42:AG42" si="13">SUM(J38:J40)</f>
        <v>0</v>
      </c>
      <c r="K42" s="97">
        <f t="shared" si="13"/>
        <v>0</v>
      </c>
      <c r="L42" s="97">
        <f t="shared" si="13"/>
        <v>0</v>
      </c>
      <c r="M42" s="97">
        <f t="shared" si="13"/>
        <v>0</v>
      </c>
      <c r="N42" s="97">
        <f t="shared" si="13"/>
        <v>0</v>
      </c>
      <c r="O42" s="97">
        <f t="shared" si="13"/>
        <v>0</v>
      </c>
      <c r="P42" s="97">
        <f t="shared" si="13"/>
        <v>0</v>
      </c>
      <c r="Q42" s="97">
        <f t="shared" si="13"/>
        <v>0</v>
      </c>
      <c r="R42" s="97">
        <f t="shared" si="13"/>
        <v>0</v>
      </c>
      <c r="S42" s="97">
        <f t="shared" si="13"/>
        <v>0</v>
      </c>
      <c r="T42" s="97">
        <f t="shared" si="13"/>
        <v>0</v>
      </c>
      <c r="U42" s="97">
        <f t="shared" si="13"/>
        <v>0</v>
      </c>
      <c r="V42" s="97">
        <f t="shared" si="13"/>
        <v>0</v>
      </c>
      <c r="W42" s="97">
        <f t="shared" si="13"/>
        <v>0</v>
      </c>
      <c r="X42" s="97">
        <f t="shared" si="13"/>
        <v>0</v>
      </c>
      <c r="Y42" s="97">
        <f t="shared" si="13"/>
        <v>0</v>
      </c>
      <c r="Z42" s="97">
        <f t="shared" si="13"/>
        <v>0</v>
      </c>
      <c r="AA42" s="97">
        <f t="shared" si="13"/>
        <v>0</v>
      </c>
      <c r="AB42" s="97">
        <f t="shared" si="13"/>
        <v>0</v>
      </c>
      <c r="AC42" s="97">
        <f t="shared" si="13"/>
        <v>0</v>
      </c>
      <c r="AD42" s="97">
        <f t="shared" si="13"/>
        <v>0</v>
      </c>
      <c r="AE42" s="97">
        <f t="shared" si="13"/>
        <v>0</v>
      </c>
      <c r="AF42" s="97">
        <f t="shared" si="13"/>
        <v>0</v>
      </c>
      <c r="AG42" s="97">
        <f t="shared" si="13"/>
        <v>0</v>
      </c>
    </row>
    <row r="43" spans="1:16372" x14ac:dyDescent="0.3">
      <c r="D43" s="165"/>
      <c r="G43" s="431"/>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row>
    <row r="44" spans="1:16372" x14ac:dyDescent="0.3">
      <c r="G44" s="431"/>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16372" ht="14.5" x14ac:dyDescent="0.3">
      <c r="A45" s="78" t="s">
        <v>9</v>
      </c>
      <c r="B45" s="78"/>
      <c r="C45" s="78"/>
      <c r="D45" s="78"/>
      <c r="E45" s="78"/>
      <c r="F45" s="78"/>
      <c r="G45" s="437"/>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c r="AI45"/>
      <c r="AJ45"/>
      <c r="AK45"/>
      <c r="AL45"/>
      <c r="AM45"/>
      <c r="AN45"/>
      <c r="AO45"/>
      <c r="AP45"/>
      <c r="AQ45"/>
    </row>
    <row r="46" spans="1:16372" ht="14.5" x14ac:dyDescent="0.3">
      <c r="A46" s="102"/>
      <c r="B46" s="102"/>
      <c r="C46" s="102"/>
      <c r="D46" s="102"/>
      <c r="E46" s="102"/>
      <c r="F46" s="102"/>
      <c r="G46" s="434"/>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c r="AI46"/>
      <c r="AJ46"/>
      <c r="AK46"/>
      <c r="AL46"/>
      <c r="AM46"/>
      <c r="AN46"/>
      <c r="AO46"/>
      <c r="AP46"/>
      <c r="AQ46"/>
    </row>
    <row r="47" spans="1:16372" ht="12.75" customHeight="1" x14ac:dyDescent="0.3">
      <c r="A47" s="102"/>
      <c r="B47" s="102"/>
      <c r="C47" s="102"/>
      <c r="D47" s="102"/>
      <c r="E47" s="102"/>
      <c r="F47"/>
      <c r="G47" s="434"/>
      <c r="H47" s="102"/>
      <c r="I47" s="102"/>
      <c r="J47" s="102"/>
      <c r="K47" s="102"/>
      <c r="L47" s="102"/>
      <c r="M47" s="102"/>
      <c r="N47" s="102"/>
      <c r="O47" s="102"/>
      <c r="P47" s="102"/>
      <c r="Q47" s="102"/>
      <c r="R47" s="102"/>
      <c r="S47" s="102"/>
      <c r="T47" s="102"/>
      <c r="U47" s="102"/>
      <c r="V47" s="102"/>
      <c r="W47" s="102"/>
      <c r="X47" s="102"/>
      <c r="Y47" s="102"/>
      <c r="Z47" s="102"/>
      <c r="AA47" s="102"/>
      <c r="AB47"/>
      <c r="AC47"/>
      <c r="AD47"/>
      <c r="AE47"/>
      <c r="AF47"/>
      <c r="AG47"/>
      <c r="AH47"/>
      <c r="AI47"/>
      <c r="AJ47"/>
      <c r="AK47"/>
      <c r="AL47"/>
      <c r="AM47"/>
      <c r="AN47"/>
      <c r="AO47"/>
    </row>
    <row r="48" spans="1:16372" x14ac:dyDescent="0.3">
      <c r="C48" s="4"/>
      <c r="F48" s="2"/>
      <c r="G48" s="431"/>
    </row>
    <row r="49" spans="1:33" x14ac:dyDescent="0.3">
      <c r="C49" s="4" t="s">
        <v>87</v>
      </c>
      <c r="G49" s="432">
        <f>input_dollars</f>
        <v>45473</v>
      </c>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1:33" x14ac:dyDescent="0.3">
      <c r="G50" s="431"/>
    </row>
    <row r="51" spans="1:33" x14ac:dyDescent="0.3">
      <c r="A51" s="7"/>
      <c r="B51" s="7"/>
      <c r="C51" s="123" t="s">
        <v>18</v>
      </c>
      <c r="D51" s="35"/>
      <c r="F51" s="88"/>
      <c r="G51" s="435"/>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x14ac:dyDescent="0.3">
      <c r="A52" s="7"/>
      <c r="B52" s="7"/>
      <c r="C52" s="4" t="str">
        <f>C13</f>
        <v>capex</v>
      </c>
      <c r="D52" s="35"/>
      <c r="F52" s="88"/>
      <c r="G52" s="432">
        <f>input_dollars</f>
        <v>45473</v>
      </c>
      <c r="H52" s="29"/>
      <c r="I52" s="29">
        <f t="shared" ref="I52:M52" si="14">-I13</f>
        <v>-7782654</v>
      </c>
      <c r="J52" s="29">
        <f t="shared" si="14"/>
        <v>-3079294</v>
      </c>
      <c r="K52" s="29">
        <f t="shared" si="14"/>
        <v>-4346932</v>
      </c>
      <c r="L52" s="29">
        <f t="shared" si="14"/>
        <v>-2008598</v>
      </c>
      <c r="M52" s="29">
        <f t="shared" si="14"/>
        <v>-2008598</v>
      </c>
      <c r="N52" s="29"/>
      <c r="O52" s="29"/>
      <c r="P52" s="29"/>
      <c r="Q52" s="29"/>
      <c r="R52" s="29"/>
      <c r="S52" s="29"/>
      <c r="T52" s="29"/>
      <c r="U52" s="29"/>
      <c r="V52" s="29"/>
      <c r="W52" s="29"/>
      <c r="X52" s="29"/>
      <c r="Y52" s="29"/>
      <c r="Z52" s="29"/>
      <c r="AA52" s="29"/>
      <c r="AB52" s="29"/>
      <c r="AC52" s="29"/>
      <c r="AD52" s="29"/>
      <c r="AE52" s="29"/>
      <c r="AF52" s="29"/>
      <c r="AG52" s="29"/>
    </row>
    <row r="53" spans="1:33" x14ac:dyDescent="0.3">
      <c r="A53" s="7"/>
      <c r="B53" s="7"/>
      <c r="C53" s="4" t="str">
        <f>C14</f>
        <v>ongoing capex</v>
      </c>
      <c r="D53" s="35"/>
      <c r="F53" s="88"/>
      <c r="G53" s="432">
        <f>input_dollars</f>
        <v>45473</v>
      </c>
      <c r="H53" s="29"/>
      <c r="I53" s="29">
        <f t="shared" ref="I53:M53" si="15">-I14</f>
        <v>0</v>
      </c>
      <c r="J53" s="29">
        <f t="shared" si="15"/>
        <v>0</v>
      </c>
      <c r="K53" s="29">
        <f t="shared" si="15"/>
        <v>0</v>
      </c>
      <c r="L53" s="29">
        <f t="shared" si="15"/>
        <v>0</v>
      </c>
      <c r="M53" s="29">
        <f t="shared" si="15"/>
        <v>0</v>
      </c>
      <c r="N53" s="29"/>
      <c r="O53" s="29"/>
      <c r="P53" s="29"/>
      <c r="Q53" s="29"/>
      <c r="R53" s="29"/>
      <c r="S53" s="29"/>
      <c r="T53" s="29"/>
      <c r="U53" s="29"/>
      <c r="V53" s="29"/>
      <c r="W53" s="29"/>
      <c r="X53" s="29"/>
      <c r="Y53" s="29"/>
      <c r="Z53" s="29"/>
      <c r="AA53" s="29"/>
      <c r="AB53" s="29"/>
      <c r="AC53" s="29"/>
      <c r="AD53" s="29"/>
      <c r="AE53" s="29"/>
      <c r="AF53" s="29"/>
      <c r="AG53" s="29"/>
    </row>
    <row r="54" spans="1:33" x14ac:dyDescent="0.3">
      <c r="A54" s="7"/>
      <c r="B54" s="7"/>
      <c r="C54" s="4" t="str">
        <f>C15</f>
        <v>&lt; Enter description &gt;</v>
      </c>
      <c r="D54" s="35"/>
      <c r="F54" s="88"/>
      <c r="G54" s="432">
        <f>input_dollars</f>
        <v>45473</v>
      </c>
      <c r="H54" s="29"/>
      <c r="I54" s="29">
        <f t="shared" ref="I54:M54" si="16">-I15</f>
        <v>0</v>
      </c>
      <c r="J54" s="29">
        <f t="shared" si="16"/>
        <v>0</v>
      </c>
      <c r="K54" s="29">
        <f t="shared" si="16"/>
        <v>0</v>
      </c>
      <c r="L54" s="29">
        <f t="shared" si="16"/>
        <v>0</v>
      </c>
      <c r="M54" s="29">
        <f t="shared" si="16"/>
        <v>0</v>
      </c>
      <c r="N54" s="29"/>
      <c r="O54" s="29"/>
      <c r="P54" s="29"/>
      <c r="Q54" s="29"/>
      <c r="R54" s="29"/>
      <c r="S54" s="29"/>
      <c r="T54" s="29"/>
      <c r="U54" s="29"/>
      <c r="V54" s="29"/>
      <c r="W54" s="29"/>
      <c r="X54" s="29"/>
      <c r="Y54" s="29"/>
      <c r="Z54" s="29"/>
      <c r="AA54" s="29"/>
      <c r="AB54" s="29"/>
      <c r="AC54" s="29"/>
      <c r="AD54" s="29"/>
      <c r="AE54" s="29"/>
      <c r="AF54" s="29"/>
      <c r="AG54" s="29"/>
    </row>
    <row r="55" spans="1:33" x14ac:dyDescent="0.3">
      <c r="A55" s="7"/>
      <c r="B55" s="7"/>
      <c r="C55" s="4"/>
      <c r="D55" s="35"/>
      <c r="F55" s="88"/>
      <c r="G55" s="432"/>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x14ac:dyDescent="0.3">
      <c r="A56" s="7"/>
      <c r="B56" s="7"/>
      <c r="C56" s="123" t="s">
        <v>110</v>
      </c>
      <c r="D56" s="35"/>
      <c r="F56" s="88"/>
      <c r="G56" s="435"/>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x14ac:dyDescent="0.3">
      <c r="A57" s="7"/>
      <c r="B57" s="7"/>
      <c r="C57" s="4" t="str">
        <f>C13</f>
        <v>capex</v>
      </c>
      <c r="D57" s="35"/>
      <c r="F57" s="88"/>
      <c r="G57" s="432">
        <f>input_dollars</f>
        <v>45473</v>
      </c>
      <c r="H57" s="29"/>
      <c r="I57" s="29" cm="1">
        <f t="array" ref="I57">SUMPRODUCT(($I52:I52))-SUMPRODUCT(($I52:I52)*($I$6:I$6&lt;=(I$6-$E13)))</f>
        <v>-7782654</v>
      </c>
      <c r="J57" s="29" cm="1">
        <f t="array" ref="J57">SUMPRODUCT(($I52:J52))-SUMPRODUCT(($I52:J52)*($I$6:J$6&lt;=(J$6-$E13)))</f>
        <v>-10861948</v>
      </c>
      <c r="K57" s="29" cm="1">
        <f t="array" ref="K57">SUMPRODUCT(($I52:K52))-SUMPRODUCT(($I52:K52)*($I$6:K$6&lt;=(K$6-$E13)))</f>
        <v>-15208880</v>
      </c>
      <c r="L57" s="29" cm="1">
        <f t="array" ref="L57">SUMPRODUCT(($I52:L52))-SUMPRODUCT(($I52:L52)*($I$6:L$6&lt;=(L$6-$E13)))</f>
        <v>-17217478</v>
      </c>
      <c r="M57" s="29" cm="1">
        <f t="array" ref="M57">SUMPRODUCT(($I52:M52))-SUMPRODUCT(($I52:M52)*($I$6:M$6&lt;=(M$6-$E13)))</f>
        <v>-19226076</v>
      </c>
      <c r="N57" s="29"/>
      <c r="O57" s="29"/>
      <c r="P57" s="29"/>
      <c r="Q57" s="29"/>
      <c r="R57" s="29"/>
      <c r="S57" s="29"/>
      <c r="T57" s="29"/>
      <c r="U57" s="29"/>
      <c r="V57" s="29"/>
      <c r="W57" s="29"/>
      <c r="X57" s="29"/>
      <c r="Y57" s="29"/>
      <c r="Z57" s="29"/>
      <c r="AA57" s="29"/>
      <c r="AB57" s="29"/>
      <c r="AC57" s="29"/>
      <c r="AD57" s="29"/>
      <c r="AE57" s="29"/>
      <c r="AF57" s="29"/>
      <c r="AG57" s="29"/>
    </row>
    <row r="58" spans="1:33" x14ac:dyDescent="0.3">
      <c r="A58" s="7"/>
      <c r="B58" s="7"/>
      <c r="C58" s="4" t="str">
        <f>C14</f>
        <v>ongoing capex</v>
      </c>
      <c r="D58" s="35"/>
      <c r="F58" s="88"/>
      <c r="G58" s="432">
        <f>input_dollars</f>
        <v>45473</v>
      </c>
      <c r="H58" s="29"/>
      <c r="I58" s="29" cm="1">
        <f t="array" ref="I58">SUMPRODUCT(($I53:I53))-SUMPRODUCT(($I53:I53)*($I$6:I$6&lt;=(I$6-$E14)))</f>
        <v>0</v>
      </c>
      <c r="J58" s="29" cm="1">
        <f t="array" ref="J58">SUMPRODUCT(($I53:J53))-SUMPRODUCT(($I53:J53)*($I$6:J$6&lt;=(J$6-$E14)))</f>
        <v>0</v>
      </c>
      <c r="K58" s="29" cm="1">
        <f t="array" ref="K58">SUMPRODUCT(($I53:K53))-SUMPRODUCT(($I53:K53)*($I$6:K$6&lt;=(K$6-$E14)))</f>
        <v>0</v>
      </c>
      <c r="L58" s="29" cm="1">
        <f t="array" ref="L58">SUMPRODUCT(($I53:L53))-SUMPRODUCT(($I53:L53)*($I$6:L$6&lt;=(L$6-$E14)))</f>
        <v>0</v>
      </c>
      <c r="M58" s="29" cm="1">
        <f t="array" ref="M58">SUMPRODUCT(($I53:M53))-SUMPRODUCT(($I53:M53)*($I$6:M$6&lt;=(M$6-$E14)))</f>
        <v>0</v>
      </c>
      <c r="N58" s="29"/>
      <c r="O58" s="29"/>
      <c r="P58" s="29"/>
      <c r="Q58" s="29"/>
      <c r="R58" s="29"/>
      <c r="S58" s="29"/>
      <c r="T58" s="29"/>
      <c r="U58" s="29"/>
      <c r="V58" s="29"/>
      <c r="W58" s="29"/>
      <c r="X58" s="29"/>
      <c r="Y58" s="29"/>
      <c r="Z58" s="29"/>
      <c r="AA58" s="29"/>
      <c r="AB58" s="29"/>
      <c r="AC58" s="29"/>
      <c r="AD58" s="29"/>
      <c r="AE58" s="29"/>
      <c r="AF58" s="29"/>
      <c r="AG58" s="29"/>
    </row>
    <row r="59" spans="1:33" x14ac:dyDescent="0.3">
      <c r="A59" s="7"/>
      <c r="B59" s="7"/>
      <c r="C59" s="4" t="str">
        <f>C15</f>
        <v>&lt; Enter description &gt;</v>
      </c>
      <c r="D59" s="35"/>
      <c r="F59" s="88"/>
      <c r="G59" s="432">
        <f>input_dollars</f>
        <v>45473</v>
      </c>
      <c r="H59" s="29"/>
      <c r="I59" s="29" cm="1">
        <f t="array" ref="I59">SUMPRODUCT(($I54:I54))-SUMPRODUCT(($I54:I54)*($I$6:I$6&lt;=(I$6-$E15)))</f>
        <v>0</v>
      </c>
      <c r="J59" s="29" cm="1">
        <f t="array" ref="J59">SUMPRODUCT(($I54:J54))-SUMPRODUCT(($I54:J54)*($I$6:J$6&lt;=(J$6-$E15)))</f>
        <v>0</v>
      </c>
      <c r="K59" s="29" cm="1">
        <f t="array" ref="K59">SUMPRODUCT(($I54:K54))-SUMPRODUCT(($I54:K54)*($I$6:K$6&lt;=(K$6-$E15)))</f>
        <v>0</v>
      </c>
      <c r="L59" s="29" cm="1">
        <f t="array" ref="L59">SUMPRODUCT(($I54:L54))-SUMPRODUCT(($I54:L54)*($I$6:L$6&lt;=(L$6-$E15)))</f>
        <v>0</v>
      </c>
      <c r="M59" s="29" cm="1">
        <f t="array" ref="M59">SUMPRODUCT(($I54:M54))-SUMPRODUCT(($I54:M54)*($I$6:M$6&lt;=(M$6-$E15)))</f>
        <v>0</v>
      </c>
      <c r="N59" s="29"/>
      <c r="O59" s="29"/>
      <c r="P59" s="29"/>
      <c r="Q59" s="29"/>
      <c r="R59" s="29"/>
      <c r="S59" s="29"/>
      <c r="T59" s="29"/>
      <c r="U59" s="29"/>
      <c r="V59" s="29"/>
      <c r="W59" s="29"/>
      <c r="X59" s="29"/>
      <c r="Y59" s="29"/>
      <c r="Z59" s="29"/>
      <c r="AA59" s="29"/>
      <c r="AB59" s="29"/>
      <c r="AC59" s="29"/>
      <c r="AD59" s="29"/>
      <c r="AE59" s="29"/>
      <c r="AF59" s="29"/>
      <c r="AG59" s="29"/>
    </row>
    <row r="60" spans="1:33" x14ac:dyDescent="0.3">
      <c r="A60" s="7"/>
      <c r="B60" s="7"/>
      <c r="C60" s="4"/>
      <c r="D60" s="35"/>
      <c r="F60" s="88"/>
      <c r="G60" s="432"/>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x14ac:dyDescent="0.3">
      <c r="A61" s="7"/>
      <c r="B61" s="7"/>
      <c r="C61" s="123" t="s">
        <v>70</v>
      </c>
      <c r="D61" s="35"/>
      <c r="F61" s="88"/>
      <c r="G61" s="435"/>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x14ac:dyDescent="0.3">
      <c r="A62" s="7"/>
      <c r="B62" s="7"/>
      <c r="C62" s="4" t="str">
        <f>$C$61&amp;" - "&amp;C13</f>
        <v>Annualised capex - capex</v>
      </c>
      <c r="D62" s="35"/>
      <c r="F62" s="88"/>
      <c r="G62" s="432">
        <f>input_dollars</f>
        <v>45473</v>
      </c>
      <c r="H62" s="29"/>
      <c r="I62" s="29">
        <f t="shared" ref="I62:M62" si="17">IF($E13=0,0,-PMT(real_disc, $E13,I57,))</f>
        <v>-1723712.8947343752</v>
      </c>
      <c r="J62" s="29">
        <f t="shared" si="17"/>
        <v>-2405719.158211872</v>
      </c>
      <c r="K62" s="29">
        <f t="shared" si="17"/>
        <v>-3368483.6265967553</v>
      </c>
      <c r="L62" s="29">
        <f t="shared" si="17"/>
        <v>-3813350.6697593671</v>
      </c>
      <c r="M62" s="29">
        <f t="shared" si="17"/>
        <v>-4258217.7129219798</v>
      </c>
      <c r="N62" s="29"/>
      <c r="O62" s="29"/>
      <c r="P62" s="29"/>
      <c r="Q62" s="29"/>
      <c r="R62" s="29"/>
      <c r="S62" s="29"/>
      <c r="T62" s="29"/>
      <c r="U62" s="29"/>
      <c r="V62" s="29"/>
      <c r="W62" s="29"/>
      <c r="X62" s="29"/>
      <c r="Y62" s="29"/>
      <c r="Z62" s="29"/>
      <c r="AA62" s="29"/>
      <c r="AB62" s="29"/>
      <c r="AC62" s="29"/>
      <c r="AD62" s="29"/>
      <c r="AE62" s="29"/>
      <c r="AF62" s="29"/>
      <c r="AG62" s="29"/>
    </row>
    <row r="63" spans="1:33" x14ac:dyDescent="0.3">
      <c r="A63" s="7"/>
      <c r="B63" s="7"/>
      <c r="C63" s="4" t="str">
        <f>$C$61&amp;" - "&amp;C14</f>
        <v>Annualised capex - ongoing capex</v>
      </c>
      <c r="D63" s="35"/>
      <c r="F63" s="88"/>
      <c r="G63" s="432">
        <f>input_dollars</f>
        <v>45473</v>
      </c>
      <c r="H63" s="29"/>
      <c r="I63" s="29">
        <f t="shared" ref="I63:M63" si="18">IF($E14=0,0,-PMT(real_disc, $E14,I58,))</f>
        <v>0</v>
      </c>
      <c r="J63" s="29">
        <f t="shared" si="18"/>
        <v>0</v>
      </c>
      <c r="K63" s="29">
        <f t="shared" si="18"/>
        <v>0</v>
      </c>
      <c r="L63" s="29">
        <f t="shared" si="18"/>
        <v>0</v>
      </c>
      <c r="M63" s="29">
        <f t="shared" si="18"/>
        <v>0</v>
      </c>
      <c r="N63" s="29"/>
      <c r="O63" s="29"/>
      <c r="P63" s="29"/>
      <c r="Q63" s="29"/>
      <c r="R63" s="29"/>
      <c r="S63" s="29"/>
      <c r="T63" s="29"/>
      <c r="U63" s="29"/>
      <c r="V63" s="29"/>
      <c r="W63" s="29"/>
      <c r="X63" s="29"/>
      <c r="Y63" s="29"/>
      <c r="Z63" s="29"/>
      <c r="AA63" s="29"/>
      <c r="AB63" s="29"/>
      <c r="AC63" s="29"/>
      <c r="AD63" s="29"/>
      <c r="AE63" s="29"/>
      <c r="AF63" s="29"/>
      <c r="AG63" s="29"/>
    </row>
    <row r="64" spans="1:33" x14ac:dyDescent="0.3">
      <c r="A64" s="7"/>
      <c r="B64" s="7"/>
      <c r="C64" s="4" t="str">
        <f>$C$61&amp;" - "&amp;C15</f>
        <v>Annualised capex - &lt; Enter description &gt;</v>
      </c>
      <c r="D64" s="35"/>
      <c r="F64" s="88"/>
      <c r="G64" s="432">
        <f>input_dollars</f>
        <v>45473</v>
      </c>
      <c r="H64" s="29"/>
      <c r="I64" s="29">
        <f t="shared" ref="I64:M64" si="19">IF($E15=0,0,-PMT(real_disc, $E15,I59,))</f>
        <v>0</v>
      </c>
      <c r="J64" s="29">
        <f t="shared" si="19"/>
        <v>0</v>
      </c>
      <c r="K64" s="29">
        <f t="shared" si="19"/>
        <v>0</v>
      </c>
      <c r="L64" s="29">
        <f t="shared" si="19"/>
        <v>0</v>
      </c>
      <c r="M64" s="29">
        <f t="shared" si="19"/>
        <v>0</v>
      </c>
      <c r="N64" s="29"/>
      <c r="O64" s="29"/>
      <c r="P64" s="29"/>
      <c r="Q64" s="29"/>
      <c r="R64" s="29"/>
      <c r="S64" s="29"/>
      <c r="T64" s="29"/>
      <c r="U64" s="29"/>
      <c r="V64" s="29"/>
      <c r="W64" s="29"/>
      <c r="X64" s="29"/>
      <c r="Y64" s="29"/>
      <c r="Z64" s="29"/>
      <c r="AA64" s="29"/>
      <c r="AB64" s="29"/>
      <c r="AC64" s="29"/>
      <c r="AD64" s="29"/>
      <c r="AE64" s="29"/>
      <c r="AF64" s="29"/>
      <c r="AG64" s="29"/>
    </row>
    <row r="65" spans="1:33" x14ac:dyDescent="0.3">
      <c r="A65" s="7"/>
      <c r="B65" s="7"/>
      <c r="C65" s="135" t="s">
        <v>111</v>
      </c>
      <c r="D65" s="135"/>
      <c r="E65" s="136"/>
      <c r="F65" s="137"/>
      <c r="G65" s="433">
        <f>input_dollars</f>
        <v>45473</v>
      </c>
      <c r="H65" s="138"/>
      <c r="I65" s="138">
        <f>SUM(I62:I64)</f>
        <v>-1723712.8947343752</v>
      </c>
      <c r="J65" s="138">
        <f t="shared" ref="J65:M65" si="20">SUM(J62:J64)</f>
        <v>-2405719.158211872</v>
      </c>
      <c r="K65" s="138">
        <f t="shared" si="20"/>
        <v>-3368483.6265967553</v>
      </c>
      <c r="L65" s="138">
        <f t="shared" si="20"/>
        <v>-3813350.6697593671</v>
      </c>
      <c r="M65" s="138">
        <f t="shared" si="20"/>
        <v>-4258217.7129219798</v>
      </c>
      <c r="N65" s="138"/>
      <c r="O65" s="138"/>
      <c r="P65" s="138"/>
      <c r="Q65" s="138"/>
      <c r="R65" s="138"/>
      <c r="S65" s="138"/>
      <c r="T65" s="138"/>
      <c r="U65" s="138"/>
      <c r="V65" s="138"/>
      <c r="W65" s="138"/>
      <c r="X65" s="138"/>
      <c r="Y65" s="138"/>
      <c r="Z65" s="138"/>
      <c r="AA65" s="138"/>
      <c r="AB65" s="138"/>
      <c r="AC65" s="138"/>
      <c r="AD65" s="138"/>
      <c r="AE65" s="138"/>
      <c r="AF65" s="138"/>
      <c r="AG65" s="138"/>
    </row>
    <row r="66" spans="1:33" ht="13.5" x14ac:dyDescent="0.3">
      <c r="A66" s="7"/>
      <c r="B66" s="7"/>
      <c r="C66" s="13"/>
      <c r="D66" s="35"/>
      <c r="F66"/>
      <c r="G66" s="432"/>
      <c r="H66"/>
      <c r="I66"/>
      <c r="J66"/>
      <c r="K66"/>
      <c r="L66"/>
      <c r="M66"/>
      <c r="N66"/>
      <c r="O66"/>
      <c r="P66"/>
      <c r="Q66"/>
      <c r="R66"/>
      <c r="S66"/>
      <c r="T66"/>
      <c r="U66"/>
      <c r="V66"/>
      <c r="W66"/>
      <c r="X66"/>
      <c r="Y66"/>
      <c r="Z66"/>
      <c r="AA66"/>
      <c r="AB66"/>
      <c r="AC66"/>
      <c r="AD66"/>
      <c r="AE66"/>
      <c r="AF66"/>
      <c r="AG66"/>
    </row>
    <row r="67" spans="1:33" x14ac:dyDescent="0.3">
      <c r="A67" s="7"/>
      <c r="B67" s="7"/>
      <c r="C67" s="4" t="s">
        <v>70</v>
      </c>
      <c r="D67" s="35"/>
      <c r="F67" s="88"/>
      <c r="G67" s="432">
        <f t="shared" ref="G67:G72" si="21">input_dollars</f>
        <v>45473</v>
      </c>
      <c r="H67" s="29"/>
      <c r="I67" s="29">
        <f>I65</f>
        <v>-1723712.8947343752</v>
      </c>
      <c r="J67" s="29">
        <f t="shared" ref="J67:M67" si="22">J65</f>
        <v>-2405719.158211872</v>
      </c>
      <c r="K67" s="29">
        <f t="shared" si="22"/>
        <v>-3368483.6265967553</v>
      </c>
      <c r="L67" s="29">
        <f t="shared" si="22"/>
        <v>-3813350.6697593671</v>
      </c>
      <c r="M67" s="29">
        <f t="shared" si="22"/>
        <v>-4258217.7129219798</v>
      </c>
      <c r="N67" s="29"/>
      <c r="O67" s="29"/>
      <c r="P67" s="29"/>
      <c r="Q67" s="29"/>
      <c r="R67" s="29"/>
      <c r="S67" s="29"/>
      <c r="T67" s="29"/>
      <c r="U67" s="29"/>
      <c r="V67" s="29"/>
      <c r="W67" s="29"/>
      <c r="X67" s="29"/>
      <c r="Y67" s="29"/>
      <c r="Z67" s="29"/>
      <c r="AA67" s="29"/>
      <c r="AB67" s="29"/>
      <c r="AC67" s="29"/>
      <c r="AD67" s="29"/>
      <c r="AE67" s="29"/>
      <c r="AF67" s="29"/>
      <c r="AG67" s="29"/>
    </row>
    <row r="68" spans="1:33" x14ac:dyDescent="0.3">
      <c r="A68" s="7"/>
      <c r="B68" s="7"/>
      <c r="C68" s="4" t="s">
        <v>19</v>
      </c>
      <c r="D68" s="35"/>
      <c r="F68" s="88"/>
      <c r="G68" s="432">
        <f t="shared" si="21"/>
        <v>45473</v>
      </c>
      <c r="H68" s="29"/>
      <c r="I68" s="29">
        <f t="shared" ref="I68:M68" si="23">-I18</f>
        <v>0</v>
      </c>
      <c r="J68" s="29">
        <f t="shared" si="23"/>
        <v>0</v>
      </c>
      <c r="K68" s="29">
        <f t="shared" si="23"/>
        <v>0</v>
      </c>
      <c r="L68" s="29">
        <f t="shared" si="23"/>
        <v>0</v>
      </c>
      <c r="M68" s="29">
        <f t="shared" si="23"/>
        <v>0</v>
      </c>
      <c r="N68" s="29"/>
      <c r="O68" s="29"/>
      <c r="P68" s="29"/>
      <c r="Q68" s="29"/>
      <c r="R68" s="29"/>
      <c r="S68" s="29"/>
      <c r="T68" s="29"/>
      <c r="U68" s="29"/>
      <c r="V68" s="29"/>
      <c r="W68" s="29"/>
      <c r="X68" s="29"/>
      <c r="Y68" s="29"/>
      <c r="Z68" s="29"/>
      <c r="AA68" s="29"/>
      <c r="AB68" s="29"/>
      <c r="AC68" s="29"/>
      <c r="AD68" s="29"/>
      <c r="AE68" s="29"/>
      <c r="AF68" s="29"/>
      <c r="AG68" s="29"/>
    </row>
    <row r="69" spans="1:33" x14ac:dyDescent="0.3">
      <c r="A69" s="7"/>
      <c r="B69" s="7"/>
      <c r="C69" s="4" t="s">
        <v>100</v>
      </c>
      <c r="D69" s="35"/>
      <c r="F69" s="88"/>
      <c r="G69" s="432">
        <f t="shared" si="21"/>
        <v>45473</v>
      </c>
      <c r="H69" s="29"/>
      <c r="I69" s="29">
        <f>I49</f>
        <v>0</v>
      </c>
      <c r="J69" s="29">
        <f t="shared" ref="J69:M69" si="24">J49</f>
        <v>0</v>
      </c>
      <c r="K69" s="29">
        <f t="shared" si="24"/>
        <v>0</v>
      </c>
      <c r="L69" s="29">
        <f t="shared" si="24"/>
        <v>0</v>
      </c>
      <c r="M69" s="29">
        <f t="shared" si="24"/>
        <v>0</v>
      </c>
      <c r="N69" s="29"/>
      <c r="O69" s="29"/>
      <c r="P69" s="29"/>
      <c r="Q69" s="29"/>
      <c r="R69" s="29"/>
      <c r="S69" s="29"/>
      <c r="T69" s="29"/>
      <c r="U69" s="29"/>
      <c r="V69" s="29"/>
      <c r="W69" s="29"/>
      <c r="X69" s="29"/>
      <c r="Y69" s="29"/>
      <c r="Z69" s="29"/>
      <c r="AA69" s="29"/>
      <c r="AB69" s="29"/>
      <c r="AC69" s="29"/>
      <c r="AD69" s="29"/>
      <c r="AE69" s="29"/>
      <c r="AF69" s="29"/>
      <c r="AG69" s="29"/>
    </row>
    <row r="70" spans="1:33" x14ac:dyDescent="0.3">
      <c r="A70" s="7"/>
      <c r="B70" s="7"/>
      <c r="C70" s="4" t="s">
        <v>88</v>
      </c>
      <c r="D70" s="35"/>
      <c r="F70" s="88"/>
      <c r="G70" s="432">
        <f t="shared" si="21"/>
        <v>45473</v>
      </c>
      <c r="H70" s="29"/>
      <c r="I70" s="29">
        <f t="shared" ref="I70:M70" si="25">I42</f>
        <v>0</v>
      </c>
      <c r="J70" s="29">
        <f t="shared" si="25"/>
        <v>0</v>
      </c>
      <c r="K70" s="29">
        <f t="shared" si="25"/>
        <v>0</v>
      </c>
      <c r="L70" s="29">
        <f t="shared" si="25"/>
        <v>0</v>
      </c>
      <c r="M70" s="29">
        <f t="shared" si="25"/>
        <v>0</v>
      </c>
      <c r="N70" s="29"/>
      <c r="O70" s="29"/>
      <c r="P70" s="29"/>
      <c r="Q70" s="29"/>
      <c r="R70" s="29"/>
      <c r="S70" s="29"/>
      <c r="T70" s="29"/>
      <c r="U70" s="29"/>
      <c r="V70" s="29"/>
      <c r="W70" s="29"/>
      <c r="X70" s="29"/>
      <c r="Y70" s="29"/>
      <c r="Z70" s="29"/>
      <c r="AA70" s="29"/>
      <c r="AB70" s="29"/>
      <c r="AC70" s="29"/>
      <c r="AD70" s="29"/>
      <c r="AE70" s="29"/>
      <c r="AF70" s="29"/>
      <c r="AG70" s="29"/>
    </row>
    <row r="71" spans="1:33" x14ac:dyDescent="0.3">
      <c r="A71" s="7"/>
      <c r="B71" s="7"/>
      <c r="C71" s="4"/>
      <c r="D71" s="35"/>
      <c r="F71" s="29"/>
      <c r="G71" s="432"/>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x14ac:dyDescent="0.3">
      <c r="A72" s="7"/>
      <c r="B72" s="7"/>
      <c r="C72" s="142" t="s">
        <v>127</v>
      </c>
      <c r="D72" s="140"/>
      <c r="E72" s="136"/>
      <c r="F72" s="141"/>
      <c r="G72" s="433">
        <f t="shared" si="21"/>
        <v>45473</v>
      </c>
      <c r="H72" s="141"/>
      <c r="I72" s="141">
        <f t="shared" ref="I72:M72" si="26">SUM(I67:I71)</f>
        <v>-1723712.8947343752</v>
      </c>
      <c r="J72" s="141">
        <f t="shared" si="26"/>
        <v>-2405719.158211872</v>
      </c>
      <c r="K72" s="141">
        <f t="shared" si="26"/>
        <v>-3368483.6265967553</v>
      </c>
      <c r="L72" s="141">
        <f t="shared" si="26"/>
        <v>-3813350.6697593671</v>
      </c>
      <c r="M72" s="141">
        <f t="shared" si="26"/>
        <v>-4258217.7129219798</v>
      </c>
      <c r="N72" s="141"/>
      <c r="O72" s="141"/>
      <c r="P72" s="141"/>
      <c r="Q72" s="141"/>
      <c r="R72" s="141"/>
      <c r="S72" s="141"/>
      <c r="T72" s="141"/>
      <c r="U72" s="141"/>
      <c r="V72" s="141"/>
      <c r="W72" s="141"/>
      <c r="X72" s="141"/>
      <c r="Y72" s="141"/>
      <c r="Z72" s="141"/>
      <c r="AA72" s="141"/>
      <c r="AB72" s="141"/>
      <c r="AC72" s="141"/>
      <c r="AD72" s="141"/>
      <c r="AE72" s="141"/>
      <c r="AF72" s="141"/>
      <c r="AG72" s="141"/>
    </row>
    <row r="73" spans="1:33" x14ac:dyDescent="0.3">
      <c r="A73" s="7"/>
      <c r="B73" s="7"/>
      <c r="C73" s="13"/>
      <c r="D73" s="35"/>
      <c r="F73" s="118"/>
      <c r="G73" s="167"/>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7"/>
      <c r="B74" s="7"/>
      <c r="C74" s="13"/>
      <c r="D74" s="35"/>
      <c r="F74" s="118"/>
      <c r="G74" s="167"/>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7"/>
      <c r="B75" s="7"/>
      <c r="C75" s="180"/>
      <c r="D75" s="74"/>
      <c r="E75" s="181"/>
      <c r="F75" s="182"/>
      <c r="G75" s="181"/>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3" x14ac:dyDescent="0.3">
      <c r="C76" s="181"/>
      <c r="D76" s="181"/>
      <c r="E76" s="181"/>
      <c r="F76" s="181"/>
      <c r="G76" s="181"/>
    </row>
    <row r="77" spans="1:33" x14ac:dyDescent="0.3">
      <c r="C77" s="181"/>
      <c r="D77" s="181"/>
      <c r="E77" s="181"/>
      <c r="F77" s="181"/>
      <c r="G77" s="181"/>
    </row>
    <row r="79" spans="1:33" x14ac:dyDescent="0.3">
      <c r="G79" s="11"/>
    </row>
  </sheetData>
  <conditionalFormatting sqref="E13:E15">
    <cfRule type="expression" dxfId="12" priority="13">
      <formula>AND(SUM($I13:$AB13)&lt;&gt;0, E13=0)</formula>
    </cfRule>
  </conditionalFormatting>
  <conditionalFormatting sqref="E22">
    <cfRule type="expression" dxfId="11" priority="1">
      <formula>AND(SUM($I22:$AB22)&lt;&gt;0, E22=0)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G13" sqref="G13:G7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4" t="str">
        <f>bus</f>
        <v>United Energy</v>
      </c>
      <c r="B1" s="14"/>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43" ht="18.5" x14ac:dyDescent="0.45">
      <c r="A2" s="54" t="str">
        <f>proj</f>
        <v>Infrastructure refresh risk</v>
      </c>
      <c r="B2" s="54"/>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43" ht="15.5" x14ac:dyDescent="0.35">
      <c r="A3" s="163" t="s">
        <v>91</v>
      </c>
      <c r="B3" s="5"/>
      <c r="C3" s="161" t="str">
        <f>INDEX(Assumptions!$E$14:$E$17, MATCH(A3,_xlfn.ANCHORARRAY( Assumptions!$C$14),0))</f>
        <v>Maintain existing infrastructure with more frequent upgrades</v>
      </c>
    </row>
    <row r="4" spans="1:43" x14ac:dyDescent="0.3">
      <c r="A4" s="1" t="str">
        <f>(INDEX(Data!$D$9:$D$12, MATCH(A3, options,0)))</f>
        <v/>
      </c>
      <c r="B4" s="148"/>
      <c r="C4" s="188" t="str">
        <f>IF(INDEX(Misc_calcs!$D$39:$D$54, MATCH(A3, Misc_calcs!$B$39:$B$54,0)), Misc_calcs!$B$57, "")</f>
        <v/>
      </c>
    </row>
    <row r="5" spans="1:43" x14ac:dyDescent="0.3">
      <c r="C5" s="90"/>
      <c r="D5" s="89"/>
      <c r="E5" s="91"/>
      <c r="F5" s="91"/>
      <c r="G5" s="89"/>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43" x14ac:dyDescent="0.3">
      <c r="A6" s="89" t="str">
        <f>'Option1 (base case)'!A6</f>
        <v>Count</v>
      </c>
      <c r="B6" s="89"/>
      <c r="C6" s="90"/>
      <c r="D6" s="89"/>
      <c r="E6" s="91"/>
      <c r="F6" s="91"/>
      <c r="G6" s="89"/>
      <c r="H6" s="92"/>
      <c r="I6" s="92">
        <f>'Option1 (base case)'!I6</f>
        <v>1</v>
      </c>
      <c r="J6" s="92">
        <f>'Option1 (base case)'!J6</f>
        <v>2</v>
      </c>
      <c r="K6" s="92">
        <f>'Option1 (base case)'!K6</f>
        <v>3</v>
      </c>
      <c r="L6" s="92">
        <f>'Option1 (base case)'!L6</f>
        <v>4</v>
      </c>
      <c r="M6" s="92">
        <f>'Option1 (base case)'!M6</f>
        <v>5</v>
      </c>
      <c r="N6" s="92">
        <f>'Option1 (base case)'!N6</f>
        <v>6</v>
      </c>
      <c r="O6" s="92">
        <f>'Option1 (base case)'!O6</f>
        <v>7</v>
      </c>
      <c r="P6" s="92">
        <f>'Option1 (base case)'!P6</f>
        <v>8</v>
      </c>
      <c r="Q6" s="92">
        <f>'Option1 (base case)'!Q6</f>
        <v>9</v>
      </c>
      <c r="R6" s="92">
        <f>'Option1 (base case)'!R6</f>
        <v>10</v>
      </c>
      <c r="S6" s="92">
        <f>'Option1 (base case)'!S6</f>
        <v>11</v>
      </c>
      <c r="T6" s="92">
        <f>'Option1 (base case)'!T6</f>
        <v>12</v>
      </c>
      <c r="U6" s="92">
        <f>'Option1 (base case)'!U6</f>
        <v>13</v>
      </c>
      <c r="V6" s="92">
        <f>'Option1 (base case)'!V6</f>
        <v>14</v>
      </c>
      <c r="W6" s="92">
        <f>'Option1 (base case)'!W6</f>
        <v>15</v>
      </c>
      <c r="X6" s="92">
        <f>'Option1 (base case)'!X6</f>
        <v>16</v>
      </c>
      <c r="Y6" s="92">
        <f>'Option1 (base case)'!Y6</f>
        <v>17</v>
      </c>
      <c r="Z6" s="92">
        <f>'Option1 (base case)'!Z6</f>
        <v>18</v>
      </c>
      <c r="AA6" s="92">
        <f>'Option1 (base case)'!AA6</f>
        <v>19</v>
      </c>
      <c r="AB6" s="92">
        <f>'Option1 (base case)'!AB6</f>
        <v>20</v>
      </c>
      <c r="AC6" s="92">
        <f>'Option1 (base case)'!AC6</f>
        <v>21</v>
      </c>
      <c r="AD6" s="92">
        <f>'Option1 (base case)'!AD6</f>
        <v>22</v>
      </c>
      <c r="AE6" s="92">
        <f>'Option1 (base case)'!AE6</f>
        <v>23</v>
      </c>
      <c r="AF6" s="92">
        <f>'Option1 (base case)'!AF6</f>
        <v>24</v>
      </c>
      <c r="AG6" s="92">
        <f>'Option1 (base case)'!AG6</f>
        <v>25</v>
      </c>
    </row>
    <row r="7" spans="1:43" ht="6.75" customHeight="1" x14ac:dyDescent="0.3">
      <c r="C7" s="90"/>
      <c r="D7" s="89"/>
      <c r="E7" s="91"/>
      <c r="F7" s="91"/>
      <c r="G7" s="89"/>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43" ht="14.5" x14ac:dyDescent="0.3">
      <c r="A8" s="17"/>
      <c r="B8" s="17"/>
      <c r="C8" s="17"/>
      <c r="D8" s="17"/>
      <c r="E8" s="17"/>
      <c r="F8" s="120"/>
      <c r="G8" s="17" t="s">
        <v>13</v>
      </c>
      <c r="H8" s="170"/>
      <c r="I8" s="16" t="str">
        <f>'Option1 (base case)'!I8</f>
        <v>2026-27</v>
      </c>
      <c r="J8" s="16" t="str">
        <f>'Option1 (base case)'!J8</f>
        <v>2027-28</v>
      </c>
      <c r="K8" s="16" t="str">
        <f>'Option1 (base case)'!K8</f>
        <v>2028-29</v>
      </c>
      <c r="L8" s="16" t="str">
        <f>'Option1 (base case)'!L8</f>
        <v>2029-30</v>
      </c>
      <c r="M8" s="16" t="str">
        <f>'Option1 (base case)'!M8</f>
        <v>2030-31</v>
      </c>
      <c r="N8" s="16" t="str">
        <f>'Option1 (base case)'!N8</f>
        <v>2031-32</v>
      </c>
      <c r="O8" s="16" t="str">
        <f>'Option1 (base case)'!O8</f>
        <v>2032-33</v>
      </c>
      <c r="P8" s="16" t="str">
        <f>'Option1 (base case)'!P8</f>
        <v>2033-34</v>
      </c>
      <c r="Q8" s="16" t="str">
        <f>'Option1 (base case)'!Q8</f>
        <v>2034-35</v>
      </c>
      <c r="R8" s="16" t="str">
        <f>'Option1 (base case)'!R8</f>
        <v>2035-36</v>
      </c>
      <c r="S8" s="16" t="str">
        <f>'Option1 (base case)'!S8</f>
        <v>2036-37</v>
      </c>
      <c r="T8" s="16" t="str">
        <f>'Option1 (base case)'!T8</f>
        <v>2037-38</v>
      </c>
      <c r="U8" s="16" t="str">
        <f>'Option1 (base case)'!U8</f>
        <v>2038-39</v>
      </c>
      <c r="V8" s="16" t="str">
        <f>'Option1 (base case)'!V8</f>
        <v>2039-40</v>
      </c>
      <c r="W8" s="16" t="str">
        <f>'Option1 (base case)'!W8</f>
        <v>2040-41</v>
      </c>
      <c r="X8" s="16" t="str">
        <f>'Option1 (base case)'!X8</f>
        <v>2041-42</v>
      </c>
      <c r="Y8" s="16" t="str">
        <f>'Option1 (base case)'!Y8</f>
        <v>2042-43</v>
      </c>
      <c r="Z8" s="16" t="str">
        <f>'Option1 (base case)'!Z8</f>
        <v>2043-44</v>
      </c>
      <c r="AA8" s="16" t="str">
        <f>'Option1 (base case)'!AA8</f>
        <v>2044-45</v>
      </c>
      <c r="AB8" s="16" t="str">
        <f>'Option1 (base case)'!AB8</f>
        <v>2045-46</v>
      </c>
      <c r="AC8" s="16" t="str">
        <f>'Option1 (base case)'!AC8</f>
        <v>2046-47</v>
      </c>
      <c r="AD8" s="16" t="str">
        <f>'Option1 (base case)'!AD8</f>
        <v>2047-48</v>
      </c>
      <c r="AE8" s="16" t="str">
        <f>'Option1 (base case)'!AE8</f>
        <v>2048-49</v>
      </c>
      <c r="AF8" s="16" t="str">
        <f>'Option1 (base case)'!AF8</f>
        <v>2049-50</v>
      </c>
      <c r="AG8" s="16"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78" t="s">
        <v>86</v>
      </c>
      <c r="B10" s="78"/>
      <c r="C10" s="79"/>
      <c r="D10" s="79"/>
      <c r="E10" s="79"/>
      <c r="F10" s="79"/>
      <c r="G10" s="16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row>
    <row r="11" spans="1:43" x14ac:dyDescent="0.3">
      <c r="A11" s="3"/>
      <c r="B11" s="3"/>
      <c r="C11" s="3"/>
      <c r="D11" s="3"/>
      <c r="G11" s="165"/>
    </row>
    <row r="12" spans="1:43" ht="13.5" x14ac:dyDescent="0.3">
      <c r="C12" s="3" t="s">
        <v>11</v>
      </c>
      <c r="D12"/>
      <c r="E12" s="107" t="s">
        <v>54</v>
      </c>
      <c r="G12" s="166"/>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55" t="s">
        <v>164</v>
      </c>
      <c r="D13"/>
      <c r="E13" s="124">
        <v>5</v>
      </c>
      <c r="G13" s="431">
        <f>input_dollars</f>
        <v>45473</v>
      </c>
      <c r="H13" s="125"/>
      <c r="I13" s="30">
        <f>'Cost summary'!J14</f>
        <v>10676148</v>
      </c>
      <c r="J13" s="30">
        <f>'Cost summary'!K14</f>
        <v>6058223</v>
      </c>
      <c r="K13" s="30">
        <f>'Cost summary'!L14</f>
        <v>8340179</v>
      </c>
      <c r="L13" s="30">
        <f>'Cost summary'!M14</f>
        <v>6179345</v>
      </c>
      <c r="M13" s="30">
        <f>'Cost summary'!N14</f>
        <v>3867174</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c r="AI13"/>
      <c r="AJ13"/>
      <c r="AK13"/>
      <c r="AL13"/>
      <c r="AM13"/>
      <c r="AN13"/>
      <c r="AO13"/>
      <c r="AP13"/>
      <c r="AQ13"/>
    </row>
    <row r="14" spans="1:43" ht="13.5" x14ac:dyDescent="0.3">
      <c r="C14" s="55" t="s">
        <v>247</v>
      </c>
      <c r="D14"/>
      <c r="E14" s="124">
        <v>5</v>
      </c>
      <c r="G14" s="431">
        <f>input_dollars</f>
        <v>45473</v>
      </c>
      <c r="H14" s="2"/>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c r="AI14"/>
      <c r="AJ14"/>
      <c r="AK14"/>
      <c r="AL14"/>
      <c r="AM14"/>
      <c r="AN14"/>
      <c r="AO14"/>
      <c r="AP14"/>
      <c r="AQ14"/>
    </row>
    <row r="15" spans="1:43" ht="13.5" x14ac:dyDescent="0.3">
      <c r="C15" s="55" t="s">
        <v>43</v>
      </c>
      <c r="D15"/>
      <c r="E15" s="124">
        <v>0</v>
      </c>
      <c r="G15" s="431">
        <f>input_dollars</f>
        <v>45473</v>
      </c>
      <c r="H15" s="2"/>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c r="AI15"/>
      <c r="AJ15"/>
      <c r="AK15"/>
      <c r="AL15"/>
      <c r="AM15"/>
      <c r="AN15"/>
      <c r="AO15"/>
      <c r="AP15"/>
      <c r="AQ15"/>
    </row>
    <row r="16" spans="1:43" ht="13.5" x14ac:dyDescent="0.3">
      <c r="C16" s="1" t="s">
        <v>18</v>
      </c>
      <c r="G16" s="431">
        <f>input_dollars</f>
        <v>45473</v>
      </c>
      <c r="H16" s="98"/>
      <c r="I16" s="97">
        <f t="shared" ref="I16:M16" si="0">SUM(I13:I15)</f>
        <v>10676148</v>
      </c>
      <c r="J16" s="97">
        <f t="shared" si="0"/>
        <v>6058223</v>
      </c>
      <c r="K16" s="97">
        <f t="shared" si="0"/>
        <v>8340179</v>
      </c>
      <c r="L16" s="97">
        <f t="shared" si="0"/>
        <v>6179345</v>
      </c>
      <c r="M16" s="97">
        <f t="shared" si="0"/>
        <v>3867174</v>
      </c>
      <c r="N16" s="97">
        <f t="shared" ref="N16:R16" si="1">SUM(N13:N15)</f>
        <v>0</v>
      </c>
      <c r="O16" s="97">
        <f t="shared" si="1"/>
        <v>0</v>
      </c>
      <c r="P16" s="97">
        <f t="shared" si="1"/>
        <v>0</v>
      </c>
      <c r="Q16" s="97">
        <f t="shared" si="1"/>
        <v>0</v>
      </c>
      <c r="R16" s="97">
        <f t="shared" si="1"/>
        <v>0</v>
      </c>
      <c r="S16" s="97">
        <f t="shared" ref="S16:AG16" si="2">SUM(S13:S15)</f>
        <v>0</v>
      </c>
      <c r="T16" s="97">
        <f t="shared" si="2"/>
        <v>0</v>
      </c>
      <c r="U16" s="97">
        <f t="shared" si="2"/>
        <v>0</v>
      </c>
      <c r="V16" s="97">
        <f t="shared" si="2"/>
        <v>0</v>
      </c>
      <c r="W16" s="97">
        <f t="shared" si="2"/>
        <v>0</v>
      </c>
      <c r="X16" s="97">
        <f t="shared" si="2"/>
        <v>0</v>
      </c>
      <c r="Y16" s="97">
        <f t="shared" si="2"/>
        <v>0</v>
      </c>
      <c r="Z16" s="97">
        <f t="shared" si="2"/>
        <v>0</v>
      </c>
      <c r="AA16" s="97">
        <f t="shared" si="2"/>
        <v>0</v>
      </c>
      <c r="AB16" s="97">
        <f t="shared" si="2"/>
        <v>0</v>
      </c>
      <c r="AC16" s="97">
        <f t="shared" si="2"/>
        <v>0</v>
      </c>
      <c r="AD16" s="97">
        <f t="shared" si="2"/>
        <v>0</v>
      </c>
      <c r="AE16" s="97">
        <f t="shared" si="2"/>
        <v>0</v>
      </c>
      <c r="AF16" s="97">
        <f t="shared" si="2"/>
        <v>0</v>
      </c>
      <c r="AG16" s="97">
        <f t="shared" si="2"/>
        <v>0</v>
      </c>
    </row>
    <row r="17" spans="1:43" ht="13.5" x14ac:dyDescent="0.3">
      <c r="C17"/>
      <c r="D17"/>
      <c r="E17"/>
      <c r="G17" s="436"/>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98"/>
      <c r="G18" s="431">
        <f>input_dollars</f>
        <v>45473</v>
      </c>
      <c r="H18" s="98"/>
      <c r="I18" s="30">
        <f>'Cost summary'!J21</f>
        <v>-1367236.95</v>
      </c>
      <c r="J18" s="30">
        <f>'Cost summary'!K21</f>
        <v>-395086.92500000005</v>
      </c>
      <c r="K18" s="30">
        <f>'Cost summary'!L21</f>
        <v>458269.97500000009</v>
      </c>
      <c r="L18" s="30">
        <f>'Cost summary'!M21</f>
        <v>1266246.375</v>
      </c>
      <c r="M18" s="30">
        <f>'Cost summary'!N21</f>
        <v>1698276.875</v>
      </c>
      <c r="N18" s="114">
        <v>0</v>
      </c>
      <c r="O18" s="114">
        <v>0</v>
      </c>
      <c r="P18" s="114">
        <v>0</v>
      </c>
      <c r="Q18" s="114">
        <v>0</v>
      </c>
      <c r="R18" s="114">
        <v>0</v>
      </c>
      <c r="S18" s="114">
        <v>0</v>
      </c>
      <c r="T18" s="114">
        <v>0</v>
      </c>
      <c r="U18" s="114">
        <v>0</v>
      </c>
      <c r="V18" s="114">
        <v>0</v>
      </c>
      <c r="W18" s="114">
        <v>0</v>
      </c>
      <c r="X18" s="114">
        <v>0</v>
      </c>
      <c r="Y18" s="114">
        <v>0</v>
      </c>
      <c r="Z18" s="114">
        <v>0</v>
      </c>
      <c r="AA18" s="114">
        <v>0</v>
      </c>
      <c r="AB18" s="114">
        <v>0</v>
      </c>
      <c r="AC18" s="114">
        <v>0</v>
      </c>
      <c r="AD18" s="114">
        <v>0</v>
      </c>
      <c r="AE18" s="114">
        <v>0</v>
      </c>
      <c r="AF18" s="114">
        <v>0</v>
      </c>
      <c r="AG18" s="114">
        <v>0</v>
      </c>
    </row>
    <row r="19" spans="1:43" ht="13.5" x14ac:dyDescent="0.3">
      <c r="D19"/>
      <c r="E19"/>
      <c r="F19" s="98"/>
      <c r="G19" s="431"/>
      <c r="H19" s="98"/>
      <c r="I19" s="124"/>
      <c r="J19" s="124"/>
      <c r="K19" s="124"/>
      <c r="L19" s="124"/>
      <c r="M19" s="124"/>
      <c r="N19" s="124"/>
      <c r="O19" s="124"/>
      <c r="P19" s="124"/>
      <c r="Q19" s="124"/>
      <c r="R19" s="124"/>
      <c r="S19" s="124"/>
      <c r="T19" s="124"/>
      <c r="U19" s="124"/>
      <c r="V19" s="124"/>
      <c r="W19" s="124"/>
      <c r="X19" s="190"/>
      <c r="Y19" s="190"/>
      <c r="Z19" s="190"/>
      <c r="AA19" s="190"/>
      <c r="AB19" s="190"/>
      <c r="AC19" s="190"/>
      <c r="AD19" s="190"/>
      <c r="AE19" s="190"/>
      <c r="AF19" s="190"/>
      <c r="AG19" s="190"/>
    </row>
    <row r="20" spans="1:43" x14ac:dyDescent="0.3">
      <c r="G20" s="436"/>
    </row>
    <row r="21" spans="1:43" ht="14.5" x14ac:dyDescent="0.3">
      <c r="A21" s="78" t="s">
        <v>147</v>
      </c>
      <c r="B21" s="78"/>
      <c r="C21" s="78"/>
      <c r="D21" s="78"/>
      <c r="E21" s="78"/>
      <c r="F21" s="78"/>
      <c r="G21" s="437"/>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c r="AI21"/>
      <c r="AJ21"/>
      <c r="AK21"/>
      <c r="AL21"/>
      <c r="AM21"/>
      <c r="AN21"/>
      <c r="AO21"/>
      <c r="AP21"/>
      <c r="AQ21"/>
    </row>
    <row r="22" spans="1:43" ht="14.5" x14ac:dyDescent="0.3">
      <c r="A22" s="102"/>
      <c r="B22" s="102"/>
      <c r="C22" s="102" t="s">
        <v>157</v>
      </c>
      <c r="D22" s="102"/>
      <c r="E22" s="220">
        <f>'Option1 (base case)'!E22</f>
        <v>0</v>
      </c>
      <c r="F22" s="102"/>
      <c r="G22" s="434"/>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c r="AI22"/>
      <c r="AJ22"/>
      <c r="AK22"/>
      <c r="AL22"/>
      <c r="AM22"/>
      <c r="AN22"/>
      <c r="AO22"/>
      <c r="AP22"/>
      <c r="AQ22"/>
    </row>
    <row r="23" spans="1:43" x14ac:dyDescent="0.3">
      <c r="D23" s="165"/>
      <c r="G23" s="434"/>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row>
    <row r="24" spans="1:43" x14ac:dyDescent="0.3">
      <c r="C24" s="1" t="s">
        <v>149</v>
      </c>
      <c r="D24" s="165"/>
      <c r="G24" s="431">
        <f t="shared" ref="G24:G30" si="3">input_dollars</f>
        <v>45473</v>
      </c>
      <c r="I24" s="30">
        <f>SUM('Risk summary'!$J$12:$J$17)</f>
        <v>2337311.9520029272</v>
      </c>
      <c r="J24" s="30">
        <f>SUM('Risk summary'!$J$12:$J$17)</f>
        <v>2337311.9520029272</v>
      </c>
      <c r="K24" s="30">
        <f>SUM('Risk summary'!$J$12:$J$17)</f>
        <v>2337311.9520029272</v>
      </c>
      <c r="L24" s="30">
        <f>SUM('Risk summary'!$J$12:$J$17)</f>
        <v>2337311.9520029272</v>
      </c>
      <c r="M24" s="30">
        <f>SUM('Risk summary'!$J$12:$J$17)</f>
        <v>2337311.9520029272</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row>
    <row r="25" spans="1:43" x14ac:dyDescent="0.3">
      <c r="C25" s="1" t="s">
        <v>150</v>
      </c>
      <c r="D25" s="165"/>
      <c r="G25" s="431">
        <f t="shared" si="3"/>
        <v>45473</v>
      </c>
      <c r="I25" s="30">
        <f>SUM('Risk summary'!$J$18:$J$25)</f>
        <v>309013.19752604165</v>
      </c>
      <c r="J25" s="30">
        <f>SUM('Risk summary'!$J$18:$J$25)</f>
        <v>309013.19752604165</v>
      </c>
      <c r="K25" s="30">
        <f>SUM('Risk summary'!$J$18:$J$25)</f>
        <v>309013.19752604165</v>
      </c>
      <c r="L25" s="30">
        <f>SUM('Risk summary'!$J$18:$J$25)</f>
        <v>309013.19752604165</v>
      </c>
      <c r="M25" s="30">
        <f>SUM('Risk summary'!$J$18:$J$25)</f>
        <v>309013.19752604165</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row>
    <row r="26" spans="1:43" x14ac:dyDescent="0.3">
      <c r="C26" s="1" t="s">
        <v>151</v>
      </c>
      <c r="D26" s="165"/>
      <c r="G26" s="431">
        <f t="shared" si="3"/>
        <v>45473</v>
      </c>
      <c r="I26" s="30">
        <f>SUM('Risk summary'!$J$26:$J$27)</f>
        <v>0</v>
      </c>
      <c r="J26" s="30">
        <f>SUM('Risk summary'!$J$26:$J$27)</f>
        <v>0</v>
      </c>
      <c r="K26" s="30">
        <f>SUM('Risk summary'!$J$26:$J$27)</f>
        <v>0</v>
      </c>
      <c r="L26" s="30">
        <f>SUM('Risk summary'!$J$26:$J$27)</f>
        <v>0</v>
      </c>
      <c r="M26" s="30">
        <f>SUM('Risk summary'!$J$26:$J$27)</f>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row>
    <row r="27" spans="1:43" x14ac:dyDescent="0.3">
      <c r="C27" s="1" t="s">
        <v>152</v>
      </c>
      <c r="D27" s="165"/>
      <c r="G27" s="431">
        <f t="shared" si="3"/>
        <v>45473</v>
      </c>
      <c r="I27" s="30">
        <f>SUM('Risk summary'!$J$28:$J$30)</f>
        <v>0</v>
      </c>
      <c r="J27" s="30">
        <f>SUM('Risk summary'!$J$28:$J$30)</f>
        <v>0</v>
      </c>
      <c r="K27" s="30">
        <f>SUM('Risk summary'!$J$28:$J$30)</f>
        <v>0</v>
      </c>
      <c r="L27" s="30">
        <f>SUM('Risk summary'!$J$28:$J$30)</f>
        <v>0</v>
      </c>
      <c r="M27" s="30">
        <f>SUM('Risk summary'!$J$28:$J$30)</f>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row>
    <row r="28" spans="1:43" x14ac:dyDescent="0.3">
      <c r="C28" s="1" t="s">
        <v>153</v>
      </c>
      <c r="D28" s="165"/>
      <c r="G28" s="431">
        <f t="shared" si="3"/>
        <v>45473</v>
      </c>
      <c r="I28" s="30">
        <f>SUM('Risk summary'!$J$31:$J$32)</f>
        <v>0</v>
      </c>
      <c r="J28" s="30">
        <f>SUM('Risk summary'!$J$31:$J$32)</f>
        <v>0</v>
      </c>
      <c r="K28" s="30">
        <f>SUM('Risk summary'!$J$31:$J$32)</f>
        <v>0</v>
      </c>
      <c r="L28" s="30">
        <f>SUM('Risk summary'!$J$31:$J$32)</f>
        <v>0</v>
      </c>
      <c r="M28" s="30">
        <f>SUM('Risk summary'!$J$31:$J$32)</f>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row>
    <row r="29" spans="1:43" x14ac:dyDescent="0.3">
      <c r="C29" s="1" t="s">
        <v>154</v>
      </c>
      <c r="D29" s="165"/>
      <c r="G29" s="431">
        <f t="shared" si="3"/>
        <v>45473</v>
      </c>
      <c r="I29" s="30">
        <f>SUM('Risk summary'!$J$34:$J$37)</f>
        <v>6191977.7024866669</v>
      </c>
      <c r="J29" s="30">
        <f>SUM('Risk summary'!$J$34:$J$37)</f>
        <v>6191977.7024866669</v>
      </c>
      <c r="K29" s="30">
        <f>SUM('Risk summary'!$J$34:$J$37)</f>
        <v>6191977.7024866669</v>
      </c>
      <c r="L29" s="30">
        <f>SUM('Risk summary'!$J$34:$J$37)</f>
        <v>6191977.7024866669</v>
      </c>
      <c r="M29" s="30">
        <f>SUM('Risk summary'!$J$34:$J$37)</f>
        <v>6191977.7024866669</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row>
    <row r="30" spans="1:43" x14ac:dyDescent="0.3">
      <c r="C30" s="1" t="s">
        <v>155</v>
      </c>
      <c r="D30" s="165"/>
      <c r="G30" s="431">
        <f t="shared" si="3"/>
        <v>45473</v>
      </c>
      <c r="I30" s="30">
        <f>SUM('Risk summary'!$J$38:$J$41)</f>
        <v>1182623.4852810833</v>
      </c>
      <c r="J30" s="30">
        <f>SUM('Risk summary'!$J$38:$J$41)</f>
        <v>1182623.4852810833</v>
      </c>
      <c r="K30" s="30">
        <f>SUM('Risk summary'!$J$38:$J$41)</f>
        <v>1182623.4852810833</v>
      </c>
      <c r="L30" s="30">
        <f>SUM('Risk summary'!$J$38:$J$41)</f>
        <v>1182623.4852810833</v>
      </c>
      <c r="M30" s="30">
        <f>SUM('Risk summary'!$J$38:$J$41)</f>
        <v>1182623.4852810833</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row>
    <row r="31" spans="1:43" x14ac:dyDescent="0.3">
      <c r="D31" s="165"/>
      <c r="G31" s="431"/>
    </row>
    <row r="32" spans="1:43" ht="13.5" x14ac:dyDescent="0.3">
      <c r="C32" s="3" t="s">
        <v>148</v>
      </c>
      <c r="D32" s="168"/>
      <c r="E32" s="98"/>
      <c r="F32" s="3"/>
      <c r="G32" s="431">
        <f>input_dollars</f>
        <v>45473</v>
      </c>
      <c r="H32" s="98"/>
      <c r="I32" s="133">
        <f>SUM(I24:I30)</f>
        <v>10020926.337296721</v>
      </c>
      <c r="J32" s="133">
        <f t="shared" ref="J32:AG32" si="4">SUM(J24:J30)</f>
        <v>10020926.337296721</v>
      </c>
      <c r="K32" s="133">
        <f t="shared" si="4"/>
        <v>10020926.337296721</v>
      </c>
      <c r="L32" s="133">
        <f t="shared" si="4"/>
        <v>10020926.337296721</v>
      </c>
      <c r="M32" s="133">
        <f t="shared" si="4"/>
        <v>10020926.337296721</v>
      </c>
      <c r="N32" s="133">
        <f t="shared" si="4"/>
        <v>0</v>
      </c>
      <c r="O32" s="133">
        <f t="shared" si="4"/>
        <v>0</v>
      </c>
      <c r="P32" s="133">
        <f t="shared" si="4"/>
        <v>0</v>
      </c>
      <c r="Q32" s="133">
        <f t="shared" si="4"/>
        <v>0</v>
      </c>
      <c r="R32" s="133">
        <f t="shared" si="4"/>
        <v>0</v>
      </c>
      <c r="S32" s="133">
        <f t="shared" si="4"/>
        <v>0</v>
      </c>
      <c r="T32" s="133">
        <f t="shared" si="4"/>
        <v>0</v>
      </c>
      <c r="U32" s="133">
        <f t="shared" si="4"/>
        <v>0</v>
      </c>
      <c r="V32" s="133">
        <f t="shared" si="4"/>
        <v>0</v>
      </c>
      <c r="W32" s="133">
        <f t="shared" si="4"/>
        <v>0</v>
      </c>
      <c r="X32" s="133">
        <f t="shared" si="4"/>
        <v>0</v>
      </c>
      <c r="Y32" s="133">
        <f t="shared" si="4"/>
        <v>0</v>
      </c>
      <c r="Z32" s="133">
        <f t="shared" si="4"/>
        <v>0</v>
      </c>
      <c r="AA32" s="133">
        <f t="shared" si="4"/>
        <v>0</v>
      </c>
      <c r="AB32" s="133">
        <f t="shared" si="4"/>
        <v>0</v>
      </c>
      <c r="AC32" s="133">
        <f t="shared" si="4"/>
        <v>0</v>
      </c>
      <c r="AD32" s="133">
        <f t="shared" si="4"/>
        <v>0</v>
      </c>
      <c r="AE32" s="133">
        <f t="shared" si="4"/>
        <v>0</v>
      </c>
      <c r="AF32" s="133">
        <f t="shared" si="4"/>
        <v>0</v>
      </c>
      <c r="AG32" s="133">
        <f t="shared" si="4"/>
        <v>0</v>
      </c>
    </row>
    <row r="33" spans="1:43" ht="13.5" x14ac:dyDescent="0.3">
      <c r="C33"/>
      <c r="D33"/>
      <c r="E33"/>
      <c r="G33" s="431"/>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78" t="s">
        <v>145</v>
      </c>
      <c r="B34" s="78"/>
      <c r="C34" s="78"/>
      <c r="D34" s="78"/>
      <c r="E34" s="78"/>
      <c r="F34" s="78"/>
      <c r="G34" s="43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c r="AI34"/>
      <c r="AJ34"/>
      <c r="AK34"/>
      <c r="AL34"/>
      <c r="AM34"/>
      <c r="AN34"/>
      <c r="AO34"/>
      <c r="AP34"/>
      <c r="AQ34"/>
    </row>
    <row r="35" spans="1:43" x14ac:dyDescent="0.3">
      <c r="D35" s="165"/>
      <c r="G35" s="431"/>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43" x14ac:dyDescent="0.3">
      <c r="D36" s="165"/>
      <c r="G36" s="432"/>
    </row>
    <row r="37" spans="1:43" ht="13.5" x14ac:dyDescent="0.3">
      <c r="C37" s="3" t="s">
        <v>156</v>
      </c>
      <c r="D37" s="168"/>
      <c r="E37" s="98"/>
      <c r="F37" s="3"/>
      <c r="G37" s="431">
        <f>input_dollars</f>
        <v>45473</v>
      </c>
      <c r="H37" s="98"/>
      <c r="I37" s="133">
        <f>'Option1 (base case)'!I32-I32</f>
        <v>14816898.129105642</v>
      </c>
      <c r="J37" s="133">
        <f>'Option1 (base case)'!J32-J32</f>
        <v>14816898.129105642</v>
      </c>
      <c r="K37" s="133">
        <f>'Option1 (base case)'!K32-K32</f>
        <v>14816898.129105642</v>
      </c>
      <c r="L37" s="133">
        <f>'Option1 (base case)'!L32-L32</f>
        <v>14816898.129105642</v>
      </c>
      <c r="M37" s="133">
        <f>'Option1 (base case)'!M32-M32</f>
        <v>14816898.129105642</v>
      </c>
      <c r="N37" s="133">
        <f>'Option1 (base case)'!N32-N32</f>
        <v>0</v>
      </c>
      <c r="O37" s="133">
        <f>'Option1 (base case)'!O32-O32</f>
        <v>0</v>
      </c>
      <c r="P37" s="133">
        <f>'Option1 (base case)'!P32-P32</f>
        <v>0</v>
      </c>
      <c r="Q37" s="133">
        <f>'Option1 (base case)'!Q32-Q32</f>
        <v>0</v>
      </c>
      <c r="R37" s="133">
        <f>'Option1 (base case)'!R32-R32</f>
        <v>0</v>
      </c>
      <c r="S37" s="133">
        <f>'Option1 (base case)'!S32-S32</f>
        <v>0</v>
      </c>
      <c r="T37" s="133">
        <f>'Option1 (base case)'!T32-T32</f>
        <v>0</v>
      </c>
      <c r="U37" s="133">
        <f>'Option1 (base case)'!U32-U32</f>
        <v>0</v>
      </c>
      <c r="V37" s="133">
        <f>'Option1 (base case)'!V32-V32</f>
        <v>0</v>
      </c>
      <c r="W37" s="133">
        <f>'Option1 (base case)'!W32-W32</f>
        <v>0</v>
      </c>
      <c r="X37" s="133">
        <f>'Option1 (base case)'!X32-X32</f>
        <v>0</v>
      </c>
      <c r="Y37" s="133">
        <f>'Option1 (base case)'!Y32-Y32</f>
        <v>0</v>
      </c>
      <c r="Z37" s="133">
        <f>'Option1 (base case)'!Z32-Z32</f>
        <v>0</v>
      </c>
      <c r="AA37" s="133">
        <f>'Option1 (base case)'!AA32-AA32</f>
        <v>0</v>
      </c>
      <c r="AB37" s="133">
        <f>'Option1 (base case)'!AB32-AB32</f>
        <v>0</v>
      </c>
      <c r="AC37" s="133">
        <f>'Option1 (base case)'!AC32-AC32</f>
        <v>0</v>
      </c>
      <c r="AD37" s="133">
        <f>'Option1 (base case)'!AD32-AD32</f>
        <v>0</v>
      </c>
      <c r="AE37" s="133">
        <f>'Option1 (base case)'!AE32-AE32</f>
        <v>0</v>
      </c>
      <c r="AF37" s="133">
        <f>'Option1 (base case)'!AF32-AF32</f>
        <v>0</v>
      </c>
      <c r="AG37" s="133">
        <f>'Option1 (base case)'!AG32-AG32</f>
        <v>0</v>
      </c>
    </row>
    <row r="38" spans="1:43" x14ac:dyDescent="0.3">
      <c r="D38" s="165"/>
      <c r="G38" s="431"/>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43" x14ac:dyDescent="0.3">
      <c r="C39" s="1" t="s">
        <v>165</v>
      </c>
      <c r="D39" s="165"/>
      <c r="G39" s="431">
        <f>input_dollars</f>
        <v>45473</v>
      </c>
      <c r="I39" s="30">
        <f>'Risk summary'!$J$43</f>
        <v>0</v>
      </c>
      <c r="J39" s="30">
        <f>I39</f>
        <v>0</v>
      </c>
      <c r="K39" s="30">
        <f t="shared" ref="K39:AA41" si="5">J39</f>
        <v>0</v>
      </c>
      <c r="L39" s="30">
        <f t="shared" si="5"/>
        <v>0</v>
      </c>
      <c r="M39" s="30">
        <f t="shared" si="5"/>
        <v>0</v>
      </c>
      <c r="N39" s="30">
        <f t="shared" si="5"/>
        <v>0</v>
      </c>
      <c r="O39" s="30">
        <f t="shared" si="5"/>
        <v>0</v>
      </c>
      <c r="P39" s="30">
        <f t="shared" si="5"/>
        <v>0</v>
      </c>
      <c r="Q39" s="30">
        <f t="shared" si="5"/>
        <v>0</v>
      </c>
      <c r="R39" s="30">
        <f t="shared" si="5"/>
        <v>0</v>
      </c>
      <c r="S39" s="30">
        <f t="shared" si="5"/>
        <v>0</v>
      </c>
      <c r="T39" s="30">
        <f t="shared" si="5"/>
        <v>0</v>
      </c>
      <c r="U39" s="30">
        <f t="shared" si="5"/>
        <v>0</v>
      </c>
      <c r="V39" s="30">
        <f t="shared" si="5"/>
        <v>0</v>
      </c>
      <c r="W39" s="30">
        <f t="shared" si="5"/>
        <v>0</v>
      </c>
      <c r="X39" s="30">
        <f t="shared" si="5"/>
        <v>0</v>
      </c>
      <c r="Y39" s="30">
        <f t="shared" si="5"/>
        <v>0</v>
      </c>
      <c r="Z39" s="30">
        <f t="shared" si="5"/>
        <v>0</v>
      </c>
      <c r="AA39" s="30">
        <f t="shared" si="5"/>
        <v>0</v>
      </c>
      <c r="AB39" s="30">
        <v>0</v>
      </c>
      <c r="AC39" s="30">
        <v>0</v>
      </c>
      <c r="AD39" s="30">
        <v>0</v>
      </c>
      <c r="AE39" s="30">
        <v>0</v>
      </c>
      <c r="AF39" s="30">
        <v>0</v>
      </c>
      <c r="AG39" s="30">
        <v>0</v>
      </c>
    </row>
    <row r="40" spans="1:43" x14ac:dyDescent="0.3">
      <c r="C40" s="1" t="s">
        <v>166</v>
      </c>
      <c r="D40" s="165"/>
      <c r="G40" s="431">
        <f>input_dollars</f>
        <v>45473</v>
      </c>
      <c r="I40" s="30">
        <f>'Risk summary'!$J$44</f>
        <v>0</v>
      </c>
      <c r="J40" s="30">
        <f>I40</f>
        <v>0</v>
      </c>
      <c r="K40" s="30">
        <f t="shared" si="5"/>
        <v>0</v>
      </c>
      <c r="L40" s="30">
        <f t="shared" si="5"/>
        <v>0</v>
      </c>
      <c r="M40" s="30">
        <f t="shared" si="5"/>
        <v>0</v>
      </c>
      <c r="N40" s="30">
        <f t="shared" si="5"/>
        <v>0</v>
      </c>
      <c r="O40" s="30">
        <f t="shared" si="5"/>
        <v>0</v>
      </c>
      <c r="P40" s="30">
        <f t="shared" si="5"/>
        <v>0</v>
      </c>
      <c r="Q40" s="30">
        <f t="shared" si="5"/>
        <v>0</v>
      </c>
      <c r="R40" s="30">
        <f t="shared" si="5"/>
        <v>0</v>
      </c>
      <c r="S40" s="30">
        <f t="shared" si="5"/>
        <v>0</v>
      </c>
      <c r="T40" s="30">
        <f t="shared" si="5"/>
        <v>0</v>
      </c>
      <c r="U40" s="30">
        <f t="shared" si="5"/>
        <v>0</v>
      </c>
      <c r="V40" s="30">
        <f t="shared" si="5"/>
        <v>0</v>
      </c>
      <c r="W40" s="30">
        <f t="shared" si="5"/>
        <v>0</v>
      </c>
      <c r="X40" s="30">
        <f t="shared" si="5"/>
        <v>0</v>
      </c>
      <c r="Y40" s="30">
        <f t="shared" si="5"/>
        <v>0</v>
      </c>
      <c r="Z40" s="30">
        <f t="shared" si="5"/>
        <v>0</v>
      </c>
      <c r="AA40" s="30">
        <f t="shared" si="5"/>
        <v>0</v>
      </c>
      <c r="AB40" s="30">
        <v>0</v>
      </c>
      <c r="AC40" s="30">
        <v>0</v>
      </c>
      <c r="AD40" s="30">
        <v>0</v>
      </c>
      <c r="AE40" s="30">
        <v>0</v>
      </c>
      <c r="AF40" s="30">
        <v>0</v>
      </c>
      <c r="AG40" s="30">
        <v>0</v>
      </c>
    </row>
    <row r="41" spans="1:43" x14ac:dyDescent="0.3">
      <c r="C41" s="1" t="s">
        <v>240</v>
      </c>
      <c r="D41" s="165"/>
      <c r="G41" s="431">
        <f>input_dollars</f>
        <v>45473</v>
      </c>
      <c r="I41" s="30">
        <f>'Risk summary'!$J$45</f>
        <v>0</v>
      </c>
      <c r="J41" s="30">
        <f>I41</f>
        <v>0</v>
      </c>
      <c r="K41" s="30">
        <f t="shared" si="5"/>
        <v>0</v>
      </c>
      <c r="L41" s="30">
        <f t="shared" si="5"/>
        <v>0</v>
      </c>
      <c r="M41" s="30">
        <f t="shared" si="5"/>
        <v>0</v>
      </c>
      <c r="N41" s="30">
        <f t="shared" si="5"/>
        <v>0</v>
      </c>
      <c r="O41" s="30">
        <f t="shared" si="5"/>
        <v>0</v>
      </c>
      <c r="P41" s="30">
        <f t="shared" si="5"/>
        <v>0</v>
      </c>
      <c r="Q41" s="30">
        <f t="shared" si="5"/>
        <v>0</v>
      </c>
      <c r="R41" s="30">
        <f t="shared" si="5"/>
        <v>0</v>
      </c>
      <c r="S41" s="30">
        <f t="shared" si="5"/>
        <v>0</v>
      </c>
      <c r="T41" s="30">
        <f t="shared" si="5"/>
        <v>0</v>
      </c>
      <c r="U41" s="30">
        <f t="shared" si="5"/>
        <v>0</v>
      </c>
      <c r="V41" s="30">
        <f t="shared" si="5"/>
        <v>0</v>
      </c>
      <c r="W41" s="30">
        <f t="shared" si="5"/>
        <v>0</v>
      </c>
      <c r="X41" s="30">
        <f t="shared" si="5"/>
        <v>0</v>
      </c>
      <c r="Y41" s="30">
        <f t="shared" si="5"/>
        <v>0</v>
      </c>
      <c r="Z41" s="30">
        <f t="shared" si="5"/>
        <v>0</v>
      </c>
      <c r="AA41" s="30">
        <f t="shared" si="5"/>
        <v>0</v>
      </c>
      <c r="AB41" s="30">
        <f t="shared" ref="AB41:AG41" si="6">AA41</f>
        <v>0</v>
      </c>
      <c r="AC41" s="30">
        <f t="shared" si="6"/>
        <v>0</v>
      </c>
      <c r="AD41" s="30">
        <f t="shared" si="6"/>
        <v>0</v>
      </c>
      <c r="AE41" s="30">
        <f t="shared" si="6"/>
        <v>0</v>
      </c>
      <c r="AF41" s="30">
        <f t="shared" si="6"/>
        <v>0</v>
      </c>
      <c r="AG41" s="30">
        <f t="shared" si="6"/>
        <v>0</v>
      </c>
    </row>
    <row r="42" spans="1:43" x14ac:dyDescent="0.3">
      <c r="D42" s="165"/>
      <c r="G42" s="432"/>
    </row>
    <row r="43" spans="1:43" ht="13.5" x14ac:dyDescent="0.3">
      <c r="C43" s="3" t="s">
        <v>89</v>
      </c>
      <c r="D43" s="168"/>
      <c r="E43" s="98"/>
      <c r="F43" s="3"/>
      <c r="G43" s="431">
        <f>input_dollars</f>
        <v>45473</v>
      </c>
      <c r="H43" s="98"/>
      <c r="I43" s="97">
        <f>SUM(I39:I41)</f>
        <v>0</v>
      </c>
      <c r="J43" s="97">
        <f t="shared" ref="J43:AG43" si="7">SUM(J39:J41)</f>
        <v>0</v>
      </c>
      <c r="K43" s="97">
        <f t="shared" si="7"/>
        <v>0</v>
      </c>
      <c r="L43" s="97">
        <f t="shared" si="7"/>
        <v>0</v>
      </c>
      <c r="M43" s="97">
        <f t="shared" si="7"/>
        <v>0</v>
      </c>
      <c r="N43" s="97">
        <f t="shared" si="7"/>
        <v>0</v>
      </c>
      <c r="O43" s="97">
        <f t="shared" si="7"/>
        <v>0</v>
      </c>
      <c r="P43" s="97">
        <f t="shared" si="7"/>
        <v>0</v>
      </c>
      <c r="Q43" s="97">
        <f t="shared" si="7"/>
        <v>0</v>
      </c>
      <c r="R43" s="97">
        <f t="shared" si="7"/>
        <v>0</v>
      </c>
      <c r="S43" s="97">
        <f t="shared" si="7"/>
        <v>0</v>
      </c>
      <c r="T43" s="97">
        <f t="shared" si="7"/>
        <v>0</v>
      </c>
      <c r="U43" s="97">
        <f t="shared" si="7"/>
        <v>0</v>
      </c>
      <c r="V43" s="97">
        <f t="shared" si="7"/>
        <v>0</v>
      </c>
      <c r="W43" s="97">
        <f t="shared" si="7"/>
        <v>0</v>
      </c>
      <c r="X43" s="97">
        <f t="shared" si="7"/>
        <v>0</v>
      </c>
      <c r="Y43" s="97">
        <f t="shared" si="7"/>
        <v>0</v>
      </c>
      <c r="Z43" s="97">
        <f t="shared" si="7"/>
        <v>0</v>
      </c>
      <c r="AA43" s="97">
        <f t="shared" si="7"/>
        <v>0</v>
      </c>
      <c r="AB43" s="97">
        <f t="shared" si="7"/>
        <v>0</v>
      </c>
      <c r="AC43" s="97">
        <f t="shared" si="7"/>
        <v>0</v>
      </c>
      <c r="AD43" s="97">
        <f t="shared" si="7"/>
        <v>0</v>
      </c>
      <c r="AE43" s="97">
        <f t="shared" si="7"/>
        <v>0</v>
      </c>
      <c r="AF43" s="97">
        <f t="shared" si="7"/>
        <v>0</v>
      </c>
      <c r="AG43" s="97">
        <f t="shared" si="7"/>
        <v>0</v>
      </c>
    </row>
    <row r="44" spans="1:43" x14ac:dyDescent="0.3">
      <c r="G44" s="431"/>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43" ht="14.5" x14ac:dyDescent="0.3">
      <c r="A45" s="78" t="s">
        <v>9</v>
      </c>
      <c r="B45" s="78"/>
      <c r="C45" s="78"/>
      <c r="D45" s="78"/>
      <c r="E45" s="78"/>
      <c r="F45" s="78"/>
      <c r="G45" s="437"/>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c r="AI45"/>
      <c r="AJ45"/>
      <c r="AK45"/>
      <c r="AL45"/>
      <c r="AM45"/>
      <c r="AN45"/>
      <c r="AO45"/>
      <c r="AP45"/>
      <c r="AQ45"/>
    </row>
    <row r="46" spans="1:43" ht="14.5" x14ac:dyDescent="0.3">
      <c r="A46" s="102"/>
      <c r="B46" s="102"/>
      <c r="C46" s="102"/>
      <c r="D46" s="102"/>
      <c r="E46" s="102"/>
      <c r="F46" s="102"/>
      <c r="G46" s="434"/>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c r="AI46"/>
      <c r="AJ46"/>
      <c r="AK46"/>
      <c r="AL46"/>
      <c r="AM46"/>
      <c r="AN46"/>
      <c r="AO46"/>
      <c r="AP46"/>
      <c r="AQ46"/>
    </row>
    <row r="47" spans="1:43" ht="12.75" customHeight="1" x14ac:dyDescent="0.3">
      <c r="A47" s="102"/>
      <c r="B47" s="102"/>
      <c r="C47" s="102"/>
      <c r="D47" s="102"/>
      <c r="E47" s="102"/>
      <c r="F47"/>
      <c r="G47" s="434"/>
      <c r="H47" s="102"/>
      <c r="I47" s="102"/>
      <c r="J47" s="102"/>
      <c r="K47" s="102"/>
      <c r="L47" s="102"/>
      <c r="M47" s="102"/>
      <c r="N47" s="102"/>
      <c r="O47" s="102"/>
      <c r="P47" s="102"/>
      <c r="Q47" s="102"/>
      <c r="R47" s="102"/>
      <c r="S47" s="102"/>
      <c r="T47" s="102"/>
      <c r="U47" s="102"/>
      <c r="V47" s="102"/>
      <c r="W47" s="102"/>
      <c r="X47" s="102"/>
      <c r="Y47" s="102"/>
      <c r="Z47" s="102"/>
      <c r="AA47" s="102"/>
      <c r="AB47"/>
      <c r="AC47"/>
      <c r="AD47"/>
      <c r="AE47"/>
      <c r="AF47"/>
      <c r="AG47"/>
      <c r="AH47"/>
      <c r="AI47"/>
      <c r="AJ47"/>
      <c r="AK47"/>
      <c r="AL47"/>
      <c r="AM47"/>
      <c r="AN47"/>
      <c r="AO47"/>
    </row>
    <row r="48" spans="1:43" x14ac:dyDescent="0.3">
      <c r="C48" s="4"/>
      <c r="F48" s="2"/>
      <c r="G48" s="431"/>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row>
    <row r="49" spans="1:33" x14ac:dyDescent="0.3">
      <c r="C49" s="4" t="str">
        <f>'Option1 (base case)'!C49</f>
        <v>Risks mitigated vs base case</v>
      </c>
      <c r="G49" s="432">
        <f>input_dollars</f>
        <v>45473</v>
      </c>
      <c r="I49" s="110">
        <f>(1-INDEX(Data!$C$9:$C$12, MATCH($A$3, options,0)))*-I37</f>
        <v>-14816898.129105642</v>
      </c>
      <c r="J49" s="110">
        <f>(1-INDEX(Data!$C$9:$C$12, MATCH($A$3, options,0)))*-J37</f>
        <v>-14816898.129105642</v>
      </c>
      <c r="K49" s="110">
        <f>(1-INDEX(Data!$C$9:$C$12, MATCH($A$3, options,0)))*-K37</f>
        <v>-14816898.129105642</v>
      </c>
      <c r="L49" s="110">
        <f>(1-INDEX(Data!$C$9:$C$12, MATCH($A$3, options,0)))*-L37</f>
        <v>-14816898.129105642</v>
      </c>
      <c r="M49" s="110">
        <f>(1-INDEX(Data!$C$9:$C$12, MATCH($A$3, options,0)))*-M37</f>
        <v>-14816898.129105642</v>
      </c>
      <c r="N49" s="110">
        <f>(1-INDEX(Data!$C$9:$C$12, MATCH($A$3, options,0)))*-N37</f>
        <v>0</v>
      </c>
      <c r="O49" s="110">
        <f>(1-INDEX(Data!$C$9:$C$12, MATCH($A$3, options,0)))*-O37</f>
        <v>0</v>
      </c>
      <c r="P49" s="110">
        <f>(1-INDEX(Data!$C$9:$C$12, MATCH($A$3, options,0)))*-P37</f>
        <v>0</v>
      </c>
      <c r="Q49" s="110">
        <f>(1-INDEX(Data!$C$9:$C$12, MATCH($A$3, options,0)))*-Q37</f>
        <v>0</v>
      </c>
      <c r="R49" s="110">
        <f>(1-INDEX(Data!$C$9:$C$12, MATCH($A$3, options,0)))*-R37</f>
        <v>0</v>
      </c>
      <c r="S49" s="110"/>
      <c r="T49" s="110"/>
      <c r="U49" s="110"/>
      <c r="V49" s="110"/>
      <c r="W49" s="110"/>
      <c r="X49" s="110"/>
      <c r="Y49" s="110"/>
      <c r="Z49" s="110"/>
      <c r="AA49" s="110"/>
      <c r="AB49" s="110"/>
      <c r="AC49" s="110"/>
      <c r="AD49" s="110"/>
      <c r="AE49" s="110"/>
      <c r="AF49" s="110"/>
      <c r="AG49" s="110"/>
    </row>
    <row r="50" spans="1:33" x14ac:dyDescent="0.3">
      <c r="G50" s="431"/>
    </row>
    <row r="51" spans="1:33" x14ac:dyDescent="0.3">
      <c r="A51" s="7"/>
      <c r="B51" s="7"/>
      <c r="C51" s="123" t="s">
        <v>18</v>
      </c>
      <c r="D51" s="35"/>
      <c r="F51" s="88"/>
      <c r="G51" s="435"/>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x14ac:dyDescent="0.3">
      <c r="A52" s="7"/>
      <c r="B52" s="7"/>
      <c r="C52" s="4" t="str">
        <f>"Incremental "&amp;C13</f>
        <v>Incremental capex</v>
      </c>
      <c r="D52" s="35"/>
      <c r="F52" s="88"/>
      <c r="G52" s="432">
        <f>input_dollars</f>
        <v>45473</v>
      </c>
      <c r="H52" s="29"/>
      <c r="I52" s="29">
        <f>-I13-'Option1 (base case)'!I52</f>
        <v>-2893494</v>
      </c>
      <c r="J52" s="29">
        <f>-J13-'Option1 (base case)'!J52</f>
        <v>-2978929</v>
      </c>
      <c r="K52" s="29">
        <f>-K13-'Option1 (base case)'!K52</f>
        <v>-3993247</v>
      </c>
      <c r="L52" s="29">
        <f>-L13-'Option1 (base case)'!L52</f>
        <v>-4170747</v>
      </c>
      <c r="M52" s="29">
        <f>-M13-'Option1 (base case)'!M52</f>
        <v>-1858576</v>
      </c>
      <c r="N52" s="29">
        <f t="shared" ref="N52:R52" si="8">-N13</f>
        <v>0</v>
      </c>
      <c r="O52" s="29">
        <f t="shared" si="8"/>
        <v>0</v>
      </c>
      <c r="P52" s="29">
        <f t="shared" si="8"/>
        <v>0</v>
      </c>
      <c r="Q52" s="29">
        <f t="shared" si="8"/>
        <v>0</v>
      </c>
      <c r="R52" s="29">
        <f t="shared" si="8"/>
        <v>0</v>
      </c>
      <c r="S52" s="29"/>
      <c r="T52" s="29"/>
      <c r="U52" s="29"/>
      <c r="V52" s="29"/>
      <c r="W52" s="29"/>
      <c r="X52" s="29"/>
      <c r="Y52" s="29"/>
      <c r="Z52" s="29"/>
      <c r="AA52" s="29"/>
      <c r="AB52" s="29"/>
      <c r="AC52" s="29"/>
      <c r="AD52" s="29"/>
      <c r="AE52" s="29"/>
      <c r="AF52" s="29"/>
      <c r="AG52" s="29"/>
    </row>
    <row r="53" spans="1:33" x14ac:dyDescent="0.3">
      <c r="A53" s="7"/>
      <c r="B53" s="7"/>
      <c r="C53" s="4" t="str">
        <f>C14</f>
        <v>ongoing capex</v>
      </c>
      <c r="D53" s="35"/>
      <c r="F53" s="88"/>
      <c r="G53" s="432">
        <f>input_dollars</f>
        <v>45473</v>
      </c>
      <c r="H53" s="29"/>
      <c r="I53" s="29">
        <f>-I14-'Option1 (base case)'!I53</f>
        <v>0</v>
      </c>
      <c r="J53" s="29">
        <f>-J14-'Option1 (base case)'!J53</f>
        <v>0</v>
      </c>
      <c r="K53" s="29">
        <f>-K14-'Option1 (base case)'!K53</f>
        <v>0</v>
      </c>
      <c r="L53" s="29">
        <f>-L14-'Option1 (base case)'!L53</f>
        <v>0</v>
      </c>
      <c r="M53" s="29">
        <f>-M14-'Option1 (base case)'!M53</f>
        <v>0</v>
      </c>
      <c r="N53" s="29">
        <f>-N14-'Option1 (base case)'!N53</f>
        <v>0</v>
      </c>
      <c r="O53" s="29">
        <f>-O14-'Option1 (base case)'!O53</f>
        <v>0</v>
      </c>
      <c r="P53" s="29">
        <f>-P14-'Option1 (base case)'!P53</f>
        <v>0</v>
      </c>
      <c r="Q53" s="29">
        <f>-Q14-'Option1 (base case)'!Q53</f>
        <v>0</v>
      </c>
      <c r="R53" s="29">
        <f>-R14-'Option1 (base case)'!R53</f>
        <v>0</v>
      </c>
      <c r="S53" s="29"/>
      <c r="T53" s="29"/>
      <c r="U53" s="29"/>
      <c r="V53" s="29"/>
      <c r="W53" s="29"/>
      <c r="X53" s="29"/>
      <c r="Y53" s="29"/>
      <c r="Z53" s="29"/>
      <c r="AA53" s="29"/>
      <c r="AB53" s="29"/>
      <c r="AC53" s="29"/>
      <c r="AD53" s="29"/>
      <c r="AE53" s="29"/>
      <c r="AF53" s="29"/>
      <c r="AG53" s="29"/>
    </row>
    <row r="54" spans="1:33" x14ac:dyDescent="0.3">
      <c r="A54" s="7"/>
      <c r="B54" s="7"/>
      <c r="C54" s="4" t="str">
        <f>C15</f>
        <v>&lt; Enter description &gt;</v>
      </c>
      <c r="D54" s="35"/>
      <c r="F54" s="88"/>
      <c r="G54" s="432">
        <f>input_dollars</f>
        <v>45473</v>
      </c>
      <c r="H54" s="29"/>
      <c r="I54" s="29">
        <f t="shared" ref="I54:M54" si="9">-I15</f>
        <v>0</v>
      </c>
      <c r="J54" s="29">
        <f t="shared" si="9"/>
        <v>0</v>
      </c>
      <c r="K54" s="29">
        <f t="shared" si="9"/>
        <v>0</v>
      </c>
      <c r="L54" s="29">
        <f t="shared" si="9"/>
        <v>0</v>
      </c>
      <c r="M54" s="29">
        <f t="shared" si="9"/>
        <v>0</v>
      </c>
      <c r="N54" s="29">
        <f t="shared" ref="N54:R54" si="10">-N15</f>
        <v>0</v>
      </c>
      <c r="O54" s="29">
        <f t="shared" si="10"/>
        <v>0</v>
      </c>
      <c r="P54" s="29">
        <f t="shared" si="10"/>
        <v>0</v>
      </c>
      <c r="Q54" s="29">
        <f t="shared" si="10"/>
        <v>0</v>
      </c>
      <c r="R54" s="29">
        <f t="shared" si="10"/>
        <v>0</v>
      </c>
      <c r="S54" s="29"/>
      <c r="T54" s="29"/>
      <c r="U54" s="29"/>
      <c r="V54" s="29"/>
      <c r="W54" s="29"/>
      <c r="X54" s="29"/>
      <c r="Y54" s="29"/>
      <c r="Z54" s="29"/>
      <c r="AA54" s="29"/>
      <c r="AB54" s="29"/>
      <c r="AC54" s="29"/>
      <c r="AD54" s="29"/>
      <c r="AE54" s="29"/>
      <c r="AF54" s="29"/>
      <c r="AG54" s="29"/>
    </row>
    <row r="55" spans="1:33" x14ac:dyDescent="0.3">
      <c r="A55" s="7"/>
      <c r="B55" s="7"/>
      <c r="C55" s="4"/>
      <c r="D55" s="35"/>
      <c r="F55" s="88"/>
      <c r="G55" s="432"/>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x14ac:dyDescent="0.3">
      <c r="A56" s="7"/>
      <c r="B56" s="7"/>
      <c r="C56" s="123" t="s">
        <v>110</v>
      </c>
      <c r="D56" s="35"/>
      <c r="F56" s="88"/>
      <c r="G56" s="435"/>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x14ac:dyDescent="0.3">
      <c r="A57" s="7"/>
      <c r="B57" s="7"/>
      <c r="C57" s="4" t="str">
        <f>"Incremental "&amp;C13</f>
        <v>Incremental capex</v>
      </c>
      <c r="D57" s="35"/>
      <c r="F57" s="88"/>
      <c r="G57" s="432">
        <f>input_dollars</f>
        <v>45473</v>
      </c>
      <c r="H57" s="29"/>
      <c r="I57" s="29" cm="1">
        <f t="array" ref="I57">SUMPRODUCT(($I52:I52))-SUMPRODUCT(($I52:I52)*($I$6:I$6&lt;=(I$6-$E13)))</f>
        <v>-2893494</v>
      </c>
      <c r="J57" s="29" cm="1">
        <f t="array" ref="J57">SUMPRODUCT(($I52:J52))-SUMPRODUCT(($I52:J52)*($I$6:J$6&lt;=(J$6-$E13)))</f>
        <v>-5872423</v>
      </c>
      <c r="K57" s="29" cm="1">
        <f t="array" ref="K57">SUMPRODUCT(($I52:K52))-SUMPRODUCT(($I52:K52)*($I$6:K$6&lt;=(K$6-$E13)))</f>
        <v>-9865670</v>
      </c>
      <c r="L57" s="29" cm="1">
        <f t="array" ref="L57">SUMPRODUCT(($I52:L52))-SUMPRODUCT(($I52:L52)*($I$6:L$6&lt;=(L$6-$E13)))</f>
        <v>-14036417</v>
      </c>
      <c r="M57" s="29" cm="1">
        <f t="array" ref="M57">SUMPRODUCT(($I52:M52))-SUMPRODUCT(($I52:M52)*($I$6:M$6&lt;=(M$6-$E13)))</f>
        <v>-15894993</v>
      </c>
      <c r="N57" s="29" cm="1">
        <f t="array" ref="N57">SUMPRODUCT(($I52:N52))-SUMPRODUCT(($I52:N52)*($I$6:N$6&lt;=(N$6-$E13)))</f>
        <v>-13001499</v>
      </c>
      <c r="O57" s="29" cm="1">
        <f t="array" ref="O57">SUMPRODUCT(($I52:O52))-SUMPRODUCT(($I52:O52)*($I$6:O$6&lt;=(O$6-$E13)))</f>
        <v>-10022570</v>
      </c>
      <c r="P57" s="29" cm="1">
        <f t="array" ref="P57">SUMPRODUCT(($I52:P52))-SUMPRODUCT(($I52:P52)*($I$6:P$6&lt;=(P$6-$E13)))</f>
        <v>-6029323</v>
      </c>
      <c r="Q57" s="29" cm="1">
        <f t="array" ref="Q57">SUMPRODUCT(($I52:Q52))-SUMPRODUCT(($I52:Q52)*($I$6:Q$6&lt;=(Q$6-$E13)))</f>
        <v>-1858576</v>
      </c>
      <c r="R57" s="29" cm="1">
        <f t="array" ref="R57">SUMPRODUCT(($I52:R52))-SUMPRODUCT(($I52:R52)*($I$6:R$6&lt;=(R$6-$E13)))</f>
        <v>0</v>
      </c>
      <c r="S57" s="29"/>
      <c r="T57" s="29"/>
      <c r="U57" s="29"/>
      <c r="V57" s="29"/>
      <c r="W57" s="29"/>
      <c r="X57" s="29"/>
      <c r="Y57" s="29"/>
      <c r="Z57" s="29"/>
      <c r="AA57" s="29"/>
      <c r="AB57" s="29"/>
      <c r="AC57" s="29"/>
      <c r="AD57" s="29"/>
      <c r="AE57" s="29"/>
      <c r="AF57" s="29"/>
      <c r="AG57" s="29"/>
    </row>
    <row r="58" spans="1:33" x14ac:dyDescent="0.3">
      <c r="A58" s="7"/>
      <c r="B58" s="7"/>
      <c r="C58" s="4" t="str">
        <f>C14</f>
        <v>ongoing capex</v>
      </c>
      <c r="D58" s="35"/>
      <c r="F58" s="88"/>
      <c r="G58" s="432">
        <f>input_dollars</f>
        <v>45473</v>
      </c>
      <c r="H58" s="29"/>
      <c r="I58" s="29" cm="1">
        <f t="array" ref="I58">SUMPRODUCT(($I53:I53))-SUMPRODUCT(($I53:I53)*($I$6:I$6&lt;=(I$6-$E14)))</f>
        <v>0</v>
      </c>
      <c r="J58" s="29" cm="1">
        <f t="array" ref="J58">SUMPRODUCT(($I53:J53))-SUMPRODUCT(($I53:J53)*($I$6:J$6&lt;=(J$6-$E14)))</f>
        <v>0</v>
      </c>
      <c r="K58" s="29" cm="1">
        <f t="array" ref="K58">SUMPRODUCT(($I53:K53))-SUMPRODUCT(($I53:K53)*($I$6:K$6&lt;=(K$6-$E14)))</f>
        <v>0</v>
      </c>
      <c r="L58" s="29" cm="1">
        <f t="array" ref="L58">SUMPRODUCT(($I53:L53))-SUMPRODUCT(($I53:L53)*($I$6:L$6&lt;=(L$6-$E14)))</f>
        <v>0</v>
      </c>
      <c r="M58" s="29" cm="1">
        <f t="array" ref="M58">SUMPRODUCT(($I53:M53))-SUMPRODUCT(($I53:M53)*($I$6:M$6&lt;=(M$6-$E14)))</f>
        <v>0</v>
      </c>
      <c r="N58" s="29" cm="1">
        <f t="array" ref="N58">SUMPRODUCT(($I53:N53))-SUMPRODUCT(($I53:N53)*($I$6:N$6&lt;=(N$6-$E14)))</f>
        <v>0</v>
      </c>
      <c r="O58" s="29" cm="1">
        <f t="array" ref="O58">SUMPRODUCT(($I53:O53))-SUMPRODUCT(($I53:O53)*($I$6:O$6&lt;=(O$6-$E14)))</f>
        <v>0</v>
      </c>
      <c r="P58" s="29" cm="1">
        <f t="array" ref="P58">SUMPRODUCT(($I53:P53))-SUMPRODUCT(($I53:P53)*($I$6:P$6&lt;=(P$6-$E14)))</f>
        <v>0</v>
      </c>
      <c r="Q58" s="29" cm="1">
        <f t="array" ref="Q58">SUMPRODUCT(($I53:Q53))-SUMPRODUCT(($I53:Q53)*($I$6:Q$6&lt;=(Q$6-$E14)))</f>
        <v>0</v>
      </c>
      <c r="R58" s="29" cm="1">
        <f t="array" ref="R58">SUMPRODUCT(($I53:R53))-SUMPRODUCT(($I53:R53)*($I$6:R$6&lt;=(R$6-$E14)))</f>
        <v>0</v>
      </c>
      <c r="S58" s="29"/>
      <c r="T58" s="29"/>
      <c r="U58" s="29"/>
      <c r="V58" s="29"/>
      <c r="W58" s="29"/>
      <c r="X58" s="29"/>
      <c r="Y58" s="29"/>
      <c r="Z58" s="29"/>
      <c r="AA58" s="29"/>
      <c r="AB58" s="29"/>
      <c r="AC58" s="29"/>
      <c r="AD58" s="29"/>
      <c r="AE58" s="29"/>
      <c r="AF58" s="29"/>
      <c r="AG58" s="29"/>
    </row>
    <row r="59" spans="1:33" x14ac:dyDescent="0.3">
      <c r="A59" s="7"/>
      <c r="B59" s="7"/>
      <c r="C59" s="4" t="str">
        <f>C15</f>
        <v>&lt; Enter description &gt;</v>
      </c>
      <c r="D59" s="35"/>
      <c r="F59" s="88"/>
      <c r="G59" s="432">
        <f>input_dollars</f>
        <v>45473</v>
      </c>
      <c r="H59" s="29"/>
      <c r="I59" s="29" cm="1">
        <f t="array" ref="I59">SUMPRODUCT(($I54:I54))-SUMPRODUCT(($I54:I54)*($I$6:I$6&lt;=(I$6-$E15)))</f>
        <v>0</v>
      </c>
      <c r="J59" s="29" cm="1">
        <f t="array" ref="J59">SUMPRODUCT(($I54:J54))-SUMPRODUCT(($I54:J54)*($I$6:J$6&lt;=(J$6-$E15)))</f>
        <v>0</v>
      </c>
      <c r="K59" s="29" cm="1">
        <f t="array" ref="K59">SUMPRODUCT(($I54:K54))-SUMPRODUCT(($I54:K54)*($I$6:K$6&lt;=(K$6-$E15)))</f>
        <v>0</v>
      </c>
      <c r="L59" s="29" cm="1">
        <f t="array" ref="L59">SUMPRODUCT(($I54:L54))-SUMPRODUCT(($I54:L54)*($I$6:L$6&lt;=(L$6-$E15)))</f>
        <v>0</v>
      </c>
      <c r="M59" s="29" cm="1">
        <f t="array" ref="M59">SUMPRODUCT(($I54:M54))-SUMPRODUCT(($I54:M54)*($I$6:M$6&lt;=(M$6-$E15)))</f>
        <v>0</v>
      </c>
      <c r="N59" s="29" cm="1">
        <f t="array" ref="N59">SUMPRODUCT(($I54:N54))-SUMPRODUCT(($I54:N54)*($I$6:N$6&lt;=(N$6-$E15)))</f>
        <v>0</v>
      </c>
      <c r="O59" s="29" cm="1">
        <f t="array" ref="O59">SUMPRODUCT(($I54:O54))-SUMPRODUCT(($I54:O54)*($I$6:O$6&lt;=(O$6-$E15)))</f>
        <v>0</v>
      </c>
      <c r="P59" s="29" cm="1">
        <f t="array" ref="P59">SUMPRODUCT(($I54:P54))-SUMPRODUCT(($I54:P54)*($I$6:P$6&lt;=(P$6-$E15)))</f>
        <v>0</v>
      </c>
      <c r="Q59" s="29" cm="1">
        <f t="array" ref="Q59">SUMPRODUCT(($I54:Q54))-SUMPRODUCT(($I54:Q54)*($I$6:Q$6&lt;=(Q$6-$E15)))</f>
        <v>0</v>
      </c>
      <c r="R59" s="29" cm="1">
        <f t="array" ref="R59">SUMPRODUCT(($I54:R54))-SUMPRODUCT(($I54:R54)*($I$6:R$6&lt;=(R$6-$E15)))</f>
        <v>0</v>
      </c>
      <c r="S59" s="29"/>
      <c r="T59" s="29"/>
      <c r="U59" s="29"/>
      <c r="V59" s="29"/>
      <c r="W59" s="29"/>
      <c r="X59" s="29"/>
      <c r="Y59" s="29"/>
      <c r="Z59" s="29"/>
      <c r="AA59" s="29"/>
      <c r="AB59" s="29"/>
      <c r="AC59" s="29"/>
      <c r="AD59" s="29"/>
      <c r="AE59" s="29"/>
      <c r="AF59" s="29"/>
      <c r="AG59" s="29"/>
    </row>
    <row r="60" spans="1:33" x14ac:dyDescent="0.3">
      <c r="A60" s="7"/>
      <c r="B60" s="7"/>
      <c r="C60" s="4"/>
      <c r="D60" s="35"/>
      <c r="F60" s="88"/>
      <c r="G60" s="432"/>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x14ac:dyDescent="0.3">
      <c r="A61" s="7"/>
      <c r="B61" s="7"/>
      <c r="C61" s="123" t="s">
        <v>70</v>
      </c>
      <c r="D61" s="35"/>
      <c r="F61" s="88"/>
      <c r="G61" s="435"/>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x14ac:dyDescent="0.3">
      <c r="A62" s="7"/>
      <c r="B62" s="7"/>
      <c r="C62" s="4" t="str">
        <f>$C$61&amp;" - Incremental "&amp;C13</f>
        <v>Annualised capex - Incremental capex</v>
      </c>
      <c r="D62" s="35"/>
      <c r="F62" s="88"/>
      <c r="G62" s="432">
        <f>input_dollars</f>
        <v>45473</v>
      </c>
      <c r="H62" s="29"/>
      <c r="I62" s="29">
        <f t="shared" ref="I62:R62" si="11">IF($E13=0,0,-PMT(real_disc, $E13,I57,))</f>
        <v>-640855.02434472181</v>
      </c>
      <c r="J62" s="29">
        <f t="shared" si="11"/>
        <v>-1300632.3098052058</v>
      </c>
      <c r="K62" s="29">
        <f t="shared" si="11"/>
        <v>-2185062.1387246666</v>
      </c>
      <c r="L62" s="29">
        <f t="shared" si="11"/>
        <v>-3108804.9113796903</v>
      </c>
      <c r="M62" s="29">
        <f t="shared" si="11"/>
        <v>-3520444.8759783781</v>
      </c>
      <c r="N62" s="29">
        <f t="shared" si="11"/>
        <v>-2879589.8516336563</v>
      </c>
      <c r="O62" s="29">
        <f t="shared" si="11"/>
        <v>-2219812.5661731726</v>
      </c>
      <c r="P62" s="29">
        <f t="shared" si="11"/>
        <v>-1335382.7372537113</v>
      </c>
      <c r="Q62" s="29">
        <f t="shared" si="11"/>
        <v>-411639.96459868777</v>
      </c>
      <c r="R62" s="29">
        <f t="shared" si="11"/>
        <v>0</v>
      </c>
      <c r="S62" s="29"/>
      <c r="T62" s="29"/>
      <c r="U62" s="29"/>
      <c r="V62" s="29"/>
      <c r="W62" s="29"/>
      <c r="X62" s="29"/>
      <c r="Y62" s="29"/>
      <c r="Z62" s="29"/>
      <c r="AA62" s="29"/>
      <c r="AB62" s="29"/>
      <c r="AC62" s="29"/>
      <c r="AD62" s="29"/>
      <c r="AE62" s="29"/>
      <c r="AF62" s="29"/>
      <c r="AG62" s="29"/>
    </row>
    <row r="63" spans="1:33" x14ac:dyDescent="0.3">
      <c r="A63" s="7"/>
      <c r="B63" s="7"/>
      <c r="C63" s="4" t="str">
        <f>$C$61&amp;" - "&amp;C14</f>
        <v>Annualised capex - ongoing capex</v>
      </c>
      <c r="D63" s="35"/>
      <c r="F63" s="88"/>
      <c r="G63" s="432">
        <f>input_dollars</f>
        <v>45473</v>
      </c>
      <c r="H63" s="29"/>
      <c r="I63" s="29">
        <f t="shared" ref="I63:R63" si="12">IF($E14=0,0,-PMT(real_disc, $E14,I58,))</f>
        <v>0</v>
      </c>
      <c r="J63" s="29">
        <f t="shared" si="12"/>
        <v>0</v>
      </c>
      <c r="K63" s="29">
        <f t="shared" si="12"/>
        <v>0</v>
      </c>
      <c r="L63" s="29">
        <f t="shared" si="12"/>
        <v>0</v>
      </c>
      <c r="M63" s="29">
        <f t="shared" si="12"/>
        <v>0</v>
      </c>
      <c r="N63" s="29">
        <f t="shared" si="12"/>
        <v>0</v>
      </c>
      <c r="O63" s="29">
        <f t="shared" si="12"/>
        <v>0</v>
      </c>
      <c r="P63" s="29">
        <f t="shared" si="12"/>
        <v>0</v>
      </c>
      <c r="Q63" s="29">
        <f t="shared" si="12"/>
        <v>0</v>
      </c>
      <c r="R63" s="29">
        <f t="shared" si="12"/>
        <v>0</v>
      </c>
      <c r="S63" s="29"/>
      <c r="T63" s="29"/>
      <c r="U63" s="29"/>
      <c r="V63" s="29"/>
      <c r="W63" s="29"/>
      <c r="X63" s="29"/>
      <c r="Y63" s="29"/>
      <c r="Z63" s="29"/>
      <c r="AA63" s="29"/>
      <c r="AB63" s="29"/>
      <c r="AC63" s="29"/>
      <c r="AD63" s="29"/>
      <c r="AE63" s="29"/>
      <c r="AF63" s="29"/>
      <c r="AG63" s="29"/>
    </row>
    <row r="64" spans="1:33" x14ac:dyDescent="0.3">
      <c r="A64" s="7"/>
      <c r="B64" s="7"/>
      <c r="C64" s="4" t="str">
        <f>$C$61&amp;" - "&amp;C15</f>
        <v>Annualised capex - &lt; Enter description &gt;</v>
      </c>
      <c r="D64" s="35"/>
      <c r="F64" s="88"/>
      <c r="G64" s="432">
        <f>input_dollars</f>
        <v>45473</v>
      </c>
      <c r="H64" s="29"/>
      <c r="I64" s="29">
        <f t="shared" ref="I64:R64" si="13">IF($E15=0,0,-PMT(real_disc, $E15,I59,))</f>
        <v>0</v>
      </c>
      <c r="J64" s="29">
        <f t="shared" si="13"/>
        <v>0</v>
      </c>
      <c r="K64" s="29">
        <f t="shared" si="13"/>
        <v>0</v>
      </c>
      <c r="L64" s="29">
        <f t="shared" si="13"/>
        <v>0</v>
      </c>
      <c r="M64" s="29">
        <f t="shared" si="13"/>
        <v>0</v>
      </c>
      <c r="N64" s="29">
        <f t="shared" si="13"/>
        <v>0</v>
      </c>
      <c r="O64" s="29">
        <f t="shared" si="13"/>
        <v>0</v>
      </c>
      <c r="P64" s="29">
        <f t="shared" si="13"/>
        <v>0</v>
      </c>
      <c r="Q64" s="29">
        <f t="shared" si="13"/>
        <v>0</v>
      </c>
      <c r="R64" s="29">
        <f t="shared" si="13"/>
        <v>0</v>
      </c>
      <c r="S64" s="29"/>
      <c r="T64" s="29"/>
      <c r="U64" s="29"/>
      <c r="V64" s="29"/>
      <c r="W64" s="29"/>
      <c r="X64" s="29"/>
      <c r="Y64" s="29"/>
      <c r="Z64" s="29"/>
      <c r="AA64" s="29"/>
      <c r="AB64" s="29"/>
      <c r="AC64" s="29"/>
      <c r="AD64" s="29"/>
      <c r="AE64" s="29"/>
      <c r="AF64" s="29"/>
      <c r="AG64" s="29"/>
    </row>
    <row r="65" spans="1:33" x14ac:dyDescent="0.3">
      <c r="A65" s="7"/>
      <c r="B65" s="7"/>
      <c r="C65" s="135" t="s">
        <v>111</v>
      </c>
      <c r="D65" s="135"/>
      <c r="E65" s="136"/>
      <c r="F65" s="137"/>
      <c r="G65" s="433">
        <f>input_dollars</f>
        <v>45473</v>
      </c>
      <c r="H65" s="138"/>
      <c r="I65" s="138">
        <f>SUM(I62:I64)</f>
        <v>-640855.02434472181</v>
      </c>
      <c r="J65" s="138">
        <f t="shared" ref="J65:R65" si="14">SUM(J62:J64)</f>
        <v>-1300632.3098052058</v>
      </c>
      <c r="K65" s="138">
        <f t="shared" si="14"/>
        <v>-2185062.1387246666</v>
      </c>
      <c r="L65" s="138">
        <f t="shared" si="14"/>
        <v>-3108804.9113796903</v>
      </c>
      <c r="M65" s="138">
        <f t="shared" si="14"/>
        <v>-3520444.8759783781</v>
      </c>
      <c r="N65" s="138">
        <f t="shared" si="14"/>
        <v>-2879589.8516336563</v>
      </c>
      <c r="O65" s="138">
        <f t="shared" si="14"/>
        <v>-2219812.5661731726</v>
      </c>
      <c r="P65" s="138">
        <f t="shared" si="14"/>
        <v>-1335382.7372537113</v>
      </c>
      <c r="Q65" s="138">
        <f t="shared" si="14"/>
        <v>-411639.96459868777</v>
      </c>
      <c r="R65" s="138">
        <f t="shared" si="14"/>
        <v>0</v>
      </c>
      <c r="S65" s="138"/>
      <c r="T65" s="138"/>
      <c r="U65" s="138"/>
      <c r="V65" s="138"/>
      <c r="W65" s="138"/>
      <c r="X65" s="138"/>
      <c r="Y65" s="138"/>
      <c r="Z65" s="138"/>
      <c r="AA65" s="138"/>
      <c r="AB65" s="138"/>
      <c r="AC65" s="138"/>
      <c r="AD65" s="138"/>
      <c r="AE65" s="138"/>
      <c r="AF65" s="138"/>
      <c r="AG65" s="138"/>
    </row>
    <row r="66" spans="1:33" ht="13.5" x14ac:dyDescent="0.3">
      <c r="A66" s="7"/>
      <c r="B66" s="7"/>
      <c r="C66" s="13"/>
      <c r="D66" s="35"/>
      <c r="F66"/>
      <c r="G66" s="432"/>
      <c r="H66"/>
      <c r="I66"/>
      <c r="J66"/>
      <c r="K66"/>
      <c r="L66"/>
      <c r="M66"/>
      <c r="N66"/>
      <c r="O66"/>
      <c r="P66"/>
      <c r="Q66"/>
      <c r="R66"/>
      <c r="S66"/>
      <c r="T66"/>
      <c r="U66"/>
      <c r="V66"/>
      <c r="W66"/>
      <c r="X66"/>
      <c r="Y66"/>
      <c r="Z66"/>
      <c r="AA66"/>
      <c r="AB66"/>
      <c r="AC66"/>
      <c r="AD66"/>
      <c r="AE66"/>
      <c r="AF66"/>
      <c r="AG66"/>
    </row>
    <row r="67" spans="1:33" x14ac:dyDescent="0.3">
      <c r="A67" s="7"/>
      <c r="B67" s="7"/>
      <c r="C67" s="4" t="s">
        <v>161</v>
      </c>
      <c r="D67" s="35"/>
      <c r="F67" s="88"/>
      <c r="G67" s="432">
        <f t="shared" ref="G67:G72" si="15">input_dollars</f>
        <v>45473</v>
      </c>
      <c r="H67" s="29"/>
      <c r="I67" s="29">
        <f>I65</f>
        <v>-640855.02434472181</v>
      </c>
      <c r="J67" s="29">
        <f t="shared" ref="J67:R67" si="16">J65</f>
        <v>-1300632.3098052058</v>
      </c>
      <c r="K67" s="29">
        <f t="shared" si="16"/>
        <v>-2185062.1387246666</v>
      </c>
      <c r="L67" s="29">
        <f t="shared" si="16"/>
        <v>-3108804.9113796903</v>
      </c>
      <c r="M67" s="29">
        <f t="shared" si="16"/>
        <v>-3520444.8759783781</v>
      </c>
      <c r="N67" s="29">
        <f t="shared" si="16"/>
        <v>-2879589.8516336563</v>
      </c>
      <c r="O67" s="29">
        <f t="shared" si="16"/>
        <v>-2219812.5661731726</v>
      </c>
      <c r="P67" s="29">
        <f t="shared" si="16"/>
        <v>-1335382.7372537113</v>
      </c>
      <c r="Q67" s="29">
        <f t="shared" si="16"/>
        <v>-411639.96459868777</v>
      </c>
      <c r="R67" s="29">
        <f t="shared" si="16"/>
        <v>0</v>
      </c>
      <c r="S67" s="29"/>
      <c r="T67" s="29"/>
      <c r="U67" s="29"/>
      <c r="V67" s="29"/>
      <c r="W67" s="29"/>
      <c r="X67" s="29"/>
      <c r="Y67" s="29"/>
      <c r="Z67" s="29"/>
      <c r="AA67" s="29"/>
      <c r="AB67" s="29"/>
      <c r="AC67" s="29"/>
      <c r="AD67" s="29"/>
      <c r="AE67" s="29"/>
      <c r="AF67" s="29"/>
      <c r="AG67" s="29"/>
    </row>
    <row r="68" spans="1:33" x14ac:dyDescent="0.3">
      <c r="A68" s="7"/>
      <c r="B68" s="7"/>
      <c r="C68" s="4" t="s">
        <v>163</v>
      </c>
      <c r="D68" s="35"/>
      <c r="F68" s="88"/>
      <c r="G68" s="432">
        <f t="shared" si="15"/>
        <v>45473</v>
      </c>
      <c r="H68" s="29"/>
      <c r="I68" s="29">
        <f>-I18-'Option1 (base case)'!I68</f>
        <v>1367236.95</v>
      </c>
      <c r="J68" s="29">
        <f>-J18-'Option1 (base case)'!J68</f>
        <v>395086.92500000005</v>
      </c>
      <c r="K68" s="29">
        <f>-K18-'Option1 (base case)'!K68</f>
        <v>-458269.97500000009</v>
      </c>
      <c r="L68" s="29">
        <f>-L18-'Option1 (base case)'!L68</f>
        <v>-1266246.375</v>
      </c>
      <c r="M68" s="29">
        <f>-M18-'Option1 (base case)'!M68</f>
        <v>-1698276.875</v>
      </c>
      <c r="N68" s="29">
        <f>-N18-'Option1 (base case)'!N68</f>
        <v>0</v>
      </c>
      <c r="O68" s="29">
        <f>-O18-'Option1 (base case)'!O68</f>
        <v>0</v>
      </c>
      <c r="P68" s="29">
        <f>-P18-'Option1 (base case)'!P68</f>
        <v>0</v>
      </c>
      <c r="Q68" s="29">
        <f>-Q18-'Option1 (base case)'!Q68</f>
        <v>0</v>
      </c>
      <c r="R68" s="29">
        <f>-R18-'Option1 (base case)'!R68</f>
        <v>0</v>
      </c>
      <c r="S68" s="29"/>
      <c r="T68" s="29"/>
      <c r="U68" s="29"/>
      <c r="V68" s="29"/>
      <c r="W68" s="29"/>
      <c r="X68" s="29"/>
      <c r="Y68" s="29"/>
      <c r="Z68" s="29"/>
      <c r="AA68" s="29"/>
      <c r="AB68" s="29"/>
      <c r="AC68" s="29"/>
      <c r="AD68" s="29"/>
      <c r="AE68" s="29"/>
      <c r="AF68" s="29"/>
      <c r="AG68" s="29"/>
    </row>
    <row r="69" spans="1:33" x14ac:dyDescent="0.3">
      <c r="A69" s="7"/>
      <c r="B69" s="7"/>
      <c r="C69" s="4" t="s">
        <v>100</v>
      </c>
      <c r="D69" s="35"/>
      <c r="F69" s="88"/>
      <c r="G69" s="432">
        <f t="shared" si="15"/>
        <v>45473</v>
      </c>
      <c r="H69" s="29"/>
      <c r="I69" s="29">
        <f>-I49</f>
        <v>14816898.129105642</v>
      </c>
      <c r="J69" s="29">
        <f t="shared" ref="J69:Q69" si="17">-J49</f>
        <v>14816898.129105642</v>
      </c>
      <c r="K69" s="29">
        <f t="shared" si="17"/>
        <v>14816898.129105642</v>
      </c>
      <c r="L69" s="29">
        <f t="shared" si="17"/>
        <v>14816898.129105642</v>
      </c>
      <c r="M69" s="29">
        <f t="shared" si="17"/>
        <v>14816898.129105642</v>
      </c>
      <c r="N69" s="29">
        <f t="shared" si="17"/>
        <v>0</v>
      </c>
      <c r="O69" s="29">
        <f t="shared" si="17"/>
        <v>0</v>
      </c>
      <c r="P69" s="29">
        <f t="shared" si="17"/>
        <v>0</v>
      </c>
      <c r="Q69" s="29">
        <f t="shared" si="17"/>
        <v>0</v>
      </c>
      <c r="R69" s="29">
        <f>-R49</f>
        <v>0</v>
      </c>
      <c r="S69" s="29"/>
      <c r="T69" s="29"/>
      <c r="U69" s="29"/>
      <c r="V69" s="29"/>
      <c r="W69" s="29"/>
      <c r="X69" s="29"/>
      <c r="Y69" s="29"/>
      <c r="Z69" s="29"/>
      <c r="AA69" s="29"/>
      <c r="AB69" s="29"/>
      <c r="AC69" s="29"/>
      <c r="AD69" s="29"/>
      <c r="AE69" s="29"/>
      <c r="AF69" s="29"/>
      <c r="AG69" s="29"/>
    </row>
    <row r="70" spans="1:33" x14ac:dyDescent="0.3">
      <c r="A70" s="7"/>
      <c r="B70" s="7"/>
      <c r="C70" s="4" t="s">
        <v>88</v>
      </c>
      <c r="D70" s="35"/>
      <c r="F70" s="88"/>
      <c r="G70" s="432">
        <f t="shared" si="15"/>
        <v>45473</v>
      </c>
      <c r="H70" s="29"/>
      <c r="I70" s="29">
        <f>I43</f>
        <v>0</v>
      </c>
      <c r="J70" s="29">
        <f t="shared" ref="J70:R70" si="18">J43</f>
        <v>0</v>
      </c>
      <c r="K70" s="29">
        <f t="shared" si="18"/>
        <v>0</v>
      </c>
      <c r="L70" s="29">
        <f t="shared" si="18"/>
        <v>0</v>
      </c>
      <c r="M70" s="29">
        <f t="shared" si="18"/>
        <v>0</v>
      </c>
      <c r="N70" s="29">
        <f t="shared" si="18"/>
        <v>0</v>
      </c>
      <c r="O70" s="29">
        <f t="shared" si="18"/>
        <v>0</v>
      </c>
      <c r="P70" s="29">
        <f t="shared" si="18"/>
        <v>0</v>
      </c>
      <c r="Q70" s="29">
        <f t="shared" si="18"/>
        <v>0</v>
      </c>
      <c r="R70" s="29">
        <f t="shared" si="18"/>
        <v>0</v>
      </c>
      <c r="S70" s="29"/>
      <c r="T70" s="29"/>
      <c r="U70" s="29"/>
      <c r="V70" s="29"/>
      <c r="W70" s="29"/>
      <c r="X70" s="29"/>
      <c r="Y70" s="29"/>
      <c r="Z70" s="29"/>
      <c r="AA70" s="29"/>
      <c r="AB70" s="29"/>
      <c r="AC70" s="29"/>
      <c r="AD70" s="29"/>
      <c r="AE70" s="29"/>
      <c r="AF70" s="29"/>
      <c r="AG70" s="29"/>
    </row>
    <row r="71" spans="1:33" x14ac:dyDescent="0.3">
      <c r="A71" s="7"/>
      <c r="B71" s="7"/>
      <c r="C71" s="4"/>
      <c r="D71" s="35"/>
      <c r="F71" s="29"/>
      <c r="G71" s="432"/>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x14ac:dyDescent="0.3">
      <c r="A72" s="7"/>
      <c r="B72" s="7"/>
      <c r="C72" s="139" t="s">
        <v>127</v>
      </c>
      <c r="D72" s="140"/>
      <c r="E72" s="136"/>
      <c r="F72" s="141"/>
      <c r="G72" s="433">
        <f t="shared" si="15"/>
        <v>45473</v>
      </c>
      <c r="H72" s="141"/>
      <c r="I72" s="141">
        <f t="shared" ref="I72:R72" si="19">SUM(I67:I71)</f>
        <v>15543280.05476092</v>
      </c>
      <c r="J72" s="141">
        <f t="shared" si="19"/>
        <v>13911352.744300436</v>
      </c>
      <c r="K72" s="141">
        <f t="shared" si="19"/>
        <v>12173566.015380975</v>
      </c>
      <c r="L72" s="141">
        <f t="shared" si="19"/>
        <v>10441846.842725951</v>
      </c>
      <c r="M72" s="141">
        <f t="shared" si="19"/>
        <v>9598176.3781272639</v>
      </c>
      <c r="N72" s="141">
        <f t="shared" si="19"/>
        <v>-2879589.8516336563</v>
      </c>
      <c r="O72" s="141">
        <f t="shared" si="19"/>
        <v>-2219812.5661731726</v>
      </c>
      <c r="P72" s="141">
        <f t="shared" si="19"/>
        <v>-1335382.7372537113</v>
      </c>
      <c r="Q72" s="141">
        <f t="shared" si="19"/>
        <v>-411639.96459868777</v>
      </c>
      <c r="R72" s="141">
        <f t="shared" si="19"/>
        <v>0</v>
      </c>
      <c r="S72" s="141"/>
      <c r="T72" s="141"/>
      <c r="U72" s="141"/>
      <c r="V72" s="141"/>
      <c r="W72" s="141"/>
      <c r="X72" s="141"/>
      <c r="Y72" s="141"/>
      <c r="Z72" s="141"/>
      <c r="AA72" s="141"/>
      <c r="AB72" s="141"/>
      <c r="AC72" s="141"/>
      <c r="AD72" s="141"/>
      <c r="AE72" s="141"/>
      <c r="AF72" s="141"/>
      <c r="AG72" s="141"/>
    </row>
    <row r="73" spans="1:33" x14ac:dyDescent="0.3">
      <c r="A73" s="7"/>
      <c r="B73" s="7"/>
      <c r="C73" s="13"/>
      <c r="D73" s="35"/>
      <c r="F73" s="119"/>
      <c r="G73" s="167"/>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7"/>
      <c r="B74" s="7"/>
      <c r="C74" s="13"/>
      <c r="D74" s="35"/>
      <c r="F74" s="119"/>
      <c r="G74" s="167"/>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7"/>
      <c r="B75" s="7"/>
      <c r="C75" s="180" t="s">
        <v>136</v>
      </c>
      <c r="D75" s="74"/>
      <c r="E75" s="181"/>
      <c r="F75" s="182"/>
      <c r="G75" s="183" cm="1">
        <f t="array" ref="G75">IF(SUM($I16:$AG16)=0,0,(INDEX(I$6:AG$6,MATCH(TRUE,INDEX($I16:$AG16&lt;&gt;0,),0))))</f>
        <v>1</v>
      </c>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3" x14ac:dyDescent="0.3">
      <c r="A76" s="7"/>
      <c r="B76" s="7"/>
      <c r="C76" s="74" t="s">
        <v>135</v>
      </c>
      <c r="D76" s="184"/>
      <c r="E76" s="181"/>
      <c r="F76" s="182"/>
      <c r="G76" s="183" cm="1">
        <f t="array" ref="G76">IF(SUM($I18:$AG18)=0,0,(INDEX(I$6:AG$6,MATCH(TRUE,INDEX($I18:$AG18&lt;&gt;0,),0))))</f>
        <v>1</v>
      </c>
      <c r="H76" s="31"/>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1:33" x14ac:dyDescent="0.3">
      <c r="C77" s="185" t="s">
        <v>130</v>
      </c>
      <c r="D77" s="186"/>
      <c r="E77" s="186"/>
      <c r="F77" s="186"/>
      <c r="G77" s="187">
        <f>IF(_xlfn.MINIFS($G$75:$G$76, $G$75:$G$76, "&gt;"&amp;0)=0, $A$4, _xlfn.MINIFS($G$75:$G$76, $G$75:$G$76, "&gt;"&amp;0))</f>
        <v>1</v>
      </c>
    </row>
    <row r="79" spans="1:33" x14ac:dyDescent="0.3">
      <c r="G79" s="11"/>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3" x14ac:dyDescent="0.3">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9:33" x14ac:dyDescent="0.3">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3" spans="9:33" x14ac:dyDescent="0.3">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9:33" x14ac:dyDescent="0.3">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9:33" x14ac:dyDescent="0.3">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9:33" x14ac:dyDescent="0.3">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row>
  </sheetData>
  <conditionalFormatting sqref="E13">
    <cfRule type="expression" dxfId="10" priority="54">
      <formula>AND(SUM($I13:$AB13)&lt;&gt;0, E13=0)</formula>
    </cfRule>
  </conditionalFormatting>
  <conditionalFormatting sqref="E14:E15">
    <cfRule type="expression" dxfId="9" priority="1">
      <formula>AND(SUM($I14:$AB14)&lt;&gt;0, E14=0)</formula>
    </cfRule>
  </conditionalFormatting>
  <conditionalFormatting sqref="E22">
    <cfRule type="expression" dxfId="8" priority="2">
      <formula>AND(SUM($I22:$AB22)&lt;&gt;0, E22=0)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9" id="{4F65EB60-FCE6-4945-964C-D8B8AF8E6CEB}">
            <xm:f>$A$4=Data!$C$8</xm:f>
            <x14:dxf>
              <font>
                <color theme="0" tint="-0.499984740745262"/>
              </font>
            </x14:dxf>
          </x14:cfRule>
          <xm:sqref>C3 A4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1811-6B75-4847-AE41-397A51099C8E}">
  <sheetPr codeName="Sheet6">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G13" sqref="G13:G72"/>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4" t="str">
        <f>bus</f>
        <v>United Energy</v>
      </c>
      <c r="B1" s="14"/>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43" ht="18.5" x14ac:dyDescent="0.45">
      <c r="A2" s="54" t="str">
        <f>proj</f>
        <v>Infrastructure refresh risk</v>
      </c>
      <c r="B2" s="54"/>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43" ht="15.5" x14ac:dyDescent="0.35">
      <c r="A3" s="163" t="s">
        <v>96</v>
      </c>
      <c r="B3" s="5"/>
      <c r="C3" s="161" t="str">
        <f>INDEX(Assumptions!$E$14:$E$17, MATCH(A3,_xlfn.ANCHORARRAY( Assumptions!$C$14),0))</f>
        <v>Criteria-based IT infrastructure refresh</v>
      </c>
    </row>
    <row r="4" spans="1:43" x14ac:dyDescent="0.3">
      <c r="A4" s="1" t="str">
        <f>(INDEX(Data!$D$9:$D$12, MATCH(A3, options,0)))</f>
        <v/>
      </c>
      <c r="B4" s="148"/>
      <c r="C4" s="188" t="str">
        <f>IF(INDEX(Misc_calcs!$D$39:$D$54, MATCH(A3, Misc_calcs!$B$39:$B$54,0)), Misc_calcs!$B$57, "")</f>
        <v/>
      </c>
    </row>
    <row r="5" spans="1:43" x14ac:dyDescent="0.3">
      <c r="C5" s="90"/>
      <c r="D5" s="89"/>
      <c r="E5" s="91"/>
      <c r="F5" s="91"/>
      <c r="G5" s="89"/>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43" x14ac:dyDescent="0.3">
      <c r="A6" s="89" t="str">
        <f>'Option1 (base case)'!A6</f>
        <v>Count</v>
      </c>
      <c r="B6" s="89"/>
      <c r="C6" s="90"/>
      <c r="D6" s="89"/>
      <c r="E6" s="91"/>
      <c r="F6" s="91"/>
      <c r="G6" s="89"/>
      <c r="H6" s="92"/>
      <c r="I6" s="92">
        <f>'Option1 (base case)'!I6</f>
        <v>1</v>
      </c>
      <c r="J6" s="92">
        <f>'Option1 (base case)'!J6</f>
        <v>2</v>
      </c>
      <c r="K6" s="92">
        <f>'Option1 (base case)'!K6</f>
        <v>3</v>
      </c>
      <c r="L6" s="92">
        <f>'Option1 (base case)'!L6</f>
        <v>4</v>
      </c>
      <c r="M6" s="92">
        <f>'Option1 (base case)'!M6</f>
        <v>5</v>
      </c>
      <c r="N6" s="92">
        <f>'Option1 (base case)'!N6</f>
        <v>6</v>
      </c>
      <c r="O6" s="92">
        <f>'Option1 (base case)'!O6</f>
        <v>7</v>
      </c>
      <c r="P6" s="92">
        <f>'Option1 (base case)'!P6</f>
        <v>8</v>
      </c>
      <c r="Q6" s="92">
        <f>'Option1 (base case)'!Q6</f>
        <v>9</v>
      </c>
      <c r="R6" s="92">
        <f>'Option1 (base case)'!R6</f>
        <v>10</v>
      </c>
      <c r="S6" s="92">
        <f>'Option1 (base case)'!S6</f>
        <v>11</v>
      </c>
      <c r="T6" s="92">
        <f>'Option1 (base case)'!T6</f>
        <v>12</v>
      </c>
      <c r="U6" s="92">
        <f>'Option1 (base case)'!U6</f>
        <v>13</v>
      </c>
      <c r="V6" s="92">
        <f>'Option1 (base case)'!V6</f>
        <v>14</v>
      </c>
      <c r="W6" s="92">
        <f>'Option1 (base case)'!W6</f>
        <v>15</v>
      </c>
      <c r="X6" s="92">
        <f>'Option1 (base case)'!X6</f>
        <v>16</v>
      </c>
      <c r="Y6" s="92">
        <f>'Option1 (base case)'!Y6</f>
        <v>17</v>
      </c>
      <c r="Z6" s="92">
        <f>'Option1 (base case)'!Z6</f>
        <v>18</v>
      </c>
      <c r="AA6" s="92">
        <f>'Option1 (base case)'!AA6</f>
        <v>19</v>
      </c>
      <c r="AB6" s="92">
        <f>'Option1 (base case)'!AB6</f>
        <v>20</v>
      </c>
      <c r="AC6" s="92">
        <f>'Option1 (base case)'!AC6</f>
        <v>21</v>
      </c>
      <c r="AD6" s="92">
        <f>'Option1 (base case)'!AD6</f>
        <v>22</v>
      </c>
      <c r="AE6" s="92">
        <f>'Option1 (base case)'!AE6</f>
        <v>23</v>
      </c>
      <c r="AF6" s="92">
        <f>'Option1 (base case)'!AF6</f>
        <v>24</v>
      </c>
      <c r="AG6" s="92">
        <f>'Option1 (base case)'!AG6</f>
        <v>25</v>
      </c>
    </row>
    <row r="7" spans="1:43" ht="6.75" customHeight="1" x14ac:dyDescent="0.3">
      <c r="C7" s="90"/>
      <c r="D7" s="89"/>
      <c r="E7" s="91"/>
      <c r="F7" s="91"/>
      <c r="G7" s="89"/>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43" ht="14.5" x14ac:dyDescent="0.3">
      <c r="A8" s="17"/>
      <c r="B8" s="17"/>
      <c r="C8" s="17"/>
      <c r="D8" s="17"/>
      <c r="E8" s="17"/>
      <c r="F8" s="120"/>
      <c r="G8" s="17" t="s">
        <v>13</v>
      </c>
      <c r="H8" s="170"/>
      <c r="I8" s="16" t="str">
        <f>'Option1 (base case)'!I8</f>
        <v>2026-27</v>
      </c>
      <c r="J8" s="16" t="str">
        <f>'Option1 (base case)'!J8</f>
        <v>2027-28</v>
      </c>
      <c r="K8" s="16" t="str">
        <f>'Option1 (base case)'!K8</f>
        <v>2028-29</v>
      </c>
      <c r="L8" s="16" t="str">
        <f>'Option1 (base case)'!L8</f>
        <v>2029-30</v>
      </c>
      <c r="M8" s="16" t="str">
        <f>'Option1 (base case)'!M8</f>
        <v>2030-31</v>
      </c>
      <c r="N8" s="16" t="str">
        <f>'Option1 (base case)'!N8</f>
        <v>2031-32</v>
      </c>
      <c r="O8" s="16" t="str">
        <f>'Option1 (base case)'!O8</f>
        <v>2032-33</v>
      </c>
      <c r="P8" s="16" t="str">
        <f>'Option1 (base case)'!P8</f>
        <v>2033-34</v>
      </c>
      <c r="Q8" s="16" t="str">
        <f>'Option1 (base case)'!Q8</f>
        <v>2034-35</v>
      </c>
      <c r="R8" s="16" t="str">
        <f>'Option1 (base case)'!R8</f>
        <v>2035-36</v>
      </c>
      <c r="S8" s="16" t="str">
        <f>'Option1 (base case)'!S8</f>
        <v>2036-37</v>
      </c>
      <c r="T8" s="16" t="str">
        <f>'Option1 (base case)'!T8</f>
        <v>2037-38</v>
      </c>
      <c r="U8" s="16" t="str">
        <f>'Option1 (base case)'!U8</f>
        <v>2038-39</v>
      </c>
      <c r="V8" s="16" t="str">
        <f>'Option1 (base case)'!V8</f>
        <v>2039-40</v>
      </c>
      <c r="W8" s="16" t="str">
        <f>'Option1 (base case)'!W8</f>
        <v>2040-41</v>
      </c>
      <c r="X8" s="16" t="str">
        <f>'Option1 (base case)'!X8</f>
        <v>2041-42</v>
      </c>
      <c r="Y8" s="16" t="str">
        <f>'Option1 (base case)'!Y8</f>
        <v>2042-43</v>
      </c>
      <c r="Z8" s="16" t="str">
        <f>'Option1 (base case)'!Z8</f>
        <v>2043-44</v>
      </c>
      <c r="AA8" s="16" t="str">
        <f>'Option1 (base case)'!AA8</f>
        <v>2044-45</v>
      </c>
      <c r="AB8" s="16" t="str">
        <f>'Option1 (base case)'!AB8</f>
        <v>2045-46</v>
      </c>
      <c r="AC8" s="16" t="str">
        <f>'Option1 (base case)'!AC8</f>
        <v>2046-47</v>
      </c>
      <c r="AD8" s="16" t="str">
        <f>'Option1 (base case)'!AD8</f>
        <v>2047-48</v>
      </c>
      <c r="AE8" s="16" t="str">
        <f>'Option1 (base case)'!AE8</f>
        <v>2048-49</v>
      </c>
      <c r="AF8" s="16" t="str">
        <f>'Option1 (base case)'!AF8</f>
        <v>2049-50</v>
      </c>
      <c r="AG8" s="16"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78" t="s">
        <v>86</v>
      </c>
      <c r="B10" s="78"/>
      <c r="C10" s="79"/>
      <c r="D10" s="79"/>
      <c r="E10" s="79"/>
      <c r="F10" s="79"/>
      <c r="G10" s="16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row>
    <row r="11" spans="1:43" x14ac:dyDescent="0.3">
      <c r="A11" s="3"/>
      <c r="B11" s="3"/>
      <c r="C11" s="3"/>
      <c r="D11" s="3"/>
      <c r="G11" s="165"/>
    </row>
    <row r="12" spans="1:43" ht="13.5" x14ac:dyDescent="0.3">
      <c r="C12" s="3" t="s">
        <v>11</v>
      </c>
      <c r="D12"/>
      <c r="E12" s="107" t="s">
        <v>54</v>
      </c>
      <c r="G12" s="166"/>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55" t="s">
        <v>164</v>
      </c>
      <c r="D13"/>
      <c r="E13" s="124">
        <v>5</v>
      </c>
      <c r="G13" s="431">
        <f>input_dollars</f>
        <v>45473</v>
      </c>
      <c r="H13" s="125"/>
      <c r="I13" s="30">
        <f>'Cost summary'!J15</f>
        <v>10034897</v>
      </c>
      <c r="J13" s="30">
        <f>'Cost summary'!K15</f>
        <v>8343171</v>
      </c>
      <c r="K13" s="30">
        <f>'Cost summary'!L15</f>
        <v>7627377</v>
      </c>
      <c r="L13" s="30">
        <f>'Cost summary'!M15</f>
        <v>1066547</v>
      </c>
      <c r="M13" s="30">
        <f>'Cost summary'!N15</f>
        <v>1097589</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c r="AI13"/>
      <c r="AJ13"/>
      <c r="AK13"/>
      <c r="AL13"/>
      <c r="AM13"/>
      <c r="AN13"/>
      <c r="AO13"/>
      <c r="AP13"/>
      <c r="AQ13"/>
    </row>
    <row r="14" spans="1:43" ht="13.5" x14ac:dyDescent="0.3">
      <c r="C14" s="55" t="s">
        <v>247</v>
      </c>
      <c r="D14"/>
      <c r="E14" s="124">
        <v>5</v>
      </c>
      <c r="G14" s="431">
        <f>input_dollars</f>
        <v>45473</v>
      </c>
      <c r="H14" s="2"/>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c r="AI14"/>
      <c r="AJ14"/>
      <c r="AK14"/>
      <c r="AL14"/>
      <c r="AM14"/>
      <c r="AN14"/>
      <c r="AO14"/>
      <c r="AP14"/>
      <c r="AQ14"/>
    </row>
    <row r="15" spans="1:43" ht="13.5" x14ac:dyDescent="0.3">
      <c r="C15" s="55" t="s">
        <v>43</v>
      </c>
      <c r="D15"/>
      <c r="E15" s="124">
        <v>0</v>
      </c>
      <c r="G15" s="431">
        <f>input_dollars</f>
        <v>45473</v>
      </c>
      <c r="H15" s="2"/>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c r="AI15"/>
      <c r="AJ15"/>
      <c r="AK15"/>
      <c r="AL15"/>
      <c r="AM15"/>
      <c r="AN15"/>
      <c r="AO15"/>
      <c r="AP15"/>
      <c r="AQ15"/>
    </row>
    <row r="16" spans="1:43" ht="13.5" x14ac:dyDescent="0.3">
      <c r="C16" s="1" t="s">
        <v>18</v>
      </c>
      <c r="G16" s="431">
        <f>input_dollars</f>
        <v>45473</v>
      </c>
      <c r="H16" s="98"/>
      <c r="I16" s="97">
        <f t="shared" ref="I16:M16" si="0">SUM(I13:I15)</f>
        <v>10034897</v>
      </c>
      <c r="J16" s="97">
        <f t="shared" si="0"/>
        <v>8343171</v>
      </c>
      <c r="K16" s="97">
        <f t="shared" si="0"/>
        <v>7627377</v>
      </c>
      <c r="L16" s="97">
        <f t="shared" si="0"/>
        <v>1066547</v>
      </c>
      <c r="M16" s="97">
        <f t="shared" si="0"/>
        <v>1097589</v>
      </c>
      <c r="N16" s="97">
        <f t="shared" ref="N16:R16" si="1">SUM(N13:N15)</f>
        <v>0</v>
      </c>
      <c r="O16" s="97">
        <f t="shared" si="1"/>
        <v>0</v>
      </c>
      <c r="P16" s="97">
        <f t="shared" si="1"/>
        <v>0</v>
      </c>
      <c r="Q16" s="97">
        <f t="shared" si="1"/>
        <v>0</v>
      </c>
      <c r="R16" s="97">
        <f t="shared" si="1"/>
        <v>0</v>
      </c>
      <c r="S16" s="97">
        <f t="shared" ref="S16:AG16" si="2">SUM(S13:S15)</f>
        <v>0</v>
      </c>
      <c r="T16" s="97">
        <f t="shared" si="2"/>
        <v>0</v>
      </c>
      <c r="U16" s="97">
        <f t="shared" si="2"/>
        <v>0</v>
      </c>
      <c r="V16" s="97">
        <f t="shared" si="2"/>
        <v>0</v>
      </c>
      <c r="W16" s="97">
        <f t="shared" si="2"/>
        <v>0</v>
      </c>
      <c r="X16" s="97">
        <f t="shared" si="2"/>
        <v>0</v>
      </c>
      <c r="Y16" s="97">
        <f t="shared" si="2"/>
        <v>0</v>
      </c>
      <c r="Z16" s="97">
        <f t="shared" si="2"/>
        <v>0</v>
      </c>
      <c r="AA16" s="97">
        <f t="shared" si="2"/>
        <v>0</v>
      </c>
      <c r="AB16" s="97">
        <f t="shared" si="2"/>
        <v>0</v>
      </c>
      <c r="AC16" s="97">
        <f t="shared" si="2"/>
        <v>0</v>
      </c>
      <c r="AD16" s="97">
        <f t="shared" si="2"/>
        <v>0</v>
      </c>
      <c r="AE16" s="97">
        <f t="shared" si="2"/>
        <v>0</v>
      </c>
      <c r="AF16" s="97">
        <f t="shared" si="2"/>
        <v>0</v>
      </c>
      <c r="AG16" s="97">
        <f t="shared" si="2"/>
        <v>0</v>
      </c>
    </row>
    <row r="17" spans="1:43" ht="13.5" x14ac:dyDescent="0.3">
      <c r="C17"/>
      <c r="D17"/>
      <c r="E17"/>
      <c r="G17" s="436"/>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98"/>
      <c r="G18" s="431">
        <f>input_dollars</f>
        <v>45473</v>
      </c>
      <c r="H18" s="98"/>
      <c r="I18" s="30">
        <f>'Cost summary'!J22</f>
        <v>1250839.4060365853</v>
      </c>
      <c r="J18" s="30">
        <f>'Cost summary'!K22</f>
        <v>2171495.3398406352</v>
      </c>
      <c r="K18" s="30">
        <f>'Cost summary'!L22</f>
        <v>2312987.5466694469</v>
      </c>
      <c r="L18" s="30">
        <f>'Cost summary'!M22</f>
        <v>1599430.3029505187</v>
      </c>
      <c r="M18" s="30">
        <f>'Cost summary'!N22</f>
        <v>1885397.1746102148</v>
      </c>
      <c r="N18" s="114">
        <v>0</v>
      </c>
      <c r="O18" s="114">
        <v>0</v>
      </c>
      <c r="P18" s="114">
        <v>0</v>
      </c>
      <c r="Q18" s="114">
        <v>0</v>
      </c>
      <c r="R18" s="114">
        <v>0</v>
      </c>
      <c r="S18" s="114">
        <v>0</v>
      </c>
      <c r="T18" s="114">
        <v>0</v>
      </c>
      <c r="U18" s="114">
        <v>0</v>
      </c>
      <c r="V18" s="114">
        <v>0</v>
      </c>
      <c r="W18" s="114">
        <v>0</v>
      </c>
      <c r="X18" s="114">
        <v>0</v>
      </c>
      <c r="Y18" s="114">
        <v>0</v>
      </c>
      <c r="Z18" s="114">
        <v>0</v>
      </c>
      <c r="AA18" s="114">
        <v>0</v>
      </c>
      <c r="AB18" s="114">
        <v>0</v>
      </c>
      <c r="AC18" s="114">
        <v>0</v>
      </c>
      <c r="AD18" s="114">
        <v>0</v>
      </c>
      <c r="AE18" s="114">
        <v>0</v>
      </c>
      <c r="AF18" s="114">
        <v>0</v>
      </c>
      <c r="AG18" s="114">
        <v>0</v>
      </c>
    </row>
    <row r="19" spans="1:43" ht="13.5" x14ac:dyDescent="0.3">
      <c r="D19"/>
      <c r="E19"/>
      <c r="F19" s="98"/>
      <c r="G19" s="431"/>
      <c r="H19" s="98"/>
      <c r="I19" s="124"/>
      <c r="J19" s="124"/>
      <c r="K19" s="124"/>
      <c r="L19" s="124"/>
      <c r="M19" s="124"/>
      <c r="N19" s="124"/>
      <c r="O19" s="124"/>
      <c r="P19" s="124"/>
      <c r="Q19" s="124"/>
      <c r="R19" s="124"/>
      <c r="S19" s="124"/>
      <c r="T19" s="124"/>
      <c r="U19" s="124"/>
      <c r="V19" s="124"/>
      <c r="W19" s="124"/>
      <c r="X19" s="190"/>
      <c r="Y19" s="190"/>
      <c r="Z19" s="190"/>
      <c r="AA19" s="190"/>
      <c r="AB19" s="190"/>
      <c r="AC19" s="190"/>
      <c r="AD19" s="190"/>
      <c r="AE19" s="190"/>
      <c r="AF19" s="190"/>
      <c r="AG19" s="190"/>
    </row>
    <row r="20" spans="1:43" x14ac:dyDescent="0.3">
      <c r="G20" s="436"/>
    </row>
    <row r="21" spans="1:43" ht="14.5" x14ac:dyDescent="0.3">
      <c r="A21" s="78" t="s">
        <v>147</v>
      </c>
      <c r="B21" s="78"/>
      <c r="C21" s="78"/>
      <c r="D21" s="78"/>
      <c r="E21" s="78"/>
      <c r="F21" s="78"/>
      <c r="G21" s="437"/>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c r="AI21"/>
      <c r="AJ21"/>
      <c r="AK21"/>
      <c r="AL21"/>
      <c r="AM21"/>
      <c r="AN21"/>
      <c r="AO21"/>
      <c r="AP21"/>
      <c r="AQ21"/>
    </row>
    <row r="22" spans="1:43" ht="14.5" x14ac:dyDescent="0.3">
      <c r="A22" s="102"/>
      <c r="B22" s="102"/>
      <c r="C22" s="102" t="s">
        <v>157</v>
      </c>
      <c r="D22" s="102"/>
      <c r="E22" s="220">
        <f>'Option1 (base case)'!E22</f>
        <v>0</v>
      </c>
      <c r="F22" s="102"/>
      <c r="G22" s="434"/>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c r="AI22"/>
      <c r="AJ22"/>
      <c r="AK22"/>
      <c r="AL22"/>
      <c r="AM22"/>
      <c r="AN22"/>
      <c r="AO22"/>
      <c r="AP22"/>
      <c r="AQ22"/>
    </row>
    <row r="23" spans="1:43" x14ac:dyDescent="0.3">
      <c r="D23" s="165"/>
      <c r="G23" s="434"/>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row>
    <row r="24" spans="1:43" x14ac:dyDescent="0.3">
      <c r="C24" s="1" t="s">
        <v>149</v>
      </c>
      <c r="D24" s="165"/>
      <c r="G24" s="431">
        <f t="shared" ref="G24:G30" si="3">input_dollars</f>
        <v>45473</v>
      </c>
      <c r="I24" s="30">
        <f>SUM('Risk summary'!$K$12:$K$17)</f>
        <v>467462.39040058549</v>
      </c>
      <c r="J24" s="30">
        <f>I24</f>
        <v>467462.39040058549</v>
      </c>
      <c r="K24" s="30">
        <f t="shared" ref="K24:M24" si="4">J24</f>
        <v>467462.39040058549</v>
      </c>
      <c r="L24" s="30">
        <f t="shared" si="4"/>
        <v>467462.39040058549</v>
      </c>
      <c r="M24" s="30">
        <f t="shared" si="4"/>
        <v>467462.39040058549</v>
      </c>
      <c r="N24" s="30"/>
      <c r="O24" s="30"/>
      <c r="P24" s="30"/>
      <c r="Q24" s="30"/>
      <c r="R24" s="30"/>
      <c r="S24" s="30">
        <v>0</v>
      </c>
      <c r="T24" s="30">
        <v>0</v>
      </c>
      <c r="U24" s="30">
        <v>0</v>
      </c>
      <c r="V24" s="30">
        <v>0</v>
      </c>
      <c r="W24" s="30">
        <v>0</v>
      </c>
      <c r="X24" s="30">
        <v>0</v>
      </c>
      <c r="Y24" s="30">
        <v>0</v>
      </c>
      <c r="Z24" s="30">
        <v>0</v>
      </c>
      <c r="AA24" s="30">
        <v>0</v>
      </c>
      <c r="AB24" s="30">
        <v>0</v>
      </c>
      <c r="AC24" s="30">
        <v>0</v>
      </c>
      <c r="AD24" s="30">
        <v>0</v>
      </c>
      <c r="AE24" s="30">
        <v>0</v>
      </c>
      <c r="AF24" s="30">
        <v>0</v>
      </c>
      <c r="AG24" s="30">
        <v>0</v>
      </c>
    </row>
    <row r="25" spans="1:43" x14ac:dyDescent="0.3">
      <c r="C25" s="1" t="s">
        <v>150</v>
      </c>
      <c r="D25" s="165"/>
      <c r="G25" s="431">
        <f t="shared" si="3"/>
        <v>45473</v>
      </c>
      <c r="I25" s="30">
        <f>SUM('Risk summary'!$K$18:$K$25)</f>
        <v>298006.59876302088</v>
      </c>
      <c r="J25" s="30">
        <f t="shared" ref="J25:M30" si="5">I25</f>
        <v>298006.59876302088</v>
      </c>
      <c r="K25" s="30">
        <f t="shared" si="5"/>
        <v>298006.59876302088</v>
      </c>
      <c r="L25" s="30">
        <f t="shared" si="5"/>
        <v>298006.59876302088</v>
      </c>
      <c r="M25" s="30">
        <f t="shared" si="5"/>
        <v>298006.59876302088</v>
      </c>
      <c r="N25" s="30"/>
      <c r="O25" s="30"/>
      <c r="P25" s="30"/>
      <c r="Q25" s="30"/>
      <c r="R25" s="30"/>
      <c r="S25" s="30">
        <v>0</v>
      </c>
      <c r="T25" s="30">
        <v>0</v>
      </c>
      <c r="U25" s="30">
        <v>0</v>
      </c>
      <c r="V25" s="30">
        <v>0</v>
      </c>
      <c r="W25" s="30">
        <v>0</v>
      </c>
      <c r="X25" s="30">
        <v>0</v>
      </c>
      <c r="Y25" s="30">
        <v>0</v>
      </c>
      <c r="Z25" s="30">
        <v>0</v>
      </c>
      <c r="AA25" s="30">
        <v>0</v>
      </c>
      <c r="AB25" s="30">
        <v>0</v>
      </c>
      <c r="AC25" s="30">
        <v>0</v>
      </c>
      <c r="AD25" s="30">
        <v>0</v>
      </c>
      <c r="AE25" s="30">
        <v>0</v>
      </c>
      <c r="AF25" s="30">
        <v>0</v>
      </c>
      <c r="AG25" s="30">
        <v>0</v>
      </c>
    </row>
    <row r="26" spans="1:43" x14ac:dyDescent="0.3">
      <c r="C26" s="1" t="s">
        <v>151</v>
      </c>
      <c r="D26" s="165"/>
      <c r="G26" s="431">
        <f t="shared" si="3"/>
        <v>45473</v>
      </c>
      <c r="I26" s="30">
        <f>SUM('Risk summary'!$K$26:$K$27)</f>
        <v>0</v>
      </c>
      <c r="J26" s="30">
        <f t="shared" si="5"/>
        <v>0</v>
      </c>
      <c r="K26" s="30">
        <f t="shared" si="5"/>
        <v>0</v>
      </c>
      <c r="L26" s="30">
        <f t="shared" si="5"/>
        <v>0</v>
      </c>
      <c r="M26" s="30">
        <f t="shared" si="5"/>
        <v>0</v>
      </c>
      <c r="N26" s="30"/>
      <c r="O26" s="30"/>
      <c r="P26" s="30"/>
      <c r="Q26" s="30"/>
      <c r="R26" s="30"/>
      <c r="S26" s="30">
        <v>0</v>
      </c>
      <c r="T26" s="30">
        <v>0</v>
      </c>
      <c r="U26" s="30">
        <v>0</v>
      </c>
      <c r="V26" s="30">
        <v>0</v>
      </c>
      <c r="W26" s="30">
        <v>0</v>
      </c>
      <c r="X26" s="30">
        <v>0</v>
      </c>
      <c r="Y26" s="30">
        <v>0</v>
      </c>
      <c r="Z26" s="30">
        <v>0</v>
      </c>
      <c r="AA26" s="30">
        <v>0</v>
      </c>
      <c r="AB26" s="30">
        <v>0</v>
      </c>
      <c r="AC26" s="30">
        <v>0</v>
      </c>
      <c r="AD26" s="30">
        <v>0</v>
      </c>
      <c r="AE26" s="30">
        <v>0</v>
      </c>
      <c r="AF26" s="30">
        <v>0</v>
      </c>
      <c r="AG26" s="30">
        <v>0</v>
      </c>
    </row>
    <row r="27" spans="1:43" x14ac:dyDescent="0.3">
      <c r="C27" s="1" t="s">
        <v>152</v>
      </c>
      <c r="D27" s="165"/>
      <c r="G27" s="431">
        <f t="shared" si="3"/>
        <v>45473</v>
      </c>
      <c r="I27" s="30">
        <f>SUM('Risk summary'!$K$28:$K$30)</f>
        <v>0</v>
      </c>
      <c r="J27" s="30">
        <f t="shared" si="5"/>
        <v>0</v>
      </c>
      <c r="K27" s="30">
        <f t="shared" si="5"/>
        <v>0</v>
      </c>
      <c r="L27" s="30">
        <f t="shared" si="5"/>
        <v>0</v>
      </c>
      <c r="M27" s="30">
        <f t="shared" si="5"/>
        <v>0</v>
      </c>
      <c r="N27" s="30"/>
      <c r="O27" s="30"/>
      <c r="P27" s="30"/>
      <c r="Q27" s="30"/>
      <c r="R27" s="30"/>
      <c r="S27" s="30">
        <v>0</v>
      </c>
      <c r="T27" s="30">
        <v>0</v>
      </c>
      <c r="U27" s="30">
        <v>0</v>
      </c>
      <c r="V27" s="30">
        <v>0</v>
      </c>
      <c r="W27" s="30">
        <v>0</v>
      </c>
      <c r="X27" s="30">
        <v>0</v>
      </c>
      <c r="Y27" s="30">
        <v>0</v>
      </c>
      <c r="Z27" s="30">
        <v>0</v>
      </c>
      <c r="AA27" s="30">
        <v>0</v>
      </c>
      <c r="AB27" s="30">
        <v>0</v>
      </c>
      <c r="AC27" s="30">
        <v>0</v>
      </c>
      <c r="AD27" s="30">
        <v>0</v>
      </c>
      <c r="AE27" s="30">
        <v>0</v>
      </c>
      <c r="AF27" s="30">
        <v>0</v>
      </c>
      <c r="AG27" s="30">
        <v>0</v>
      </c>
    </row>
    <row r="28" spans="1:43" x14ac:dyDescent="0.3">
      <c r="C28" s="1" t="s">
        <v>153</v>
      </c>
      <c r="D28" s="165"/>
      <c r="G28" s="431">
        <f t="shared" si="3"/>
        <v>45473</v>
      </c>
      <c r="I28" s="30">
        <f>SUM('Risk summary'!$K$31:$K$32)</f>
        <v>0</v>
      </c>
      <c r="J28" s="30">
        <f t="shared" si="5"/>
        <v>0</v>
      </c>
      <c r="K28" s="30">
        <f t="shared" si="5"/>
        <v>0</v>
      </c>
      <c r="L28" s="30">
        <f t="shared" si="5"/>
        <v>0</v>
      </c>
      <c r="M28" s="30">
        <f t="shared" si="5"/>
        <v>0</v>
      </c>
      <c r="N28" s="30"/>
      <c r="O28" s="30"/>
      <c r="P28" s="30"/>
      <c r="Q28" s="30"/>
      <c r="R28" s="30"/>
      <c r="S28" s="30">
        <v>0</v>
      </c>
      <c r="T28" s="30">
        <v>0</v>
      </c>
      <c r="U28" s="30">
        <v>0</v>
      </c>
      <c r="V28" s="30">
        <v>0</v>
      </c>
      <c r="W28" s="30">
        <v>0</v>
      </c>
      <c r="X28" s="30">
        <v>0</v>
      </c>
      <c r="Y28" s="30">
        <v>0</v>
      </c>
      <c r="Z28" s="30">
        <v>0</v>
      </c>
      <c r="AA28" s="30">
        <v>0</v>
      </c>
      <c r="AB28" s="30">
        <v>0</v>
      </c>
      <c r="AC28" s="30">
        <v>0</v>
      </c>
      <c r="AD28" s="30">
        <v>0</v>
      </c>
      <c r="AE28" s="30">
        <v>0</v>
      </c>
      <c r="AF28" s="30">
        <v>0</v>
      </c>
      <c r="AG28" s="30">
        <v>0</v>
      </c>
    </row>
    <row r="29" spans="1:43" x14ac:dyDescent="0.3">
      <c r="C29" s="1" t="s">
        <v>154</v>
      </c>
      <c r="D29" s="165"/>
      <c r="G29" s="431">
        <f t="shared" si="3"/>
        <v>45473</v>
      </c>
      <c r="I29" s="30">
        <f>SUM('Risk summary'!$K$34:$K$37)</f>
        <v>5651977.7024866669</v>
      </c>
      <c r="J29" s="30">
        <f t="shared" si="5"/>
        <v>5651977.7024866669</v>
      </c>
      <c r="K29" s="30">
        <f t="shared" si="5"/>
        <v>5651977.7024866669</v>
      </c>
      <c r="L29" s="30">
        <f t="shared" si="5"/>
        <v>5651977.7024866669</v>
      </c>
      <c r="M29" s="30">
        <f t="shared" si="5"/>
        <v>5651977.7024866669</v>
      </c>
      <c r="N29" s="30"/>
      <c r="O29" s="30"/>
      <c r="P29" s="30"/>
      <c r="Q29" s="30"/>
      <c r="R29" s="30"/>
      <c r="S29" s="30">
        <v>0</v>
      </c>
      <c r="T29" s="30">
        <v>0</v>
      </c>
      <c r="U29" s="30">
        <v>0</v>
      </c>
      <c r="V29" s="30">
        <v>0</v>
      </c>
      <c r="W29" s="30">
        <v>0</v>
      </c>
      <c r="X29" s="30">
        <v>0</v>
      </c>
      <c r="Y29" s="30">
        <v>0</v>
      </c>
      <c r="Z29" s="30">
        <v>0</v>
      </c>
      <c r="AA29" s="30">
        <v>0</v>
      </c>
      <c r="AB29" s="30">
        <v>0</v>
      </c>
      <c r="AC29" s="30">
        <v>0</v>
      </c>
      <c r="AD29" s="30">
        <v>0</v>
      </c>
      <c r="AE29" s="30">
        <v>0</v>
      </c>
      <c r="AF29" s="30">
        <v>0</v>
      </c>
      <c r="AG29" s="30">
        <v>0</v>
      </c>
    </row>
    <row r="30" spans="1:43" x14ac:dyDescent="0.3">
      <c r="C30" s="1" t="s">
        <v>155</v>
      </c>
      <c r="D30" s="165"/>
      <c r="G30" s="431">
        <f t="shared" si="3"/>
        <v>45473</v>
      </c>
      <c r="I30" s="30">
        <f>SUM('Risk summary'!$K$38:$K$41)</f>
        <v>366809.2826248667</v>
      </c>
      <c r="J30" s="30">
        <f t="shared" si="5"/>
        <v>366809.2826248667</v>
      </c>
      <c r="K30" s="30">
        <f t="shared" si="5"/>
        <v>366809.2826248667</v>
      </c>
      <c r="L30" s="30">
        <f t="shared" si="5"/>
        <v>366809.2826248667</v>
      </c>
      <c r="M30" s="30">
        <f t="shared" si="5"/>
        <v>366809.2826248667</v>
      </c>
      <c r="N30" s="30"/>
      <c r="O30" s="30"/>
      <c r="P30" s="30"/>
      <c r="Q30" s="30"/>
      <c r="R30" s="30"/>
      <c r="S30" s="30">
        <v>0</v>
      </c>
      <c r="T30" s="30">
        <v>0</v>
      </c>
      <c r="U30" s="30">
        <v>0</v>
      </c>
      <c r="V30" s="30">
        <v>0</v>
      </c>
      <c r="W30" s="30">
        <v>0</v>
      </c>
      <c r="X30" s="30">
        <v>0</v>
      </c>
      <c r="Y30" s="30">
        <v>0</v>
      </c>
      <c r="Z30" s="30">
        <v>0</v>
      </c>
      <c r="AA30" s="30">
        <v>0</v>
      </c>
      <c r="AB30" s="30">
        <v>0</v>
      </c>
      <c r="AC30" s="30">
        <v>0</v>
      </c>
      <c r="AD30" s="30">
        <v>0</v>
      </c>
      <c r="AE30" s="30">
        <v>0</v>
      </c>
      <c r="AF30" s="30">
        <v>0</v>
      </c>
      <c r="AG30" s="30">
        <v>0</v>
      </c>
    </row>
    <row r="31" spans="1:43" x14ac:dyDescent="0.3">
      <c r="D31" s="165"/>
      <c r="G31" s="431"/>
    </row>
    <row r="32" spans="1:43" ht="13.5" x14ac:dyDescent="0.3">
      <c r="C32" s="3" t="s">
        <v>148</v>
      </c>
      <c r="D32" s="168"/>
      <c r="E32" s="98"/>
      <c r="F32" s="3"/>
      <c r="G32" s="431">
        <f>input_dollars</f>
        <v>45473</v>
      </c>
      <c r="H32" s="98"/>
      <c r="I32" s="133">
        <f>SUM(I24:I30)</f>
        <v>6784255.9742751401</v>
      </c>
      <c r="J32" s="133">
        <f t="shared" ref="J32:AG32" si="6">SUM(J24:J30)</f>
        <v>6784255.9742751401</v>
      </c>
      <c r="K32" s="133">
        <f t="shared" si="6"/>
        <v>6784255.9742751401</v>
      </c>
      <c r="L32" s="133">
        <f t="shared" si="6"/>
        <v>6784255.9742751401</v>
      </c>
      <c r="M32" s="133">
        <f t="shared" si="6"/>
        <v>6784255.9742751401</v>
      </c>
      <c r="N32" s="133">
        <f t="shared" si="6"/>
        <v>0</v>
      </c>
      <c r="O32" s="133">
        <f t="shared" si="6"/>
        <v>0</v>
      </c>
      <c r="P32" s="133">
        <f t="shared" si="6"/>
        <v>0</v>
      </c>
      <c r="Q32" s="133">
        <f t="shared" si="6"/>
        <v>0</v>
      </c>
      <c r="R32" s="133">
        <f t="shared" si="6"/>
        <v>0</v>
      </c>
      <c r="S32" s="133">
        <f t="shared" si="6"/>
        <v>0</v>
      </c>
      <c r="T32" s="133">
        <f t="shared" si="6"/>
        <v>0</v>
      </c>
      <c r="U32" s="133">
        <f t="shared" si="6"/>
        <v>0</v>
      </c>
      <c r="V32" s="133">
        <f t="shared" si="6"/>
        <v>0</v>
      </c>
      <c r="W32" s="133">
        <f t="shared" si="6"/>
        <v>0</v>
      </c>
      <c r="X32" s="133">
        <f t="shared" si="6"/>
        <v>0</v>
      </c>
      <c r="Y32" s="133">
        <f t="shared" si="6"/>
        <v>0</v>
      </c>
      <c r="Z32" s="133">
        <f t="shared" si="6"/>
        <v>0</v>
      </c>
      <c r="AA32" s="133">
        <f t="shared" si="6"/>
        <v>0</v>
      </c>
      <c r="AB32" s="133">
        <f t="shared" si="6"/>
        <v>0</v>
      </c>
      <c r="AC32" s="133">
        <f t="shared" si="6"/>
        <v>0</v>
      </c>
      <c r="AD32" s="133">
        <f t="shared" si="6"/>
        <v>0</v>
      </c>
      <c r="AE32" s="133">
        <f t="shared" si="6"/>
        <v>0</v>
      </c>
      <c r="AF32" s="133">
        <f t="shared" si="6"/>
        <v>0</v>
      </c>
      <c r="AG32" s="133">
        <f t="shared" si="6"/>
        <v>0</v>
      </c>
    </row>
    <row r="33" spans="1:43" ht="13.5" x14ac:dyDescent="0.3">
      <c r="C33"/>
      <c r="D33"/>
      <c r="E33"/>
      <c r="G33" s="431"/>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78" t="s">
        <v>145</v>
      </c>
      <c r="B34" s="78"/>
      <c r="C34" s="78"/>
      <c r="D34" s="78"/>
      <c r="E34" s="78"/>
      <c r="F34" s="78"/>
      <c r="G34" s="43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c r="AI34"/>
      <c r="AJ34"/>
      <c r="AK34"/>
      <c r="AL34"/>
      <c r="AM34"/>
      <c r="AN34"/>
      <c r="AO34"/>
      <c r="AP34"/>
      <c r="AQ34"/>
    </row>
    <row r="35" spans="1:43" x14ac:dyDescent="0.3">
      <c r="D35" s="165"/>
      <c r="G35" s="431"/>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43" x14ac:dyDescent="0.3">
      <c r="D36" s="165"/>
      <c r="G36" s="432"/>
    </row>
    <row r="37" spans="1:43" ht="13.5" x14ac:dyDescent="0.3">
      <c r="C37" s="3" t="s">
        <v>156</v>
      </c>
      <c r="D37" s="168"/>
      <c r="E37" s="98"/>
      <c r="F37" s="3"/>
      <c r="G37" s="431">
        <f>input_dollars</f>
        <v>45473</v>
      </c>
      <c r="H37" s="98"/>
      <c r="I37" s="133">
        <f>'Option1 (base case)'!I32-I32</f>
        <v>18053568.492127225</v>
      </c>
      <c r="J37" s="133">
        <f>'Option1 (base case)'!J32-J32</f>
        <v>18053568.492127225</v>
      </c>
      <c r="K37" s="133">
        <f>'Option1 (base case)'!K32-K32</f>
        <v>18053568.492127225</v>
      </c>
      <c r="L37" s="133">
        <f>'Option1 (base case)'!L32-L32</f>
        <v>18053568.492127225</v>
      </c>
      <c r="M37" s="133">
        <f>'Option1 (base case)'!M32-M32</f>
        <v>18053568.492127225</v>
      </c>
      <c r="N37" s="133">
        <f>'Option1 (base case)'!N32-N32</f>
        <v>0</v>
      </c>
      <c r="O37" s="133">
        <f>'Option1 (base case)'!O32-O32</f>
        <v>0</v>
      </c>
      <c r="P37" s="133">
        <f>'Option1 (base case)'!P32-P32</f>
        <v>0</v>
      </c>
      <c r="Q37" s="133">
        <f>'Option1 (base case)'!Q32-Q32</f>
        <v>0</v>
      </c>
      <c r="R37" s="133">
        <f>'Option1 (base case)'!R32-R32</f>
        <v>0</v>
      </c>
      <c r="S37" s="133">
        <f>'Option1 (base case)'!S32-S32</f>
        <v>0</v>
      </c>
      <c r="T37" s="133">
        <f>'Option1 (base case)'!T32-T32</f>
        <v>0</v>
      </c>
      <c r="U37" s="133">
        <f>'Option1 (base case)'!U32-U32</f>
        <v>0</v>
      </c>
      <c r="V37" s="133">
        <f>'Option1 (base case)'!V32-V32</f>
        <v>0</v>
      </c>
      <c r="W37" s="133">
        <f>'Option1 (base case)'!W32-W32</f>
        <v>0</v>
      </c>
      <c r="X37" s="133">
        <f>'Option1 (base case)'!X32-X32</f>
        <v>0</v>
      </c>
      <c r="Y37" s="133">
        <f>'Option1 (base case)'!Y32-Y32</f>
        <v>0</v>
      </c>
      <c r="Z37" s="133">
        <f>'Option1 (base case)'!Z32-Z32</f>
        <v>0</v>
      </c>
      <c r="AA37" s="133">
        <f>'Option1 (base case)'!AA32-AA32</f>
        <v>0</v>
      </c>
      <c r="AB37" s="133">
        <f>'Option1 (base case)'!AB32-AB32</f>
        <v>0</v>
      </c>
      <c r="AC37" s="133">
        <f>'Option1 (base case)'!AC32-AC32</f>
        <v>0</v>
      </c>
      <c r="AD37" s="133">
        <f>'Option1 (base case)'!AD32-AD32</f>
        <v>0</v>
      </c>
      <c r="AE37" s="133">
        <f>'Option1 (base case)'!AE32-AE32</f>
        <v>0</v>
      </c>
      <c r="AF37" s="133">
        <f>'Option1 (base case)'!AF32-AF32</f>
        <v>0</v>
      </c>
      <c r="AG37" s="133">
        <f>'Option1 (base case)'!AG32-AG32</f>
        <v>0</v>
      </c>
    </row>
    <row r="38" spans="1:43" x14ac:dyDescent="0.3">
      <c r="D38" s="165"/>
      <c r="G38" s="431"/>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43" x14ac:dyDescent="0.3">
      <c r="C39" s="1" t="s">
        <v>165</v>
      </c>
      <c r="D39" s="165"/>
      <c r="G39" s="431">
        <f>input_dollars</f>
        <v>45473</v>
      </c>
      <c r="I39" s="30">
        <v>0</v>
      </c>
      <c r="J39" s="30">
        <v>0</v>
      </c>
      <c r="K39" s="30">
        <v>0</v>
      </c>
      <c r="L39" s="30">
        <v>0</v>
      </c>
      <c r="M39" s="30">
        <v>0</v>
      </c>
      <c r="N39" s="30">
        <f>'Risk summary'!$K$43</f>
        <v>0</v>
      </c>
      <c r="O39" s="30">
        <f>N39</f>
        <v>0</v>
      </c>
      <c r="P39" s="30">
        <f t="shared" ref="P39:AB41" si="7">O39</f>
        <v>0</v>
      </c>
      <c r="Q39" s="30">
        <f t="shared" si="7"/>
        <v>0</v>
      </c>
      <c r="R39" s="30">
        <f t="shared" si="7"/>
        <v>0</v>
      </c>
      <c r="S39" s="30">
        <f t="shared" si="7"/>
        <v>0</v>
      </c>
      <c r="T39" s="30">
        <f t="shared" si="7"/>
        <v>0</v>
      </c>
      <c r="U39" s="30">
        <f t="shared" si="7"/>
        <v>0</v>
      </c>
      <c r="V39" s="30">
        <f t="shared" si="7"/>
        <v>0</v>
      </c>
      <c r="W39" s="30">
        <f t="shared" si="7"/>
        <v>0</v>
      </c>
      <c r="X39" s="30">
        <f t="shared" si="7"/>
        <v>0</v>
      </c>
      <c r="Y39" s="30">
        <f t="shared" si="7"/>
        <v>0</v>
      </c>
      <c r="Z39" s="30">
        <f t="shared" si="7"/>
        <v>0</v>
      </c>
      <c r="AA39" s="30">
        <f t="shared" si="7"/>
        <v>0</v>
      </c>
      <c r="AB39" s="30">
        <f t="shared" si="7"/>
        <v>0</v>
      </c>
      <c r="AC39" s="30">
        <v>0</v>
      </c>
      <c r="AD39" s="30">
        <v>0</v>
      </c>
      <c r="AE39" s="30">
        <v>0</v>
      </c>
      <c r="AF39" s="30">
        <v>0</v>
      </c>
      <c r="AG39" s="30">
        <v>0</v>
      </c>
    </row>
    <row r="40" spans="1:43" x14ac:dyDescent="0.3">
      <c r="C40" s="1" t="s">
        <v>166</v>
      </c>
      <c r="D40" s="165"/>
      <c r="G40" s="431">
        <f>input_dollars</f>
        <v>45473</v>
      </c>
      <c r="I40" s="30">
        <v>0</v>
      </c>
      <c r="J40" s="30">
        <v>0</v>
      </c>
      <c r="K40" s="30">
        <v>0</v>
      </c>
      <c r="L40" s="30">
        <v>0</v>
      </c>
      <c r="M40" s="30">
        <v>0</v>
      </c>
      <c r="N40" s="30">
        <f>'Risk summary'!$K$44</f>
        <v>0</v>
      </c>
      <c r="O40" s="30">
        <f>N40</f>
        <v>0</v>
      </c>
      <c r="P40" s="30">
        <f t="shared" si="7"/>
        <v>0</v>
      </c>
      <c r="Q40" s="30">
        <f t="shared" si="7"/>
        <v>0</v>
      </c>
      <c r="R40" s="30">
        <f t="shared" si="7"/>
        <v>0</v>
      </c>
      <c r="S40" s="30">
        <f t="shared" si="7"/>
        <v>0</v>
      </c>
      <c r="T40" s="30">
        <f t="shared" si="7"/>
        <v>0</v>
      </c>
      <c r="U40" s="30">
        <f t="shared" si="7"/>
        <v>0</v>
      </c>
      <c r="V40" s="30">
        <f t="shared" si="7"/>
        <v>0</v>
      </c>
      <c r="W40" s="30">
        <f t="shared" si="7"/>
        <v>0</v>
      </c>
      <c r="X40" s="30">
        <f t="shared" si="7"/>
        <v>0</v>
      </c>
      <c r="Y40" s="30">
        <f t="shared" si="7"/>
        <v>0</v>
      </c>
      <c r="Z40" s="30">
        <f t="shared" si="7"/>
        <v>0</v>
      </c>
      <c r="AA40" s="30">
        <f t="shared" si="7"/>
        <v>0</v>
      </c>
      <c r="AB40" s="30">
        <f t="shared" si="7"/>
        <v>0</v>
      </c>
      <c r="AC40" s="30">
        <v>0</v>
      </c>
      <c r="AD40" s="30">
        <v>0</v>
      </c>
      <c r="AE40" s="30">
        <v>0</v>
      </c>
      <c r="AF40" s="30">
        <v>0</v>
      </c>
      <c r="AG40" s="30">
        <v>0</v>
      </c>
    </row>
    <row r="41" spans="1:43" x14ac:dyDescent="0.3">
      <c r="C41" s="1" t="s">
        <v>240</v>
      </c>
      <c r="D41" s="165"/>
      <c r="G41" s="431">
        <f>input_dollars</f>
        <v>45473</v>
      </c>
      <c r="I41" s="30">
        <f>'Risk summary'!$J$45</f>
        <v>0</v>
      </c>
      <c r="J41" s="30">
        <f>I41</f>
        <v>0</v>
      </c>
      <c r="K41" s="30">
        <f t="shared" ref="K41:Z41" si="8">J41</f>
        <v>0</v>
      </c>
      <c r="L41" s="30">
        <f t="shared" si="8"/>
        <v>0</v>
      </c>
      <c r="M41" s="30">
        <f t="shared" si="8"/>
        <v>0</v>
      </c>
      <c r="N41" s="30">
        <f>'Risk summary'!$K$45</f>
        <v>0</v>
      </c>
      <c r="O41" s="30">
        <f t="shared" si="8"/>
        <v>0</v>
      </c>
      <c r="P41" s="30">
        <f t="shared" si="8"/>
        <v>0</v>
      </c>
      <c r="Q41" s="30">
        <f t="shared" si="8"/>
        <v>0</v>
      </c>
      <c r="R41" s="30">
        <f t="shared" si="8"/>
        <v>0</v>
      </c>
      <c r="S41" s="30">
        <f t="shared" si="8"/>
        <v>0</v>
      </c>
      <c r="T41" s="30">
        <f t="shared" si="8"/>
        <v>0</v>
      </c>
      <c r="U41" s="30">
        <f t="shared" si="8"/>
        <v>0</v>
      </c>
      <c r="V41" s="30">
        <f t="shared" si="8"/>
        <v>0</v>
      </c>
      <c r="W41" s="30">
        <f t="shared" si="8"/>
        <v>0</v>
      </c>
      <c r="X41" s="30">
        <f t="shared" si="8"/>
        <v>0</v>
      </c>
      <c r="Y41" s="30">
        <f t="shared" si="8"/>
        <v>0</v>
      </c>
      <c r="Z41" s="30">
        <f t="shared" si="8"/>
        <v>0</v>
      </c>
      <c r="AA41" s="30">
        <f t="shared" si="7"/>
        <v>0</v>
      </c>
      <c r="AB41" s="30">
        <f t="shared" si="7"/>
        <v>0</v>
      </c>
      <c r="AC41" s="30">
        <v>0</v>
      </c>
      <c r="AD41" s="30">
        <v>0</v>
      </c>
      <c r="AE41" s="30">
        <v>0</v>
      </c>
      <c r="AF41" s="30">
        <v>0</v>
      </c>
      <c r="AG41" s="30">
        <v>0</v>
      </c>
    </row>
    <row r="42" spans="1:43" x14ac:dyDescent="0.3">
      <c r="D42" s="165"/>
      <c r="G42" s="432"/>
    </row>
    <row r="43" spans="1:43" ht="13.5" x14ac:dyDescent="0.3">
      <c r="C43" s="3" t="s">
        <v>89</v>
      </c>
      <c r="D43" s="168"/>
      <c r="E43" s="98"/>
      <c r="F43" s="3"/>
      <c r="G43" s="431">
        <f>input_dollars</f>
        <v>45473</v>
      </c>
      <c r="H43" s="98"/>
      <c r="I43" s="97">
        <f>SUM(I39:I41)</f>
        <v>0</v>
      </c>
      <c r="J43" s="97">
        <f t="shared" ref="J43:AG43" si="9">SUM(J39:J41)</f>
        <v>0</v>
      </c>
      <c r="K43" s="97">
        <f t="shared" si="9"/>
        <v>0</v>
      </c>
      <c r="L43" s="97">
        <f t="shared" si="9"/>
        <v>0</v>
      </c>
      <c r="M43" s="97">
        <f t="shared" si="9"/>
        <v>0</v>
      </c>
      <c r="N43" s="97">
        <f t="shared" si="9"/>
        <v>0</v>
      </c>
      <c r="O43" s="97">
        <f t="shared" si="9"/>
        <v>0</v>
      </c>
      <c r="P43" s="97">
        <f t="shared" si="9"/>
        <v>0</v>
      </c>
      <c r="Q43" s="97">
        <f t="shared" si="9"/>
        <v>0</v>
      </c>
      <c r="R43" s="97">
        <f t="shared" si="9"/>
        <v>0</v>
      </c>
      <c r="S43" s="97">
        <f t="shared" si="9"/>
        <v>0</v>
      </c>
      <c r="T43" s="97">
        <f t="shared" si="9"/>
        <v>0</v>
      </c>
      <c r="U43" s="97">
        <f t="shared" si="9"/>
        <v>0</v>
      </c>
      <c r="V43" s="97">
        <f t="shared" si="9"/>
        <v>0</v>
      </c>
      <c r="W43" s="97">
        <f t="shared" si="9"/>
        <v>0</v>
      </c>
      <c r="X43" s="97">
        <f t="shared" si="9"/>
        <v>0</v>
      </c>
      <c r="Y43" s="97">
        <f t="shared" si="9"/>
        <v>0</v>
      </c>
      <c r="Z43" s="97">
        <f t="shared" si="9"/>
        <v>0</v>
      </c>
      <c r="AA43" s="97">
        <f t="shared" si="9"/>
        <v>0</v>
      </c>
      <c r="AB43" s="97">
        <f t="shared" si="9"/>
        <v>0</v>
      </c>
      <c r="AC43" s="97">
        <f t="shared" si="9"/>
        <v>0</v>
      </c>
      <c r="AD43" s="97">
        <f t="shared" si="9"/>
        <v>0</v>
      </c>
      <c r="AE43" s="97">
        <f t="shared" si="9"/>
        <v>0</v>
      </c>
      <c r="AF43" s="97">
        <f t="shared" si="9"/>
        <v>0</v>
      </c>
      <c r="AG43" s="97">
        <f t="shared" si="9"/>
        <v>0</v>
      </c>
    </row>
    <row r="44" spans="1:43" x14ac:dyDescent="0.3">
      <c r="G44" s="431"/>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43" ht="14.5" x14ac:dyDescent="0.3">
      <c r="A45" s="78" t="s">
        <v>9</v>
      </c>
      <c r="B45" s="78"/>
      <c r="C45" s="78"/>
      <c r="D45" s="78"/>
      <c r="E45" s="78"/>
      <c r="F45" s="78"/>
      <c r="G45" s="437"/>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c r="AI45"/>
      <c r="AJ45"/>
      <c r="AK45"/>
      <c r="AL45"/>
      <c r="AM45"/>
      <c r="AN45"/>
      <c r="AO45"/>
      <c r="AP45"/>
      <c r="AQ45"/>
    </row>
    <row r="46" spans="1:43" ht="14.5" x14ac:dyDescent="0.3">
      <c r="A46" s="102"/>
      <c r="B46" s="102"/>
      <c r="C46" s="102"/>
      <c r="D46" s="102"/>
      <c r="E46" s="102"/>
      <c r="F46" s="102"/>
      <c r="G46" s="434"/>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c r="AI46"/>
      <c r="AJ46"/>
      <c r="AK46"/>
      <c r="AL46"/>
      <c r="AM46"/>
      <c r="AN46"/>
      <c r="AO46"/>
      <c r="AP46"/>
      <c r="AQ46"/>
    </row>
    <row r="47" spans="1:43" ht="12.75" customHeight="1" x14ac:dyDescent="0.3">
      <c r="A47" s="102"/>
      <c r="B47" s="102"/>
      <c r="C47" s="102"/>
      <c r="D47" s="102"/>
      <c r="E47" s="102"/>
      <c r="F47"/>
      <c r="G47" s="434"/>
      <c r="H47" s="102"/>
      <c r="I47" s="102"/>
      <c r="J47" s="102"/>
      <c r="K47" s="102"/>
      <c r="L47" s="102"/>
      <c r="M47" s="102"/>
      <c r="N47" s="102"/>
      <c r="O47" s="102"/>
      <c r="P47" s="102"/>
      <c r="Q47" s="102"/>
      <c r="R47" s="102"/>
      <c r="S47" s="102"/>
      <c r="T47" s="102"/>
      <c r="U47" s="102"/>
      <c r="V47" s="102"/>
      <c r="W47" s="102"/>
      <c r="X47" s="102"/>
      <c r="Y47" s="102"/>
      <c r="Z47" s="102"/>
      <c r="AA47" s="102"/>
      <c r="AB47"/>
      <c r="AC47"/>
      <c r="AD47"/>
      <c r="AE47"/>
      <c r="AF47"/>
      <c r="AG47"/>
      <c r="AH47"/>
      <c r="AI47"/>
      <c r="AJ47"/>
      <c r="AK47"/>
      <c r="AL47"/>
      <c r="AM47"/>
      <c r="AN47"/>
      <c r="AO47"/>
    </row>
    <row r="48" spans="1:43" x14ac:dyDescent="0.3">
      <c r="C48" s="4"/>
      <c r="F48" s="2"/>
      <c r="G48" s="431"/>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row>
    <row r="49" spans="1:33" x14ac:dyDescent="0.3">
      <c r="C49" s="4" t="str">
        <f>'Option1 (base case)'!C49</f>
        <v>Risks mitigated vs base case</v>
      </c>
      <c r="G49" s="432">
        <f>input_dollars</f>
        <v>45473</v>
      </c>
      <c r="I49" s="110">
        <f>(1-INDEX(Data!$C$9:$C$12, MATCH($A$3, options,0)))*-I37</f>
        <v>-18053568.492127225</v>
      </c>
      <c r="J49" s="110">
        <f>(1-INDEX(Data!$C$9:$C$12, MATCH($A$3, options,0)))*-J37</f>
        <v>-18053568.492127225</v>
      </c>
      <c r="K49" s="110">
        <f>(1-INDEX(Data!$C$9:$C$12, MATCH($A$3, options,0)))*-K37</f>
        <v>-18053568.492127225</v>
      </c>
      <c r="L49" s="110">
        <f>(1-INDEX(Data!$C$9:$C$12, MATCH($A$3, options,0)))*-L37</f>
        <v>-18053568.492127225</v>
      </c>
      <c r="M49" s="110">
        <f>(1-INDEX(Data!$C$9:$C$12, MATCH($A$3, options,0)))*-M37</f>
        <v>-18053568.492127225</v>
      </c>
      <c r="N49" s="110">
        <f>(1-INDEX(Data!$C$9:$C$12, MATCH($A$3, options,0)))*-N37</f>
        <v>0</v>
      </c>
      <c r="O49" s="110">
        <f>(1-INDEX(Data!$C$9:$C$12, MATCH($A$3, options,0)))*-O37</f>
        <v>0</v>
      </c>
      <c r="P49" s="110">
        <f>(1-INDEX(Data!$C$9:$C$12, MATCH($A$3, options,0)))*-P37</f>
        <v>0</v>
      </c>
      <c r="Q49" s="110">
        <f>(1-INDEX(Data!$C$9:$C$12, MATCH($A$3, options,0)))*-Q37</f>
        <v>0</v>
      </c>
      <c r="R49" s="110">
        <f>(1-INDEX(Data!$C$9:$C$12, MATCH($A$3, options,0)))*-R37</f>
        <v>0</v>
      </c>
      <c r="S49" s="110"/>
      <c r="T49" s="110"/>
      <c r="U49" s="110"/>
      <c r="V49" s="110"/>
      <c r="W49" s="110"/>
      <c r="X49" s="110"/>
      <c r="Y49" s="110"/>
      <c r="Z49" s="110"/>
      <c r="AA49" s="110"/>
      <c r="AB49" s="110"/>
      <c r="AC49" s="110"/>
      <c r="AD49" s="110"/>
      <c r="AE49" s="110"/>
      <c r="AF49" s="110"/>
      <c r="AG49" s="110"/>
    </row>
    <row r="50" spans="1:33" x14ac:dyDescent="0.3">
      <c r="G50" s="431"/>
    </row>
    <row r="51" spans="1:33" x14ac:dyDescent="0.3">
      <c r="A51" s="7"/>
      <c r="B51" s="7"/>
      <c r="C51" s="123" t="s">
        <v>18</v>
      </c>
      <c r="D51" s="35"/>
      <c r="F51" s="88"/>
      <c r="G51" s="435"/>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x14ac:dyDescent="0.3">
      <c r="A52" s="7"/>
      <c r="B52" s="7"/>
      <c r="C52" s="4" t="str">
        <f>"Incremental "&amp;C13</f>
        <v>Incremental capex</v>
      </c>
      <c r="D52" s="35"/>
      <c r="F52" s="88"/>
      <c r="G52" s="432">
        <f>input_dollars</f>
        <v>45473</v>
      </c>
      <c r="H52" s="29"/>
      <c r="I52" s="29">
        <f>-I13-'Option1 (base case)'!I52</f>
        <v>-2252243</v>
      </c>
      <c r="J52" s="29">
        <f>-J13-'Option1 (base case)'!J52</f>
        <v>-5263877</v>
      </c>
      <c r="K52" s="29">
        <f>-K13-'Option1 (base case)'!K52</f>
        <v>-3280445</v>
      </c>
      <c r="L52" s="29">
        <f>-L13-'Option1 (base case)'!L52</f>
        <v>942051</v>
      </c>
      <c r="M52" s="29">
        <f>-M13-'Option1 (base case)'!M52</f>
        <v>911009</v>
      </c>
      <c r="N52" s="29">
        <f t="shared" ref="N52:R52" si="10">-N13</f>
        <v>0</v>
      </c>
      <c r="O52" s="29">
        <f t="shared" si="10"/>
        <v>0</v>
      </c>
      <c r="P52" s="29">
        <f t="shared" si="10"/>
        <v>0</v>
      </c>
      <c r="Q52" s="29">
        <f t="shared" si="10"/>
        <v>0</v>
      </c>
      <c r="R52" s="29">
        <f t="shared" si="10"/>
        <v>0</v>
      </c>
      <c r="S52" s="29"/>
      <c r="T52" s="29"/>
      <c r="U52" s="29"/>
      <c r="V52" s="29"/>
      <c r="W52" s="29"/>
      <c r="X52" s="29"/>
      <c r="Y52" s="29"/>
      <c r="Z52" s="29"/>
      <c r="AA52" s="29"/>
      <c r="AB52" s="29"/>
      <c r="AC52" s="29"/>
      <c r="AD52" s="29"/>
      <c r="AE52" s="29"/>
      <c r="AF52" s="29"/>
      <c r="AG52" s="29"/>
    </row>
    <row r="53" spans="1:33" x14ac:dyDescent="0.3">
      <c r="A53" s="7"/>
      <c r="B53" s="7"/>
      <c r="C53" s="4" t="str">
        <f>C14</f>
        <v>ongoing capex</v>
      </c>
      <c r="D53" s="35"/>
      <c r="F53" s="88"/>
      <c r="G53" s="432">
        <f>input_dollars</f>
        <v>45473</v>
      </c>
      <c r="H53" s="29"/>
      <c r="I53" s="29">
        <f>-I14-'Option1 (base case)'!I53</f>
        <v>0</v>
      </c>
      <c r="J53" s="29">
        <f>-J14-'Option1 (base case)'!J53</f>
        <v>0</v>
      </c>
      <c r="K53" s="29">
        <f>-K14-'Option1 (base case)'!K53</f>
        <v>0</v>
      </c>
      <c r="L53" s="29">
        <f>-L14-'Option1 (base case)'!L53</f>
        <v>0</v>
      </c>
      <c r="M53" s="29">
        <f>-M14-'Option1 (base case)'!M53</f>
        <v>0</v>
      </c>
      <c r="N53" s="29">
        <f>-N14-'Option1 (base case)'!N53</f>
        <v>0</v>
      </c>
      <c r="O53" s="29">
        <f>-O14-'Option1 (base case)'!O53</f>
        <v>0</v>
      </c>
      <c r="P53" s="29">
        <f>-P14-'Option1 (base case)'!P53</f>
        <v>0</v>
      </c>
      <c r="Q53" s="29">
        <f>-Q14-'Option1 (base case)'!Q53</f>
        <v>0</v>
      </c>
      <c r="R53" s="29">
        <f>-R14-'Option1 (base case)'!R53</f>
        <v>0</v>
      </c>
      <c r="S53" s="29"/>
      <c r="T53" s="29"/>
      <c r="U53" s="29"/>
      <c r="V53" s="29"/>
      <c r="W53" s="29"/>
      <c r="X53" s="29"/>
      <c r="Y53" s="29"/>
      <c r="Z53" s="29"/>
      <c r="AA53" s="29"/>
      <c r="AB53" s="29"/>
      <c r="AC53" s="29"/>
      <c r="AD53" s="29"/>
      <c r="AE53" s="29"/>
      <c r="AF53" s="29"/>
      <c r="AG53" s="29"/>
    </row>
    <row r="54" spans="1:33" x14ac:dyDescent="0.3">
      <c r="A54" s="7"/>
      <c r="B54" s="7"/>
      <c r="C54" s="4" t="str">
        <f>C15</f>
        <v>&lt; Enter description &gt;</v>
      </c>
      <c r="D54" s="35"/>
      <c r="F54" s="88"/>
      <c r="G54" s="432">
        <f>input_dollars</f>
        <v>45473</v>
      </c>
      <c r="H54" s="29"/>
      <c r="I54" s="29">
        <f t="shared" ref="I54:M54" si="11">-I15</f>
        <v>0</v>
      </c>
      <c r="J54" s="29">
        <f t="shared" si="11"/>
        <v>0</v>
      </c>
      <c r="K54" s="29">
        <f t="shared" si="11"/>
        <v>0</v>
      </c>
      <c r="L54" s="29">
        <f t="shared" si="11"/>
        <v>0</v>
      </c>
      <c r="M54" s="29">
        <f t="shared" si="11"/>
        <v>0</v>
      </c>
      <c r="N54" s="29">
        <f t="shared" ref="N54:R54" si="12">-N15</f>
        <v>0</v>
      </c>
      <c r="O54" s="29">
        <f t="shared" si="12"/>
        <v>0</v>
      </c>
      <c r="P54" s="29">
        <f t="shared" si="12"/>
        <v>0</v>
      </c>
      <c r="Q54" s="29">
        <f t="shared" si="12"/>
        <v>0</v>
      </c>
      <c r="R54" s="29">
        <f t="shared" si="12"/>
        <v>0</v>
      </c>
      <c r="S54" s="29"/>
      <c r="T54" s="29"/>
      <c r="U54" s="29"/>
      <c r="V54" s="29"/>
      <c r="W54" s="29"/>
      <c r="X54" s="29"/>
      <c r="Y54" s="29"/>
      <c r="Z54" s="29"/>
      <c r="AA54" s="29"/>
      <c r="AB54" s="29"/>
      <c r="AC54" s="29"/>
      <c r="AD54" s="29"/>
      <c r="AE54" s="29"/>
      <c r="AF54" s="29"/>
      <c r="AG54" s="29"/>
    </row>
    <row r="55" spans="1:33" x14ac:dyDescent="0.3">
      <c r="A55" s="7"/>
      <c r="B55" s="7"/>
      <c r="C55" s="4"/>
      <c r="D55" s="35"/>
      <c r="F55" s="88"/>
      <c r="G55" s="432"/>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x14ac:dyDescent="0.3">
      <c r="A56" s="7"/>
      <c r="B56" s="7"/>
      <c r="C56" s="123" t="s">
        <v>110</v>
      </c>
      <c r="D56" s="35"/>
      <c r="F56" s="88"/>
      <c r="G56" s="435"/>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x14ac:dyDescent="0.3">
      <c r="A57" s="7"/>
      <c r="B57" s="7"/>
      <c r="C57" s="4" t="str">
        <f>"Incremental "&amp;C13</f>
        <v>Incremental capex</v>
      </c>
      <c r="D57" s="35"/>
      <c r="F57" s="88"/>
      <c r="G57" s="432">
        <f>input_dollars</f>
        <v>45473</v>
      </c>
      <c r="H57" s="29"/>
      <c r="I57" s="29" cm="1">
        <f t="array" ref="I57">SUMPRODUCT(($I52:I52))-SUMPRODUCT(($I52:I52)*($I$6:I$6&lt;=(I$6-$E13)))</f>
        <v>-2252243</v>
      </c>
      <c r="J57" s="29" cm="1">
        <f t="array" ref="J57">SUMPRODUCT(($I52:J52))-SUMPRODUCT(($I52:J52)*($I$6:J$6&lt;=(J$6-$E13)))</f>
        <v>-7516120</v>
      </c>
      <c r="K57" s="29" cm="1">
        <f t="array" ref="K57">SUMPRODUCT(($I52:K52))-SUMPRODUCT(($I52:K52)*($I$6:K$6&lt;=(K$6-$E13)))</f>
        <v>-10796565</v>
      </c>
      <c r="L57" s="29" cm="1">
        <f t="array" ref="L57">SUMPRODUCT(($I52:L52))-SUMPRODUCT(($I52:L52)*($I$6:L$6&lt;=(L$6-$E13)))</f>
        <v>-9854514</v>
      </c>
      <c r="M57" s="29" cm="1">
        <f t="array" ref="M57">SUMPRODUCT(($I52:M52))-SUMPRODUCT(($I52:M52)*($I$6:M$6&lt;=(M$6-$E13)))</f>
        <v>-8943505</v>
      </c>
      <c r="N57" s="29" cm="1">
        <f t="array" ref="N57">SUMPRODUCT(($I52:N52))-SUMPRODUCT(($I52:N52)*($I$6:N$6&lt;=(N$6-$E13)))</f>
        <v>-6691262</v>
      </c>
      <c r="O57" s="29" cm="1">
        <f t="array" ref="O57">SUMPRODUCT(($I52:O52))-SUMPRODUCT(($I52:O52)*($I$6:O$6&lt;=(O$6-$E13)))</f>
        <v>-1427385</v>
      </c>
      <c r="P57" s="29" cm="1">
        <f t="array" ref="P57">SUMPRODUCT(($I52:P52))-SUMPRODUCT(($I52:P52)*($I$6:P$6&lt;=(P$6-$E13)))</f>
        <v>1853060</v>
      </c>
      <c r="Q57" s="29" cm="1">
        <f t="array" ref="Q57">SUMPRODUCT(($I52:Q52))-SUMPRODUCT(($I52:Q52)*($I$6:Q$6&lt;=(Q$6-$E13)))</f>
        <v>911009</v>
      </c>
      <c r="R57" s="29" cm="1">
        <f t="array" ref="R57">SUMPRODUCT(($I52:R52))-SUMPRODUCT(($I52:R52)*($I$6:R$6&lt;=(R$6-$E13)))</f>
        <v>0</v>
      </c>
      <c r="S57" s="29"/>
      <c r="T57" s="29"/>
      <c r="U57" s="29"/>
      <c r="V57" s="29"/>
      <c r="W57" s="29"/>
      <c r="X57" s="29"/>
      <c r="Y57" s="29"/>
      <c r="Z57" s="29"/>
      <c r="AA57" s="29"/>
      <c r="AB57" s="29"/>
      <c r="AC57" s="29"/>
      <c r="AD57" s="29"/>
      <c r="AE57" s="29"/>
      <c r="AF57" s="29"/>
      <c r="AG57" s="29"/>
    </row>
    <row r="58" spans="1:33" x14ac:dyDescent="0.3">
      <c r="A58" s="7"/>
      <c r="B58" s="7"/>
      <c r="C58" s="4" t="str">
        <f>C14</f>
        <v>ongoing capex</v>
      </c>
      <c r="D58" s="35"/>
      <c r="F58" s="88"/>
      <c r="G58" s="432">
        <f>input_dollars</f>
        <v>45473</v>
      </c>
      <c r="H58" s="29"/>
      <c r="I58" s="29" cm="1">
        <f t="array" ref="I58">SUMPRODUCT(($I53:I53))-SUMPRODUCT(($I53:I53)*($I$6:I$6&lt;=(I$6-$E14)))</f>
        <v>0</v>
      </c>
      <c r="J58" s="29" cm="1">
        <f t="array" ref="J58">SUMPRODUCT(($I53:J53))-SUMPRODUCT(($I53:J53)*($I$6:J$6&lt;=(J$6-$E14)))</f>
        <v>0</v>
      </c>
      <c r="K58" s="29" cm="1">
        <f t="array" ref="K58">SUMPRODUCT(($I53:K53))-SUMPRODUCT(($I53:K53)*($I$6:K$6&lt;=(K$6-$E14)))</f>
        <v>0</v>
      </c>
      <c r="L58" s="29" cm="1">
        <f t="array" ref="L58">SUMPRODUCT(($I53:L53))-SUMPRODUCT(($I53:L53)*($I$6:L$6&lt;=(L$6-$E14)))</f>
        <v>0</v>
      </c>
      <c r="M58" s="29" cm="1">
        <f t="array" ref="M58">SUMPRODUCT(($I53:M53))-SUMPRODUCT(($I53:M53)*($I$6:M$6&lt;=(M$6-$E14)))</f>
        <v>0</v>
      </c>
      <c r="N58" s="29" cm="1">
        <f t="array" ref="N58">SUMPRODUCT(($I53:N53))-SUMPRODUCT(($I53:N53)*($I$6:N$6&lt;=(N$6-$E14)))</f>
        <v>0</v>
      </c>
      <c r="O58" s="29" cm="1">
        <f t="array" ref="O58">SUMPRODUCT(($I53:O53))-SUMPRODUCT(($I53:O53)*($I$6:O$6&lt;=(O$6-$E14)))</f>
        <v>0</v>
      </c>
      <c r="P58" s="29" cm="1">
        <f t="array" ref="P58">SUMPRODUCT(($I53:P53))-SUMPRODUCT(($I53:P53)*($I$6:P$6&lt;=(P$6-$E14)))</f>
        <v>0</v>
      </c>
      <c r="Q58" s="29" cm="1">
        <f t="array" ref="Q58">SUMPRODUCT(($I53:Q53))-SUMPRODUCT(($I53:Q53)*($I$6:Q$6&lt;=(Q$6-$E14)))</f>
        <v>0</v>
      </c>
      <c r="R58" s="29" cm="1">
        <f t="array" ref="R58">SUMPRODUCT(($I53:R53))-SUMPRODUCT(($I53:R53)*($I$6:R$6&lt;=(R$6-$E14)))</f>
        <v>0</v>
      </c>
      <c r="S58" s="29"/>
      <c r="T58" s="29"/>
      <c r="U58" s="29"/>
      <c r="V58" s="29"/>
      <c r="W58" s="29"/>
      <c r="X58" s="29"/>
      <c r="Y58" s="29"/>
      <c r="Z58" s="29"/>
      <c r="AA58" s="29"/>
      <c r="AB58" s="29"/>
      <c r="AC58" s="29"/>
      <c r="AD58" s="29"/>
      <c r="AE58" s="29"/>
      <c r="AF58" s="29"/>
      <c r="AG58" s="29"/>
    </row>
    <row r="59" spans="1:33" x14ac:dyDescent="0.3">
      <c r="A59" s="7"/>
      <c r="B59" s="7"/>
      <c r="C59" s="4" t="str">
        <f>C15</f>
        <v>&lt; Enter description &gt;</v>
      </c>
      <c r="D59" s="35"/>
      <c r="F59" s="88"/>
      <c r="G59" s="432">
        <f>input_dollars</f>
        <v>45473</v>
      </c>
      <c r="H59" s="29"/>
      <c r="I59" s="29" cm="1">
        <f t="array" ref="I59">SUMPRODUCT(($I54:I54))-SUMPRODUCT(($I54:I54)*($I$6:I$6&lt;=(I$6-$E15)))</f>
        <v>0</v>
      </c>
      <c r="J59" s="29" cm="1">
        <f t="array" ref="J59">SUMPRODUCT(($I54:J54))-SUMPRODUCT(($I54:J54)*($I$6:J$6&lt;=(J$6-$E15)))</f>
        <v>0</v>
      </c>
      <c r="K59" s="29" cm="1">
        <f t="array" ref="K59">SUMPRODUCT(($I54:K54))-SUMPRODUCT(($I54:K54)*($I$6:K$6&lt;=(K$6-$E15)))</f>
        <v>0</v>
      </c>
      <c r="L59" s="29" cm="1">
        <f t="array" ref="L59">SUMPRODUCT(($I54:L54))-SUMPRODUCT(($I54:L54)*($I$6:L$6&lt;=(L$6-$E15)))</f>
        <v>0</v>
      </c>
      <c r="M59" s="29" cm="1">
        <f t="array" ref="M59">SUMPRODUCT(($I54:M54))-SUMPRODUCT(($I54:M54)*($I$6:M$6&lt;=(M$6-$E15)))</f>
        <v>0</v>
      </c>
      <c r="N59" s="29" cm="1">
        <f t="array" ref="N59">SUMPRODUCT(($I54:N54))-SUMPRODUCT(($I54:N54)*($I$6:N$6&lt;=(N$6-$E15)))</f>
        <v>0</v>
      </c>
      <c r="O59" s="29" cm="1">
        <f t="array" ref="O59">SUMPRODUCT(($I54:O54))-SUMPRODUCT(($I54:O54)*($I$6:O$6&lt;=(O$6-$E15)))</f>
        <v>0</v>
      </c>
      <c r="P59" s="29" cm="1">
        <f t="array" ref="P59">SUMPRODUCT(($I54:P54))-SUMPRODUCT(($I54:P54)*($I$6:P$6&lt;=(P$6-$E15)))</f>
        <v>0</v>
      </c>
      <c r="Q59" s="29" cm="1">
        <f t="array" ref="Q59">SUMPRODUCT(($I54:Q54))-SUMPRODUCT(($I54:Q54)*($I$6:Q$6&lt;=(Q$6-$E15)))</f>
        <v>0</v>
      </c>
      <c r="R59" s="29" cm="1">
        <f t="array" ref="R59">SUMPRODUCT(($I54:R54))-SUMPRODUCT(($I54:R54)*($I$6:R$6&lt;=(R$6-$E15)))</f>
        <v>0</v>
      </c>
      <c r="S59" s="29"/>
      <c r="T59" s="29"/>
      <c r="U59" s="29"/>
      <c r="V59" s="29"/>
      <c r="W59" s="29"/>
      <c r="X59" s="29"/>
      <c r="Y59" s="29"/>
      <c r="Z59" s="29"/>
      <c r="AA59" s="29"/>
      <c r="AB59" s="29"/>
      <c r="AC59" s="29"/>
      <c r="AD59" s="29"/>
      <c r="AE59" s="29"/>
      <c r="AF59" s="29"/>
      <c r="AG59" s="29"/>
    </row>
    <row r="60" spans="1:33" x14ac:dyDescent="0.3">
      <c r="A60" s="7"/>
      <c r="B60" s="7"/>
      <c r="C60" s="4"/>
      <c r="D60" s="35"/>
      <c r="F60" s="88"/>
      <c r="G60" s="432"/>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x14ac:dyDescent="0.3">
      <c r="A61" s="7"/>
      <c r="B61" s="7"/>
      <c r="C61" s="123" t="s">
        <v>70</v>
      </c>
      <c r="D61" s="35"/>
      <c r="F61" s="88"/>
      <c r="G61" s="435"/>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x14ac:dyDescent="0.3">
      <c r="A62" s="7"/>
      <c r="B62" s="7"/>
      <c r="C62" s="4" t="str">
        <f>$C$61&amp;" - Incremental "&amp;C13</f>
        <v>Annualised capex - Incremental capex</v>
      </c>
      <c r="D62" s="35"/>
      <c r="F62" s="88"/>
      <c r="G62" s="432">
        <f>input_dollars</f>
        <v>45473</v>
      </c>
      <c r="H62" s="29"/>
      <c r="I62" s="29">
        <f t="shared" ref="I62:R62" si="13">IF($E13=0,0,-PMT(real_disc, $E13,I57,))</f>
        <v>-498829.8723257173</v>
      </c>
      <c r="J62" s="29">
        <f t="shared" si="13"/>
        <v>-1664680.5784210544</v>
      </c>
      <c r="K62" s="29">
        <f t="shared" si="13"/>
        <v>-2391238.0415906757</v>
      </c>
      <c r="L62" s="29">
        <f t="shared" si="13"/>
        <v>-2182591.2925257152</v>
      </c>
      <c r="M62" s="29">
        <f t="shared" si="13"/>
        <v>-1980819.768246328</v>
      </c>
      <c r="N62" s="29">
        <f t="shared" si="13"/>
        <v>-1481989.8959206108</v>
      </c>
      <c r="O62" s="29">
        <f t="shared" si="13"/>
        <v>-316139.18982527376</v>
      </c>
      <c r="P62" s="29">
        <f t="shared" si="13"/>
        <v>410418.27334434772</v>
      </c>
      <c r="Q62" s="29">
        <f t="shared" si="13"/>
        <v>201771.524279387</v>
      </c>
      <c r="R62" s="29">
        <f t="shared" si="13"/>
        <v>0</v>
      </c>
      <c r="S62" s="29"/>
      <c r="T62" s="29"/>
      <c r="U62" s="29"/>
      <c r="V62" s="29"/>
      <c r="W62" s="29"/>
      <c r="X62" s="29"/>
      <c r="Y62" s="29"/>
      <c r="Z62" s="29"/>
      <c r="AA62" s="29"/>
      <c r="AB62" s="29"/>
      <c r="AC62" s="29"/>
      <c r="AD62" s="29"/>
      <c r="AE62" s="29"/>
      <c r="AF62" s="29"/>
      <c r="AG62" s="29"/>
    </row>
    <row r="63" spans="1:33" x14ac:dyDescent="0.3">
      <c r="A63" s="7"/>
      <c r="B63" s="7"/>
      <c r="C63" s="4" t="str">
        <f>$C$61&amp;" - "&amp;C14</f>
        <v>Annualised capex - ongoing capex</v>
      </c>
      <c r="D63" s="35"/>
      <c r="F63" s="88"/>
      <c r="G63" s="432">
        <f>input_dollars</f>
        <v>45473</v>
      </c>
      <c r="H63" s="29"/>
      <c r="I63" s="29">
        <f t="shared" ref="I63:R63" si="14">IF($E14=0,0,-PMT(real_disc, $E14,I58,))</f>
        <v>0</v>
      </c>
      <c r="J63" s="29">
        <f t="shared" si="14"/>
        <v>0</v>
      </c>
      <c r="K63" s="29">
        <f t="shared" si="14"/>
        <v>0</v>
      </c>
      <c r="L63" s="29">
        <f t="shared" si="14"/>
        <v>0</v>
      </c>
      <c r="M63" s="29">
        <f t="shared" si="14"/>
        <v>0</v>
      </c>
      <c r="N63" s="29">
        <f t="shared" si="14"/>
        <v>0</v>
      </c>
      <c r="O63" s="29">
        <f t="shared" si="14"/>
        <v>0</v>
      </c>
      <c r="P63" s="29">
        <f t="shared" si="14"/>
        <v>0</v>
      </c>
      <c r="Q63" s="29">
        <f t="shared" si="14"/>
        <v>0</v>
      </c>
      <c r="R63" s="29">
        <f t="shared" si="14"/>
        <v>0</v>
      </c>
      <c r="S63" s="29"/>
      <c r="T63" s="29"/>
      <c r="U63" s="29"/>
      <c r="V63" s="29"/>
      <c r="W63" s="29"/>
      <c r="X63" s="29"/>
      <c r="Y63" s="29"/>
      <c r="Z63" s="29"/>
      <c r="AA63" s="29"/>
      <c r="AB63" s="29"/>
      <c r="AC63" s="29"/>
      <c r="AD63" s="29"/>
      <c r="AE63" s="29"/>
      <c r="AF63" s="29"/>
      <c r="AG63" s="29"/>
    </row>
    <row r="64" spans="1:33" x14ac:dyDescent="0.3">
      <c r="A64" s="7"/>
      <c r="B64" s="7"/>
      <c r="C64" s="4" t="str">
        <f>$C$61&amp;" - "&amp;C15</f>
        <v>Annualised capex - &lt; Enter description &gt;</v>
      </c>
      <c r="D64" s="35"/>
      <c r="F64" s="88"/>
      <c r="G64" s="432">
        <f>input_dollars</f>
        <v>45473</v>
      </c>
      <c r="H64" s="29"/>
      <c r="I64" s="29">
        <f t="shared" ref="I64:R64" si="15">IF($E15=0,0,-PMT(real_disc, $E15,I59,))</f>
        <v>0</v>
      </c>
      <c r="J64" s="29">
        <f t="shared" si="15"/>
        <v>0</v>
      </c>
      <c r="K64" s="29">
        <f t="shared" si="15"/>
        <v>0</v>
      </c>
      <c r="L64" s="29">
        <f t="shared" si="15"/>
        <v>0</v>
      </c>
      <c r="M64" s="29">
        <f t="shared" si="15"/>
        <v>0</v>
      </c>
      <c r="N64" s="29">
        <f t="shared" si="15"/>
        <v>0</v>
      </c>
      <c r="O64" s="29">
        <f t="shared" si="15"/>
        <v>0</v>
      </c>
      <c r="P64" s="29">
        <f t="shared" si="15"/>
        <v>0</v>
      </c>
      <c r="Q64" s="29">
        <f t="shared" si="15"/>
        <v>0</v>
      </c>
      <c r="R64" s="29">
        <f t="shared" si="15"/>
        <v>0</v>
      </c>
      <c r="S64" s="29"/>
      <c r="T64" s="29"/>
      <c r="U64" s="29"/>
      <c r="V64" s="29"/>
      <c r="W64" s="29"/>
      <c r="X64" s="29"/>
      <c r="Y64" s="29"/>
      <c r="Z64" s="29"/>
      <c r="AA64" s="29"/>
      <c r="AB64" s="29"/>
      <c r="AC64" s="29"/>
      <c r="AD64" s="29"/>
      <c r="AE64" s="29"/>
      <c r="AF64" s="29"/>
      <c r="AG64" s="29"/>
    </row>
    <row r="65" spans="1:33" x14ac:dyDescent="0.3">
      <c r="A65" s="7"/>
      <c r="B65" s="7"/>
      <c r="C65" s="135" t="s">
        <v>111</v>
      </c>
      <c r="D65" s="135"/>
      <c r="E65" s="136"/>
      <c r="F65" s="137"/>
      <c r="G65" s="433">
        <f>input_dollars</f>
        <v>45473</v>
      </c>
      <c r="H65" s="138"/>
      <c r="I65" s="138">
        <f>SUM(I62:I64)</f>
        <v>-498829.8723257173</v>
      </c>
      <c r="J65" s="138">
        <f t="shared" ref="J65:R65" si="16">SUM(J62:J64)</f>
        <v>-1664680.5784210544</v>
      </c>
      <c r="K65" s="138">
        <f t="shared" si="16"/>
        <v>-2391238.0415906757</v>
      </c>
      <c r="L65" s="138">
        <f t="shared" si="16"/>
        <v>-2182591.2925257152</v>
      </c>
      <c r="M65" s="138">
        <f t="shared" si="16"/>
        <v>-1980819.768246328</v>
      </c>
      <c r="N65" s="138">
        <f t="shared" si="16"/>
        <v>-1481989.8959206108</v>
      </c>
      <c r="O65" s="138">
        <f t="shared" si="16"/>
        <v>-316139.18982527376</v>
      </c>
      <c r="P65" s="138">
        <f t="shared" si="16"/>
        <v>410418.27334434772</v>
      </c>
      <c r="Q65" s="138">
        <f t="shared" si="16"/>
        <v>201771.524279387</v>
      </c>
      <c r="R65" s="138">
        <f t="shared" si="16"/>
        <v>0</v>
      </c>
      <c r="S65" s="138"/>
      <c r="T65" s="138"/>
      <c r="U65" s="138"/>
      <c r="V65" s="138"/>
      <c r="W65" s="138"/>
      <c r="X65" s="138"/>
      <c r="Y65" s="138"/>
      <c r="Z65" s="138"/>
      <c r="AA65" s="138"/>
      <c r="AB65" s="138"/>
      <c r="AC65" s="138"/>
      <c r="AD65" s="138"/>
      <c r="AE65" s="138"/>
      <c r="AF65" s="138"/>
      <c r="AG65" s="138"/>
    </row>
    <row r="66" spans="1:33" ht="13.5" x14ac:dyDescent="0.3">
      <c r="A66" s="7"/>
      <c r="B66" s="7"/>
      <c r="C66" s="13"/>
      <c r="D66" s="35"/>
      <c r="F66"/>
      <c r="G66" s="432"/>
      <c r="H66"/>
      <c r="I66"/>
      <c r="J66"/>
      <c r="K66"/>
      <c r="L66"/>
      <c r="M66"/>
      <c r="N66"/>
      <c r="O66"/>
      <c r="P66"/>
      <c r="Q66"/>
      <c r="R66"/>
      <c r="S66"/>
      <c r="T66"/>
      <c r="U66"/>
      <c r="V66"/>
      <c r="W66"/>
      <c r="X66"/>
      <c r="Y66"/>
      <c r="Z66"/>
      <c r="AA66"/>
      <c r="AB66"/>
      <c r="AC66"/>
      <c r="AD66"/>
      <c r="AE66"/>
      <c r="AF66"/>
      <c r="AG66"/>
    </row>
    <row r="67" spans="1:33" x14ac:dyDescent="0.3">
      <c r="A67" s="7"/>
      <c r="B67" s="7"/>
      <c r="C67" s="4" t="s">
        <v>161</v>
      </c>
      <c r="D67" s="35"/>
      <c r="F67" s="88"/>
      <c r="G67" s="432">
        <f t="shared" ref="G67:G72" si="17">input_dollars</f>
        <v>45473</v>
      </c>
      <c r="H67" s="29"/>
      <c r="I67" s="29">
        <f>I65</f>
        <v>-498829.8723257173</v>
      </c>
      <c r="J67" s="29">
        <f t="shared" ref="J67:R67" si="18">J65</f>
        <v>-1664680.5784210544</v>
      </c>
      <c r="K67" s="29">
        <f t="shared" si="18"/>
        <v>-2391238.0415906757</v>
      </c>
      <c r="L67" s="29">
        <f t="shared" si="18"/>
        <v>-2182591.2925257152</v>
      </c>
      <c r="M67" s="29">
        <f t="shared" si="18"/>
        <v>-1980819.768246328</v>
      </c>
      <c r="N67" s="29">
        <f t="shared" si="18"/>
        <v>-1481989.8959206108</v>
      </c>
      <c r="O67" s="29">
        <f t="shared" si="18"/>
        <v>-316139.18982527376</v>
      </c>
      <c r="P67" s="29">
        <f t="shared" si="18"/>
        <v>410418.27334434772</v>
      </c>
      <c r="Q67" s="29">
        <f t="shared" si="18"/>
        <v>201771.524279387</v>
      </c>
      <c r="R67" s="29">
        <f t="shared" si="18"/>
        <v>0</v>
      </c>
      <c r="S67" s="29"/>
      <c r="T67" s="29"/>
      <c r="U67" s="29"/>
      <c r="V67" s="29"/>
      <c r="W67" s="29"/>
      <c r="X67" s="29"/>
      <c r="Y67" s="29"/>
      <c r="Z67" s="29"/>
      <c r="AA67" s="29"/>
      <c r="AB67" s="29"/>
      <c r="AC67" s="29"/>
      <c r="AD67" s="29"/>
      <c r="AE67" s="29"/>
      <c r="AF67" s="29"/>
      <c r="AG67" s="29"/>
    </row>
    <row r="68" spans="1:33" x14ac:dyDescent="0.3">
      <c r="A68" s="7"/>
      <c r="B68" s="7"/>
      <c r="C68" s="4" t="s">
        <v>163</v>
      </c>
      <c r="D68" s="35"/>
      <c r="F68" s="88"/>
      <c r="G68" s="432">
        <f t="shared" si="17"/>
        <v>45473</v>
      </c>
      <c r="H68" s="29"/>
      <c r="I68" s="29">
        <f>-I18-'Option1 (base case)'!I68</f>
        <v>-1250839.4060365853</v>
      </c>
      <c r="J68" s="29">
        <f>-J18-'Option1 (base case)'!J68</f>
        <v>-2171495.3398406352</v>
      </c>
      <c r="K68" s="29">
        <f>-K18-'Option1 (base case)'!K68</f>
        <v>-2312987.5466694469</v>
      </c>
      <c r="L68" s="29">
        <f>-L18-'Option1 (base case)'!L68</f>
        <v>-1599430.3029505187</v>
      </c>
      <c r="M68" s="29">
        <f>-M18-'Option1 (base case)'!M68</f>
        <v>-1885397.1746102148</v>
      </c>
      <c r="N68" s="29">
        <f>-N18-'Option1 (base case)'!N68</f>
        <v>0</v>
      </c>
      <c r="O68" s="29">
        <f>-O18-'Option1 (base case)'!O68</f>
        <v>0</v>
      </c>
      <c r="P68" s="29">
        <f>-P18-'Option1 (base case)'!P68</f>
        <v>0</v>
      </c>
      <c r="Q68" s="29">
        <f>-Q18-'Option1 (base case)'!Q68</f>
        <v>0</v>
      </c>
      <c r="R68" s="29">
        <f>-R18-'Option1 (base case)'!R68</f>
        <v>0</v>
      </c>
      <c r="S68" s="29"/>
      <c r="T68" s="29"/>
      <c r="U68" s="29"/>
      <c r="V68" s="29"/>
      <c r="W68" s="29"/>
      <c r="X68" s="29"/>
      <c r="Y68" s="29"/>
      <c r="Z68" s="29"/>
      <c r="AA68" s="29"/>
      <c r="AB68" s="29"/>
      <c r="AC68" s="29"/>
      <c r="AD68" s="29"/>
      <c r="AE68" s="29"/>
      <c r="AF68" s="29"/>
      <c r="AG68" s="29"/>
    </row>
    <row r="69" spans="1:33" x14ac:dyDescent="0.3">
      <c r="A69" s="7"/>
      <c r="B69" s="7"/>
      <c r="C69" s="4" t="s">
        <v>100</v>
      </c>
      <c r="D69" s="35"/>
      <c r="F69" s="88"/>
      <c r="G69" s="432">
        <f t="shared" si="17"/>
        <v>45473</v>
      </c>
      <c r="H69" s="29"/>
      <c r="I69" s="29">
        <f>-I49</f>
        <v>18053568.492127225</v>
      </c>
      <c r="J69" s="29">
        <f t="shared" ref="J69:R69" si="19">-J49</f>
        <v>18053568.492127225</v>
      </c>
      <c r="K69" s="29">
        <f t="shared" si="19"/>
        <v>18053568.492127225</v>
      </c>
      <c r="L69" s="29">
        <f t="shared" si="19"/>
        <v>18053568.492127225</v>
      </c>
      <c r="M69" s="29">
        <f t="shared" si="19"/>
        <v>18053568.492127225</v>
      </c>
      <c r="N69" s="29">
        <f t="shared" si="19"/>
        <v>0</v>
      </c>
      <c r="O69" s="29">
        <f t="shared" si="19"/>
        <v>0</v>
      </c>
      <c r="P69" s="29">
        <f t="shared" si="19"/>
        <v>0</v>
      </c>
      <c r="Q69" s="29">
        <f t="shared" si="19"/>
        <v>0</v>
      </c>
      <c r="R69" s="29">
        <f t="shared" si="19"/>
        <v>0</v>
      </c>
      <c r="S69" s="29"/>
      <c r="T69" s="29"/>
      <c r="U69" s="29"/>
      <c r="V69" s="29"/>
      <c r="W69" s="29"/>
      <c r="X69" s="29"/>
      <c r="Y69" s="29"/>
      <c r="Z69" s="29"/>
      <c r="AA69" s="29"/>
      <c r="AB69" s="29"/>
      <c r="AC69" s="29"/>
      <c r="AD69" s="29"/>
      <c r="AE69" s="29"/>
      <c r="AF69" s="29"/>
      <c r="AG69" s="29"/>
    </row>
    <row r="70" spans="1:33" x14ac:dyDescent="0.3">
      <c r="A70" s="7"/>
      <c r="B70" s="7"/>
      <c r="C70" s="4" t="s">
        <v>88</v>
      </c>
      <c r="D70" s="35"/>
      <c r="F70" s="88"/>
      <c r="G70" s="432">
        <f t="shared" si="17"/>
        <v>45473</v>
      </c>
      <c r="H70" s="29"/>
      <c r="I70" s="29">
        <f>I43</f>
        <v>0</v>
      </c>
      <c r="J70" s="29">
        <f t="shared" ref="J70:R70" si="20">J43</f>
        <v>0</v>
      </c>
      <c r="K70" s="29">
        <f t="shared" si="20"/>
        <v>0</v>
      </c>
      <c r="L70" s="29">
        <f t="shared" si="20"/>
        <v>0</v>
      </c>
      <c r="M70" s="29">
        <f t="shared" si="20"/>
        <v>0</v>
      </c>
      <c r="N70" s="29">
        <f t="shared" si="20"/>
        <v>0</v>
      </c>
      <c r="O70" s="29">
        <f t="shared" si="20"/>
        <v>0</v>
      </c>
      <c r="P70" s="29">
        <f t="shared" si="20"/>
        <v>0</v>
      </c>
      <c r="Q70" s="29">
        <f t="shared" si="20"/>
        <v>0</v>
      </c>
      <c r="R70" s="29">
        <f t="shared" si="20"/>
        <v>0</v>
      </c>
      <c r="S70" s="29"/>
      <c r="T70" s="29"/>
      <c r="U70" s="29"/>
      <c r="V70" s="29"/>
      <c r="W70" s="29"/>
      <c r="X70" s="29"/>
      <c r="Y70" s="29"/>
      <c r="Z70" s="29"/>
      <c r="AA70" s="29"/>
      <c r="AB70" s="29"/>
      <c r="AC70" s="29"/>
      <c r="AD70" s="29"/>
      <c r="AE70" s="29"/>
      <c r="AF70" s="29"/>
      <c r="AG70" s="29"/>
    </row>
    <row r="71" spans="1:33" x14ac:dyDescent="0.3">
      <c r="A71" s="7"/>
      <c r="B71" s="7"/>
      <c r="C71" s="4"/>
      <c r="D71" s="35"/>
      <c r="F71" s="29"/>
      <c r="G71" s="432"/>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x14ac:dyDescent="0.3">
      <c r="A72" s="7"/>
      <c r="B72" s="7"/>
      <c r="C72" s="139" t="s">
        <v>127</v>
      </c>
      <c r="D72" s="140"/>
      <c r="E72" s="136"/>
      <c r="F72" s="141"/>
      <c r="G72" s="433">
        <f t="shared" si="17"/>
        <v>45473</v>
      </c>
      <c r="H72" s="141"/>
      <c r="I72" s="141">
        <f t="shared" ref="I72:R72" si="21">SUM(I67:I71)</f>
        <v>16303899.213764923</v>
      </c>
      <c r="J72" s="141">
        <f t="shared" si="21"/>
        <v>14217392.573865535</v>
      </c>
      <c r="K72" s="141">
        <f t="shared" si="21"/>
        <v>13349342.903867103</v>
      </c>
      <c r="L72" s="141">
        <f t="shared" si="21"/>
        <v>14271546.89665099</v>
      </c>
      <c r="M72" s="141">
        <f t="shared" si="21"/>
        <v>14187351.549270682</v>
      </c>
      <c r="N72" s="141">
        <f t="shared" si="21"/>
        <v>-1481989.8959206108</v>
      </c>
      <c r="O72" s="141">
        <f t="shared" si="21"/>
        <v>-316139.18982527376</v>
      </c>
      <c r="P72" s="141">
        <f t="shared" si="21"/>
        <v>410418.27334434772</v>
      </c>
      <c r="Q72" s="141">
        <f t="shared" si="21"/>
        <v>201771.524279387</v>
      </c>
      <c r="R72" s="141">
        <f t="shared" si="21"/>
        <v>0</v>
      </c>
      <c r="S72" s="141"/>
      <c r="T72" s="141"/>
      <c r="U72" s="141"/>
      <c r="V72" s="141"/>
      <c r="W72" s="141"/>
      <c r="X72" s="141"/>
      <c r="Y72" s="141"/>
      <c r="Z72" s="141"/>
      <c r="AA72" s="141"/>
      <c r="AB72" s="141"/>
      <c r="AC72" s="141"/>
      <c r="AD72" s="141"/>
      <c r="AE72" s="141"/>
      <c r="AF72" s="141"/>
      <c r="AG72" s="141"/>
    </row>
    <row r="73" spans="1:33" x14ac:dyDescent="0.3">
      <c r="A73" s="7"/>
      <c r="B73" s="7"/>
      <c r="C73" s="13"/>
      <c r="D73" s="35"/>
      <c r="F73" s="119"/>
      <c r="G73" s="167"/>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7"/>
      <c r="B74" s="7"/>
      <c r="C74" s="13"/>
      <c r="D74" s="35"/>
      <c r="F74" s="119"/>
      <c r="G74" s="167"/>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7"/>
      <c r="B75" s="7"/>
      <c r="C75" s="180" t="s">
        <v>136</v>
      </c>
      <c r="D75" s="74"/>
      <c r="E75" s="181"/>
      <c r="F75" s="182"/>
      <c r="G75" s="183" cm="1">
        <f t="array" ref="G75">IF(SUM($I16:$AG16)=0,0,(INDEX(I$6:AG$6,MATCH(TRUE,INDEX($I16:$AG16&lt;&gt;0,),0))))</f>
        <v>1</v>
      </c>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3" x14ac:dyDescent="0.3">
      <c r="A76" s="7"/>
      <c r="B76" s="7"/>
      <c r="C76" s="74" t="s">
        <v>135</v>
      </c>
      <c r="D76" s="184"/>
      <c r="E76" s="181"/>
      <c r="F76" s="182"/>
      <c r="G76" s="183" cm="1">
        <f t="array" ref="G76">IF(SUM($I18:$AG18)=0,0,(INDEX(I$6:AG$6,MATCH(TRUE,INDEX($I18:$AG18&lt;&gt;0,),0))))</f>
        <v>1</v>
      </c>
      <c r="H76" s="31"/>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1:33" x14ac:dyDescent="0.3">
      <c r="C77" s="185" t="s">
        <v>130</v>
      </c>
      <c r="D77" s="186"/>
      <c r="E77" s="186"/>
      <c r="F77" s="186"/>
      <c r="G77" s="187">
        <f>IF(_xlfn.MINIFS($G$75:$G$76, $G$75:$G$76, "&gt;"&amp;0)=0, $A$4, _xlfn.MINIFS($G$75:$G$76, $G$75:$G$76, "&gt;"&amp;0))</f>
        <v>1</v>
      </c>
    </row>
    <row r="79" spans="1:33" x14ac:dyDescent="0.3">
      <c r="G79" s="11"/>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3" x14ac:dyDescent="0.3">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9:33" x14ac:dyDescent="0.3">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3" spans="9:33" x14ac:dyDescent="0.3">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9:33" x14ac:dyDescent="0.3">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9:33" x14ac:dyDescent="0.3">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9:33" x14ac:dyDescent="0.3">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row>
  </sheetData>
  <conditionalFormatting sqref="E13">
    <cfRule type="expression" dxfId="6" priority="5">
      <formula>AND(SUM($I13:$AB13)&lt;&gt;0, E13=0)</formula>
    </cfRule>
  </conditionalFormatting>
  <conditionalFormatting sqref="E14:E15">
    <cfRule type="expression" dxfId="5" priority="1">
      <formula>AND(SUM($I14:$AB14)&lt;&gt;0, E14=0)</formula>
    </cfRule>
  </conditionalFormatting>
  <conditionalFormatting sqref="E22">
    <cfRule type="expression" dxfId="4" priority="2">
      <formula>AND(SUM($I22:$AB22)&lt;&gt;0, E22=0)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 id="{CE231726-429A-4455-B773-BFD3D50A15FD}">
            <xm:f>$A$4=Data!$C$8</xm:f>
            <x14:dxf>
              <font>
                <color theme="0" tint="-0.499984740745262"/>
              </font>
            </x14:dxf>
          </x14:cfRule>
          <xm:sqref>C3 A4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9FB6-C322-4B7D-A0D5-CC949B166B1E}">
  <sheetPr codeName="Sheet11">
    <tabColor rgb="FF0099FF"/>
  </sheetPr>
  <dimension ref="A1:AQ86"/>
  <sheetViews>
    <sheetView showGridLines="0" zoomScale="90" zoomScaleNormal="90" workbookViewId="0">
      <pane xSplit="7" ySplit="9" topLeftCell="H10" activePane="bottomRight" state="frozen"/>
      <selection activeCell="F15" sqref="F15"/>
      <selection pane="topRight" activeCell="F15" sqref="F15"/>
      <selection pane="bottomLeft" activeCell="F15" sqref="F15"/>
      <selection pane="bottomRight" activeCell="E17" sqref="E17"/>
    </sheetView>
  </sheetViews>
  <sheetFormatPr defaultColWidth="8" defaultRowHeight="13" x14ac:dyDescent="0.3"/>
  <cols>
    <col min="1" max="1" width="5.4609375" style="1" customWidth="1"/>
    <col min="2" max="2" width="4.15234375" style="1" customWidth="1"/>
    <col min="3" max="3" width="24.3828125" style="1" customWidth="1"/>
    <col min="4" max="4" width="12.3828125" style="1" customWidth="1"/>
    <col min="5" max="5" width="12.4609375" style="1" customWidth="1"/>
    <col min="6" max="6" width="3.84375" style="1" customWidth="1"/>
    <col min="7" max="7" width="9.84375" style="1" customWidth="1"/>
    <col min="8" max="8" width="3.3828125" style="1" customWidth="1"/>
    <col min="9" max="33" width="12.15234375" style="1" customWidth="1"/>
    <col min="34" max="16384" width="8" style="1"/>
  </cols>
  <sheetData>
    <row r="1" spans="1:43" ht="18.5" x14ac:dyDescent="0.45">
      <c r="A1" s="14" t="str">
        <f>bus</f>
        <v>United Energy</v>
      </c>
      <c r="B1" s="14"/>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43" ht="18.5" x14ac:dyDescent="0.45">
      <c r="A2" s="54" t="str">
        <f>proj</f>
        <v>Infrastructure refresh risk</v>
      </c>
      <c r="B2" s="54"/>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43" ht="15.5" x14ac:dyDescent="0.35">
      <c r="A3" s="163" t="s">
        <v>95</v>
      </c>
      <c r="B3" s="5"/>
      <c r="C3" s="161" t="str">
        <f>INDEX(Assumptions!$E$14:$E$17, MATCH(A3,_xlfn.ANCHORARRAY( Assumptions!$C$14),0))</f>
        <v>Public cloud infrastructure refresh</v>
      </c>
    </row>
    <row r="4" spans="1:43" x14ac:dyDescent="0.3">
      <c r="A4" s="1" t="str">
        <f>(INDEX(Data!$D$9:$D$12, MATCH(A3, options,0)))</f>
        <v/>
      </c>
      <c r="B4" s="148"/>
      <c r="C4" s="188" t="str">
        <f>IF(INDEX(Misc_calcs!$D$39:$D$54, MATCH(A3, Misc_calcs!$B$39:$B$54,0)), Misc_calcs!$B$57, "")</f>
        <v/>
      </c>
    </row>
    <row r="5" spans="1:43" x14ac:dyDescent="0.3">
      <c r="C5" s="90"/>
      <c r="D5" s="89"/>
      <c r="E5" s="91"/>
      <c r="F5" s="91"/>
      <c r="G5" s="89"/>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43" x14ac:dyDescent="0.3">
      <c r="A6" s="89" t="str">
        <f>'Option1 (base case)'!A6</f>
        <v>Count</v>
      </c>
      <c r="B6" s="89"/>
      <c r="C6" s="90"/>
      <c r="D6" s="89"/>
      <c r="E6" s="91"/>
      <c r="F6" s="91"/>
      <c r="G6" s="89"/>
      <c r="H6" s="92"/>
      <c r="I6" s="92">
        <f>'Option1 (base case)'!I6</f>
        <v>1</v>
      </c>
      <c r="J6" s="92">
        <f>'Option1 (base case)'!J6</f>
        <v>2</v>
      </c>
      <c r="K6" s="92">
        <f>'Option1 (base case)'!K6</f>
        <v>3</v>
      </c>
      <c r="L6" s="92">
        <f>'Option1 (base case)'!L6</f>
        <v>4</v>
      </c>
      <c r="M6" s="92">
        <f>'Option1 (base case)'!M6</f>
        <v>5</v>
      </c>
      <c r="N6" s="92">
        <f>'Option1 (base case)'!N6</f>
        <v>6</v>
      </c>
      <c r="O6" s="92">
        <f>'Option1 (base case)'!O6</f>
        <v>7</v>
      </c>
      <c r="P6" s="92">
        <f>'Option1 (base case)'!P6</f>
        <v>8</v>
      </c>
      <c r="Q6" s="92">
        <f>'Option1 (base case)'!Q6</f>
        <v>9</v>
      </c>
      <c r="R6" s="92">
        <f>'Option1 (base case)'!R6</f>
        <v>10</v>
      </c>
      <c r="S6" s="92">
        <f>'Option1 (base case)'!S6</f>
        <v>11</v>
      </c>
      <c r="T6" s="92">
        <f>'Option1 (base case)'!T6</f>
        <v>12</v>
      </c>
      <c r="U6" s="92">
        <f>'Option1 (base case)'!U6</f>
        <v>13</v>
      </c>
      <c r="V6" s="92">
        <f>'Option1 (base case)'!V6</f>
        <v>14</v>
      </c>
      <c r="W6" s="92">
        <f>'Option1 (base case)'!W6</f>
        <v>15</v>
      </c>
      <c r="X6" s="92">
        <f>'Option1 (base case)'!X6</f>
        <v>16</v>
      </c>
      <c r="Y6" s="92">
        <f>'Option1 (base case)'!Y6</f>
        <v>17</v>
      </c>
      <c r="Z6" s="92">
        <f>'Option1 (base case)'!Z6</f>
        <v>18</v>
      </c>
      <c r="AA6" s="92">
        <f>'Option1 (base case)'!AA6</f>
        <v>19</v>
      </c>
      <c r="AB6" s="92">
        <f>'Option1 (base case)'!AB6</f>
        <v>20</v>
      </c>
      <c r="AC6" s="92">
        <f>'Option1 (base case)'!AC6</f>
        <v>21</v>
      </c>
      <c r="AD6" s="92">
        <f>'Option1 (base case)'!AD6</f>
        <v>22</v>
      </c>
      <c r="AE6" s="92">
        <f>'Option1 (base case)'!AE6</f>
        <v>23</v>
      </c>
      <c r="AF6" s="92">
        <f>'Option1 (base case)'!AF6</f>
        <v>24</v>
      </c>
      <c r="AG6" s="92">
        <f>'Option1 (base case)'!AG6</f>
        <v>25</v>
      </c>
    </row>
    <row r="7" spans="1:43" ht="6.75" customHeight="1" x14ac:dyDescent="0.3">
      <c r="C7" s="90"/>
      <c r="D7" s="89"/>
      <c r="E7" s="91"/>
      <c r="F7" s="91"/>
      <c r="G7" s="89"/>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43" ht="14.5" x14ac:dyDescent="0.3">
      <c r="A8" s="17"/>
      <c r="B8" s="17"/>
      <c r="C8" s="17"/>
      <c r="D8" s="17"/>
      <c r="E8" s="17"/>
      <c r="F8" s="120"/>
      <c r="G8" s="17" t="s">
        <v>13</v>
      </c>
      <c r="H8" s="170"/>
      <c r="I8" s="16" t="str">
        <f>'Option1 (base case)'!I8</f>
        <v>2026-27</v>
      </c>
      <c r="J8" s="16" t="str">
        <f>'Option1 (base case)'!J8</f>
        <v>2027-28</v>
      </c>
      <c r="K8" s="16" t="str">
        <f>'Option1 (base case)'!K8</f>
        <v>2028-29</v>
      </c>
      <c r="L8" s="16" t="str">
        <f>'Option1 (base case)'!L8</f>
        <v>2029-30</v>
      </c>
      <c r="M8" s="16" t="str">
        <f>'Option1 (base case)'!M8</f>
        <v>2030-31</v>
      </c>
      <c r="N8" s="16" t="str">
        <f>'Option1 (base case)'!N8</f>
        <v>2031-32</v>
      </c>
      <c r="O8" s="16" t="str">
        <f>'Option1 (base case)'!O8</f>
        <v>2032-33</v>
      </c>
      <c r="P8" s="16" t="str">
        <f>'Option1 (base case)'!P8</f>
        <v>2033-34</v>
      </c>
      <c r="Q8" s="16" t="str">
        <f>'Option1 (base case)'!Q8</f>
        <v>2034-35</v>
      </c>
      <c r="R8" s="16" t="str">
        <f>'Option1 (base case)'!R8</f>
        <v>2035-36</v>
      </c>
      <c r="S8" s="16" t="str">
        <f>'Option1 (base case)'!S8</f>
        <v>2036-37</v>
      </c>
      <c r="T8" s="16" t="str">
        <f>'Option1 (base case)'!T8</f>
        <v>2037-38</v>
      </c>
      <c r="U8" s="16" t="str">
        <f>'Option1 (base case)'!U8</f>
        <v>2038-39</v>
      </c>
      <c r="V8" s="16" t="str">
        <f>'Option1 (base case)'!V8</f>
        <v>2039-40</v>
      </c>
      <c r="W8" s="16" t="str">
        <f>'Option1 (base case)'!W8</f>
        <v>2040-41</v>
      </c>
      <c r="X8" s="16" t="str">
        <f>'Option1 (base case)'!X8</f>
        <v>2041-42</v>
      </c>
      <c r="Y8" s="16" t="str">
        <f>'Option1 (base case)'!Y8</f>
        <v>2042-43</v>
      </c>
      <c r="Z8" s="16" t="str">
        <f>'Option1 (base case)'!Z8</f>
        <v>2043-44</v>
      </c>
      <c r="AA8" s="16" t="str">
        <f>'Option1 (base case)'!AA8</f>
        <v>2044-45</v>
      </c>
      <c r="AB8" s="16" t="str">
        <f>'Option1 (base case)'!AB8</f>
        <v>2045-46</v>
      </c>
      <c r="AC8" s="16" t="str">
        <f>'Option1 (base case)'!AC8</f>
        <v>2046-47</v>
      </c>
      <c r="AD8" s="16" t="str">
        <f>'Option1 (base case)'!AD8</f>
        <v>2047-48</v>
      </c>
      <c r="AE8" s="16" t="str">
        <f>'Option1 (base case)'!AE8</f>
        <v>2048-49</v>
      </c>
      <c r="AF8" s="16" t="str">
        <f>'Option1 (base case)'!AF8</f>
        <v>2049-50</v>
      </c>
      <c r="AG8" s="16" t="str">
        <f>'Option1 (base case)'!AG8</f>
        <v>2050-51</v>
      </c>
    </row>
    <row r="9" spans="1:43" ht="4.5" customHeight="1" x14ac:dyDescent="0.3">
      <c r="C9" s="3"/>
      <c r="D9" s="3"/>
      <c r="H9"/>
      <c r="I9"/>
      <c r="J9"/>
      <c r="K9"/>
      <c r="L9"/>
      <c r="M9"/>
      <c r="N9"/>
      <c r="O9"/>
      <c r="P9"/>
      <c r="Q9"/>
      <c r="R9"/>
      <c r="S9"/>
      <c r="T9"/>
      <c r="U9"/>
      <c r="V9"/>
      <c r="W9"/>
      <c r="X9"/>
      <c r="Y9"/>
      <c r="Z9"/>
      <c r="AA9"/>
      <c r="AB9"/>
      <c r="AC9"/>
      <c r="AD9"/>
      <c r="AE9"/>
      <c r="AF9"/>
      <c r="AG9"/>
    </row>
    <row r="10" spans="1:43" ht="14.5" x14ac:dyDescent="0.3">
      <c r="A10" s="78" t="s">
        <v>86</v>
      </c>
      <c r="B10" s="78"/>
      <c r="C10" s="79"/>
      <c r="D10" s="79"/>
      <c r="E10" s="79"/>
      <c r="F10" s="79"/>
      <c r="G10" s="16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row>
    <row r="11" spans="1:43" x14ac:dyDescent="0.3">
      <c r="A11" s="3"/>
      <c r="B11" s="3"/>
      <c r="C11" s="3"/>
      <c r="D11" s="3"/>
      <c r="G11" s="165"/>
    </row>
    <row r="12" spans="1:43" ht="13.5" x14ac:dyDescent="0.3">
      <c r="C12" s="3" t="s">
        <v>11</v>
      </c>
      <c r="D12"/>
      <c r="E12" s="107" t="s">
        <v>54</v>
      </c>
      <c r="G12" s="166"/>
      <c r="H12"/>
      <c r="I12"/>
      <c r="J12"/>
      <c r="K12"/>
      <c r="L12"/>
      <c r="M12"/>
      <c r="N12"/>
      <c r="O12"/>
      <c r="P12"/>
      <c r="Q12"/>
      <c r="R12"/>
      <c r="S12"/>
      <c r="T12"/>
      <c r="U12"/>
      <c r="V12"/>
      <c r="W12"/>
      <c r="X12"/>
      <c r="Y12"/>
      <c r="Z12"/>
      <c r="AA12"/>
      <c r="AB12"/>
      <c r="AC12"/>
      <c r="AD12"/>
      <c r="AE12"/>
      <c r="AF12"/>
      <c r="AG12"/>
      <c r="AH12"/>
      <c r="AI12"/>
      <c r="AJ12"/>
      <c r="AK12"/>
      <c r="AL12"/>
      <c r="AM12"/>
      <c r="AN12"/>
      <c r="AO12"/>
      <c r="AP12"/>
      <c r="AQ12"/>
    </row>
    <row r="13" spans="1:43" ht="13.5" x14ac:dyDescent="0.3">
      <c r="C13" s="55" t="s">
        <v>164</v>
      </c>
      <c r="D13"/>
      <c r="E13" s="124">
        <v>5</v>
      </c>
      <c r="G13" s="431">
        <f>input_dollars</f>
        <v>45473</v>
      </c>
      <c r="H13" s="125"/>
      <c r="I13" s="30">
        <f>'Cost summary'!J16</f>
        <v>8795042</v>
      </c>
      <c r="J13" s="30">
        <f>'Cost summary'!K16</f>
        <v>4074311</v>
      </c>
      <c r="K13" s="30">
        <f>'Cost summary'!L16</f>
        <v>1948696</v>
      </c>
      <c r="L13" s="30">
        <f>'Cost summary'!M16</f>
        <v>648390</v>
      </c>
      <c r="M13" s="30">
        <f>'Cost summary'!N16</f>
        <v>731457</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c r="AI13"/>
      <c r="AJ13"/>
      <c r="AK13"/>
      <c r="AL13"/>
      <c r="AM13"/>
      <c r="AN13"/>
      <c r="AO13"/>
      <c r="AP13"/>
      <c r="AQ13"/>
    </row>
    <row r="14" spans="1:43" ht="13.5" x14ac:dyDescent="0.3">
      <c r="C14" s="55" t="s">
        <v>247</v>
      </c>
      <c r="D14"/>
      <c r="E14" s="124">
        <v>5</v>
      </c>
      <c r="G14" s="431">
        <f>input_dollars</f>
        <v>45473</v>
      </c>
      <c r="H14" s="2"/>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c r="AI14"/>
      <c r="AJ14"/>
      <c r="AK14"/>
      <c r="AL14"/>
      <c r="AM14"/>
      <c r="AN14"/>
      <c r="AO14"/>
      <c r="AP14"/>
      <c r="AQ14"/>
    </row>
    <row r="15" spans="1:43" ht="13.5" x14ac:dyDescent="0.3">
      <c r="C15" s="55" t="s">
        <v>43</v>
      </c>
      <c r="D15"/>
      <c r="E15" s="124">
        <v>0</v>
      </c>
      <c r="G15" s="431">
        <f>input_dollars</f>
        <v>45473</v>
      </c>
      <c r="H15" s="2"/>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c r="AI15"/>
      <c r="AJ15"/>
      <c r="AK15"/>
      <c r="AL15"/>
      <c r="AM15"/>
      <c r="AN15"/>
      <c r="AO15"/>
      <c r="AP15"/>
      <c r="AQ15"/>
    </row>
    <row r="16" spans="1:43" ht="13.5" x14ac:dyDescent="0.3">
      <c r="C16" s="1" t="s">
        <v>18</v>
      </c>
      <c r="G16" s="431">
        <f>input_dollars</f>
        <v>45473</v>
      </c>
      <c r="H16" s="98"/>
      <c r="I16" s="97">
        <f t="shared" ref="I16:M16" si="0">SUM(I13:I15)</f>
        <v>8795042</v>
      </c>
      <c r="J16" s="97">
        <f t="shared" si="0"/>
        <v>4074311</v>
      </c>
      <c r="K16" s="97">
        <f t="shared" si="0"/>
        <v>1948696</v>
      </c>
      <c r="L16" s="97">
        <f t="shared" si="0"/>
        <v>648390</v>
      </c>
      <c r="M16" s="97">
        <f t="shared" si="0"/>
        <v>731457</v>
      </c>
      <c r="N16" s="97">
        <f t="shared" ref="N16:R16" si="1">SUM(N13:N15)</f>
        <v>0</v>
      </c>
      <c r="O16" s="97">
        <f t="shared" si="1"/>
        <v>0</v>
      </c>
      <c r="P16" s="97">
        <f t="shared" si="1"/>
        <v>0</v>
      </c>
      <c r="Q16" s="97">
        <f t="shared" si="1"/>
        <v>0</v>
      </c>
      <c r="R16" s="97">
        <f t="shared" si="1"/>
        <v>0</v>
      </c>
      <c r="S16" s="97">
        <f t="shared" ref="S16:AG16" si="2">SUM(S13:S15)</f>
        <v>0</v>
      </c>
      <c r="T16" s="97">
        <f t="shared" si="2"/>
        <v>0</v>
      </c>
      <c r="U16" s="97">
        <f t="shared" si="2"/>
        <v>0</v>
      </c>
      <c r="V16" s="97">
        <f t="shared" si="2"/>
        <v>0</v>
      </c>
      <c r="W16" s="97">
        <f t="shared" si="2"/>
        <v>0</v>
      </c>
      <c r="X16" s="97">
        <f t="shared" si="2"/>
        <v>0</v>
      </c>
      <c r="Y16" s="97">
        <f t="shared" si="2"/>
        <v>0</v>
      </c>
      <c r="Z16" s="97">
        <f t="shared" si="2"/>
        <v>0</v>
      </c>
      <c r="AA16" s="97">
        <f t="shared" si="2"/>
        <v>0</v>
      </c>
      <c r="AB16" s="97">
        <f t="shared" si="2"/>
        <v>0</v>
      </c>
      <c r="AC16" s="97">
        <f t="shared" si="2"/>
        <v>0</v>
      </c>
      <c r="AD16" s="97">
        <f t="shared" si="2"/>
        <v>0</v>
      </c>
      <c r="AE16" s="97">
        <f t="shared" si="2"/>
        <v>0</v>
      </c>
      <c r="AF16" s="97">
        <f t="shared" si="2"/>
        <v>0</v>
      </c>
      <c r="AG16" s="97">
        <f t="shared" si="2"/>
        <v>0</v>
      </c>
    </row>
    <row r="17" spans="1:43" ht="13.5" x14ac:dyDescent="0.3">
      <c r="C17"/>
      <c r="D17"/>
      <c r="E17"/>
      <c r="G17" s="436"/>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ht="13.5" x14ac:dyDescent="0.3">
      <c r="C18" s="1" t="s">
        <v>19</v>
      </c>
      <c r="D18"/>
      <c r="E18"/>
      <c r="F18" s="98"/>
      <c r="G18" s="431">
        <f>input_dollars</f>
        <v>45473</v>
      </c>
      <c r="H18" s="98"/>
      <c r="I18" s="30">
        <f>'Cost summary'!J23</f>
        <v>4279381.3524886696</v>
      </c>
      <c r="J18" s="30">
        <f>'Cost summary'!K23</f>
        <v>5067170.3782786215</v>
      </c>
      <c r="K18" s="30">
        <f>'Cost summary'!L23</f>
        <v>4516979.1134899883</v>
      </c>
      <c r="L18" s="30">
        <f>'Cost summary'!M23</f>
        <v>5041550.321789057</v>
      </c>
      <c r="M18" s="30">
        <f>'Cost summary'!N23</f>
        <v>5349647.6883170549</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row>
    <row r="19" spans="1:43" ht="13.5" x14ac:dyDescent="0.3">
      <c r="D19"/>
      <c r="E19"/>
      <c r="F19" s="98"/>
      <c r="G19" s="431"/>
      <c r="H19" s="98"/>
      <c r="I19" s="124"/>
      <c r="J19" s="124"/>
      <c r="K19" s="124"/>
      <c r="L19" s="124"/>
      <c r="M19" s="124"/>
      <c r="N19" s="124"/>
      <c r="O19" s="124"/>
      <c r="P19" s="124"/>
      <c r="Q19" s="124"/>
      <c r="R19" s="124"/>
      <c r="S19" s="124"/>
      <c r="T19" s="124"/>
      <c r="U19" s="124"/>
      <c r="V19" s="124"/>
      <c r="W19" s="124"/>
      <c r="X19" s="190"/>
      <c r="Y19" s="190"/>
      <c r="Z19" s="190"/>
      <c r="AA19" s="190"/>
      <c r="AB19" s="190"/>
      <c r="AC19" s="190"/>
      <c r="AD19" s="190"/>
      <c r="AE19" s="190"/>
      <c r="AF19" s="190"/>
      <c r="AG19" s="190"/>
    </row>
    <row r="20" spans="1:43" x14ac:dyDescent="0.3">
      <c r="G20" s="436"/>
    </row>
    <row r="21" spans="1:43" ht="14.5" x14ac:dyDescent="0.3">
      <c r="A21" s="78" t="s">
        <v>147</v>
      </c>
      <c r="B21" s="78"/>
      <c r="C21" s="78"/>
      <c r="D21" s="78"/>
      <c r="E21" s="78"/>
      <c r="F21" s="78"/>
      <c r="G21" s="437"/>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c r="AI21"/>
      <c r="AJ21"/>
      <c r="AK21"/>
      <c r="AL21"/>
      <c r="AM21"/>
      <c r="AN21"/>
      <c r="AO21"/>
      <c r="AP21"/>
      <c r="AQ21"/>
    </row>
    <row r="22" spans="1:43" ht="14.5" x14ac:dyDescent="0.3">
      <c r="A22" s="102"/>
      <c r="B22" s="102"/>
      <c r="C22" s="102" t="s">
        <v>157</v>
      </c>
      <c r="D22" s="102"/>
      <c r="E22" s="220">
        <f>'Option1 (base case)'!E22</f>
        <v>0</v>
      </c>
      <c r="F22" s="102"/>
      <c r="G22" s="434"/>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c r="AI22"/>
      <c r="AJ22"/>
      <c r="AK22"/>
      <c r="AL22"/>
      <c r="AM22"/>
      <c r="AN22"/>
      <c r="AO22"/>
      <c r="AP22"/>
      <c r="AQ22"/>
    </row>
    <row r="23" spans="1:43" x14ac:dyDescent="0.3">
      <c r="D23" s="165"/>
      <c r="G23" s="434"/>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row>
    <row r="24" spans="1:43" x14ac:dyDescent="0.3">
      <c r="C24" s="1" t="s">
        <v>149</v>
      </c>
      <c r="D24" s="165"/>
      <c r="G24" s="431">
        <f t="shared" ref="G24:G30" si="3">input_dollars</f>
        <v>45473</v>
      </c>
      <c r="I24" s="30">
        <f>SUM('Risk summary'!$L$12:$L$17)</f>
        <v>467462.39040058549</v>
      </c>
      <c r="J24" s="30">
        <f>I24</f>
        <v>467462.39040058549</v>
      </c>
      <c r="K24" s="30">
        <f t="shared" ref="K24:M24" si="4">J24</f>
        <v>467462.39040058549</v>
      </c>
      <c r="L24" s="30">
        <f t="shared" si="4"/>
        <v>467462.39040058549</v>
      </c>
      <c r="M24" s="30">
        <f t="shared" si="4"/>
        <v>467462.39040058549</v>
      </c>
      <c r="N24" s="30"/>
      <c r="O24" s="30"/>
      <c r="P24" s="30"/>
      <c r="Q24" s="30"/>
      <c r="R24" s="30"/>
      <c r="S24" s="30"/>
      <c r="T24" s="30"/>
      <c r="U24" s="30"/>
      <c r="V24" s="30"/>
      <c r="W24" s="30"/>
      <c r="X24" s="30"/>
      <c r="Y24" s="30"/>
      <c r="Z24" s="30"/>
      <c r="AA24" s="30"/>
      <c r="AB24" s="30"/>
      <c r="AC24" s="30">
        <v>0</v>
      </c>
      <c r="AD24" s="30">
        <v>0</v>
      </c>
      <c r="AE24" s="30">
        <v>0</v>
      </c>
      <c r="AF24" s="30">
        <v>0</v>
      </c>
      <c r="AG24" s="30">
        <v>0</v>
      </c>
    </row>
    <row r="25" spans="1:43" x14ac:dyDescent="0.3">
      <c r="C25" s="1" t="s">
        <v>150</v>
      </c>
      <c r="D25" s="165"/>
      <c r="G25" s="431">
        <f t="shared" si="3"/>
        <v>45473</v>
      </c>
      <c r="I25" s="30">
        <f>SUM('Risk summary'!$L$18:$L$25)</f>
        <v>745016.49690755212</v>
      </c>
      <c r="J25" s="30">
        <f t="shared" ref="J25:M30" si="5">I25</f>
        <v>745016.49690755212</v>
      </c>
      <c r="K25" s="30">
        <f t="shared" si="5"/>
        <v>745016.49690755212</v>
      </c>
      <c r="L25" s="30">
        <f t="shared" si="5"/>
        <v>745016.49690755212</v>
      </c>
      <c r="M25" s="30">
        <f t="shared" si="5"/>
        <v>745016.49690755212</v>
      </c>
      <c r="N25" s="30"/>
      <c r="O25" s="30"/>
      <c r="P25" s="30"/>
      <c r="Q25" s="30"/>
      <c r="R25" s="30"/>
      <c r="S25" s="30"/>
      <c r="T25" s="30"/>
      <c r="U25" s="30"/>
      <c r="V25" s="30"/>
      <c r="W25" s="30"/>
      <c r="X25" s="30"/>
      <c r="Y25" s="30"/>
      <c r="Z25" s="30"/>
      <c r="AA25" s="30"/>
      <c r="AB25" s="30"/>
      <c r="AC25" s="30">
        <v>0</v>
      </c>
      <c r="AD25" s="30">
        <v>0</v>
      </c>
      <c r="AE25" s="30">
        <v>0</v>
      </c>
      <c r="AF25" s="30">
        <v>0</v>
      </c>
      <c r="AG25" s="30">
        <v>0</v>
      </c>
    </row>
    <row r="26" spans="1:43" x14ac:dyDescent="0.3">
      <c r="C26" s="1" t="s">
        <v>151</v>
      </c>
      <c r="D26" s="165"/>
      <c r="G26" s="431">
        <f t="shared" si="3"/>
        <v>45473</v>
      </c>
      <c r="I26" s="30">
        <f>SUM('Risk summary'!$L$26:$L$27)</f>
        <v>0</v>
      </c>
      <c r="J26" s="30">
        <f t="shared" si="5"/>
        <v>0</v>
      </c>
      <c r="K26" s="30">
        <f t="shared" si="5"/>
        <v>0</v>
      </c>
      <c r="L26" s="30">
        <f t="shared" si="5"/>
        <v>0</v>
      </c>
      <c r="M26" s="30">
        <f t="shared" si="5"/>
        <v>0</v>
      </c>
      <c r="N26" s="30"/>
      <c r="O26" s="30"/>
      <c r="P26" s="30"/>
      <c r="Q26" s="30"/>
      <c r="R26" s="30"/>
      <c r="S26" s="30"/>
      <c r="T26" s="30"/>
      <c r="U26" s="30"/>
      <c r="V26" s="30"/>
      <c r="W26" s="30"/>
      <c r="X26" s="30"/>
      <c r="Y26" s="30"/>
      <c r="Z26" s="30"/>
      <c r="AA26" s="30"/>
      <c r="AB26" s="30"/>
      <c r="AC26" s="30">
        <v>0</v>
      </c>
      <c r="AD26" s="30">
        <v>0</v>
      </c>
      <c r="AE26" s="30">
        <v>0</v>
      </c>
      <c r="AF26" s="30">
        <v>0</v>
      </c>
      <c r="AG26" s="30">
        <v>0</v>
      </c>
    </row>
    <row r="27" spans="1:43" x14ac:dyDescent="0.3">
      <c r="C27" s="1" t="s">
        <v>152</v>
      </c>
      <c r="D27" s="165"/>
      <c r="G27" s="431">
        <f t="shared" si="3"/>
        <v>45473</v>
      </c>
      <c r="I27" s="30">
        <f>SUM('Risk summary'!$L$28:$L$30)</f>
        <v>0</v>
      </c>
      <c r="J27" s="30">
        <f t="shared" si="5"/>
        <v>0</v>
      </c>
      <c r="K27" s="30">
        <f t="shared" si="5"/>
        <v>0</v>
      </c>
      <c r="L27" s="30">
        <f t="shared" si="5"/>
        <v>0</v>
      </c>
      <c r="M27" s="30">
        <f t="shared" si="5"/>
        <v>0</v>
      </c>
      <c r="N27" s="30"/>
      <c r="O27" s="30"/>
      <c r="P27" s="30"/>
      <c r="Q27" s="30"/>
      <c r="R27" s="30"/>
      <c r="S27" s="30"/>
      <c r="T27" s="30"/>
      <c r="U27" s="30"/>
      <c r="V27" s="30"/>
      <c r="W27" s="30"/>
      <c r="X27" s="30"/>
      <c r="Y27" s="30"/>
      <c r="Z27" s="30"/>
      <c r="AA27" s="30"/>
      <c r="AB27" s="30"/>
      <c r="AC27" s="30">
        <v>0</v>
      </c>
      <c r="AD27" s="30">
        <v>0</v>
      </c>
      <c r="AE27" s="30">
        <v>0</v>
      </c>
      <c r="AF27" s="30">
        <v>0</v>
      </c>
      <c r="AG27" s="30">
        <v>0</v>
      </c>
    </row>
    <row r="28" spans="1:43" x14ac:dyDescent="0.3">
      <c r="C28" s="1" t="s">
        <v>153</v>
      </c>
      <c r="D28" s="165"/>
      <c r="G28" s="431">
        <f t="shared" si="3"/>
        <v>45473</v>
      </c>
      <c r="I28" s="30">
        <f>SUM('Risk summary'!$L$31:$L$32)</f>
        <v>0</v>
      </c>
      <c r="J28" s="30">
        <f t="shared" si="5"/>
        <v>0</v>
      </c>
      <c r="K28" s="30">
        <f t="shared" si="5"/>
        <v>0</v>
      </c>
      <c r="L28" s="30">
        <f t="shared" si="5"/>
        <v>0</v>
      </c>
      <c r="M28" s="30">
        <f t="shared" si="5"/>
        <v>0</v>
      </c>
      <c r="N28" s="30"/>
      <c r="O28" s="30"/>
      <c r="P28" s="30"/>
      <c r="Q28" s="30"/>
      <c r="R28" s="30"/>
      <c r="S28" s="30"/>
      <c r="T28" s="30"/>
      <c r="U28" s="30"/>
      <c r="V28" s="30"/>
      <c r="W28" s="30"/>
      <c r="X28" s="30"/>
      <c r="Y28" s="30"/>
      <c r="Z28" s="30"/>
      <c r="AA28" s="30"/>
      <c r="AB28" s="30"/>
      <c r="AC28" s="30">
        <v>0</v>
      </c>
      <c r="AD28" s="30">
        <v>0</v>
      </c>
      <c r="AE28" s="30">
        <v>0</v>
      </c>
      <c r="AF28" s="30">
        <v>0</v>
      </c>
      <c r="AG28" s="30">
        <v>0</v>
      </c>
    </row>
    <row r="29" spans="1:43" x14ac:dyDescent="0.3">
      <c r="C29" s="1" t="s">
        <v>154</v>
      </c>
      <c r="D29" s="165"/>
      <c r="G29" s="431">
        <f t="shared" si="3"/>
        <v>45473</v>
      </c>
      <c r="I29" s="30">
        <f>SUM('Risk summary'!$L$34:$L$37)</f>
        <v>5651977.7024866669</v>
      </c>
      <c r="J29" s="30">
        <f t="shared" si="5"/>
        <v>5651977.7024866669</v>
      </c>
      <c r="K29" s="30">
        <f t="shared" si="5"/>
        <v>5651977.7024866669</v>
      </c>
      <c r="L29" s="30">
        <f t="shared" si="5"/>
        <v>5651977.7024866669</v>
      </c>
      <c r="M29" s="30">
        <f t="shared" si="5"/>
        <v>5651977.7024866669</v>
      </c>
      <c r="N29" s="30"/>
      <c r="O29" s="30"/>
      <c r="P29" s="30"/>
      <c r="Q29" s="30"/>
      <c r="R29" s="30"/>
      <c r="S29" s="30"/>
      <c r="T29" s="30"/>
      <c r="U29" s="30"/>
      <c r="V29" s="30"/>
      <c r="W29" s="30"/>
      <c r="X29" s="30"/>
      <c r="Y29" s="30"/>
      <c r="Z29" s="30"/>
      <c r="AA29" s="30"/>
      <c r="AB29" s="30"/>
      <c r="AC29" s="30">
        <v>0</v>
      </c>
      <c r="AD29" s="30">
        <v>0</v>
      </c>
      <c r="AE29" s="30">
        <v>0</v>
      </c>
      <c r="AF29" s="30">
        <v>0</v>
      </c>
      <c r="AG29" s="30">
        <v>0</v>
      </c>
    </row>
    <row r="30" spans="1:43" x14ac:dyDescent="0.3">
      <c r="C30" s="1" t="s">
        <v>155</v>
      </c>
      <c r="D30" s="165"/>
      <c r="G30" s="431">
        <f t="shared" si="3"/>
        <v>45473</v>
      </c>
      <c r="I30" s="30">
        <f>SUM('Risk summary'!$L$38:$L$41)</f>
        <v>196184.58556865001</v>
      </c>
      <c r="J30" s="30">
        <f t="shared" si="5"/>
        <v>196184.58556865001</v>
      </c>
      <c r="K30" s="30">
        <f t="shared" si="5"/>
        <v>196184.58556865001</v>
      </c>
      <c r="L30" s="30">
        <f t="shared" si="5"/>
        <v>196184.58556865001</v>
      </c>
      <c r="M30" s="30">
        <f t="shared" si="5"/>
        <v>196184.58556865001</v>
      </c>
      <c r="N30" s="30"/>
      <c r="O30" s="30"/>
      <c r="P30" s="30"/>
      <c r="Q30" s="30"/>
      <c r="R30" s="30"/>
      <c r="S30" s="30"/>
      <c r="T30" s="30"/>
      <c r="U30" s="30"/>
      <c r="V30" s="30"/>
      <c r="W30" s="30"/>
      <c r="X30" s="30"/>
      <c r="Y30" s="30"/>
      <c r="Z30" s="30"/>
      <c r="AA30" s="30"/>
      <c r="AB30" s="30"/>
      <c r="AC30" s="30">
        <v>0</v>
      </c>
      <c r="AD30" s="30">
        <v>0</v>
      </c>
      <c r="AE30" s="30">
        <v>0</v>
      </c>
      <c r="AF30" s="30">
        <v>0</v>
      </c>
      <c r="AG30" s="30">
        <v>0</v>
      </c>
    </row>
    <row r="31" spans="1:43" x14ac:dyDescent="0.3">
      <c r="D31" s="165"/>
      <c r="G31" s="431"/>
    </row>
    <row r="32" spans="1:43" ht="13.5" x14ac:dyDescent="0.3">
      <c r="C32" s="3" t="s">
        <v>148</v>
      </c>
      <c r="D32" s="168"/>
      <c r="E32" s="98"/>
      <c r="F32" s="3"/>
      <c r="G32" s="431">
        <f>input_dollars</f>
        <v>45473</v>
      </c>
      <c r="H32" s="98"/>
      <c r="I32" s="133">
        <f>SUM(I24:I30)</f>
        <v>7060641.175363454</v>
      </c>
      <c r="J32" s="133">
        <f t="shared" ref="J32:AG32" si="6">SUM(J24:J30)</f>
        <v>7060641.175363454</v>
      </c>
      <c r="K32" s="133">
        <f t="shared" si="6"/>
        <v>7060641.175363454</v>
      </c>
      <c r="L32" s="133">
        <f t="shared" si="6"/>
        <v>7060641.175363454</v>
      </c>
      <c r="M32" s="133">
        <f t="shared" si="6"/>
        <v>7060641.175363454</v>
      </c>
      <c r="N32" s="133">
        <f t="shared" si="6"/>
        <v>0</v>
      </c>
      <c r="O32" s="133">
        <f t="shared" si="6"/>
        <v>0</v>
      </c>
      <c r="P32" s="133">
        <f t="shared" si="6"/>
        <v>0</v>
      </c>
      <c r="Q32" s="133">
        <f t="shared" si="6"/>
        <v>0</v>
      </c>
      <c r="R32" s="133">
        <f t="shared" si="6"/>
        <v>0</v>
      </c>
      <c r="S32" s="133">
        <f t="shared" si="6"/>
        <v>0</v>
      </c>
      <c r="T32" s="133">
        <f t="shared" si="6"/>
        <v>0</v>
      </c>
      <c r="U32" s="133">
        <f t="shared" si="6"/>
        <v>0</v>
      </c>
      <c r="V32" s="133">
        <f t="shared" si="6"/>
        <v>0</v>
      </c>
      <c r="W32" s="133">
        <f t="shared" si="6"/>
        <v>0</v>
      </c>
      <c r="X32" s="133">
        <f t="shared" si="6"/>
        <v>0</v>
      </c>
      <c r="Y32" s="133">
        <f t="shared" si="6"/>
        <v>0</v>
      </c>
      <c r="Z32" s="133">
        <f t="shared" si="6"/>
        <v>0</v>
      </c>
      <c r="AA32" s="133">
        <f t="shared" si="6"/>
        <v>0</v>
      </c>
      <c r="AB32" s="133">
        <f t="shared" si="6"/>
        <v>0</v>
      </c>
      <c r="AC32" s="133">
        <f t="shared" si="6"/>
        <v>0</v>
      </c>
      <c r="AD32" s="133">
        <f t="shared" si="6"/>
        <v>0</v>
      </c>
      <c r="AE32" s="133">
        <f t="shared" si="6"/>
        <v>0</v>
      </c>
      <c r="AF32" s="133">
        <f t="shared" si="6"/>
        <v>0</v>
      </c>
      <c r="AG32" s="133">
        <f t="shared" si="6"/>
        <v>0</v>
      </c>
    </row>
    <row r="33" spans="1:43" ht="13.5" x14ac:dyDescent="0.3">
      <c r="C33"/>
      <c r="D33"/>
      <c r="E33"/>
      <c r="G33" s="431"/>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4.5" x14ac:dyDescent="0.3">
      <c r="A34" s="78" t="s">
        <v>145</v>
      </c>
      <c r="B34" s="78"/>
      <c r="C34" s="78"/>
      <c r="D34" s="78"/>
      <c r="E34" s="78"/>
      <c r="F34" s="78"/>
      <c r="G34" s="43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c r="AI34"/>
      <c r="AJ34"/>
      <c r="AK34"/>
      <c r="AL34"/>
      <c r="AM34"/>
      <c r="AN34"/>
      <c r="AO34"/>
      <c r="AP34"/>
      <c r="AQ34"/>
    </row>
    <row r="35" spans="1:43" x14ac:dyDescent="0.3">
      <c r="D35" s="165"/>
      <c r="G35" s="431"/>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43" x14ac:dyDescent="0.3">
      <c r="D36" s="165"/>
      <c r="G36" s="432"/>
    </row>
    <row r="37" spans="1:43" ht="13.5" x14ac:dyDescent="0.3">
      <c r="C37" s="3" t="s">
        <v>156</v>
      </c>
      <c r="D37" s="168"/>
      <c r="E37" s="98"/>
      <c r="F37" s="3"/>
      <c r="G37" s="431">
        <f>input_dollars</f>
        <v>45473</v>
      </c>
      <c r="H37" s="98"/>
      <c r="I37" s="133">
        <f>IF(SUM($I32:$AG32)=0,0,'Option1 (base case)'!I32-I32)</f>
        <v>17777183.291038908</v>
      </c>
      <c r="J37" s="133">
        <f>IF(SUM($I32:$AG32)=0,0,'Option1 (base case)'!J32-J32)</f>
        <v>17777183.291038908</v>
      </c>
      <c r="K37" s="133">
        <f>IF(SUM($I32:$AG32)=0,0,'Option1 (base case)'!K32-K32)</f>
        <v>17777183.291038908</v>
      </c>
      <c r="L37" s="133">
        <f>IF(SUM($I32:$AG32)=0,0,'Option1 (base case)'!L32-L32)</f>
        <v>17777183.291038908</v>
      </c>
      <c r="M37" s="133">
        <f>IF(SUM($I32:$AG32)=0,0,'Option1 (base case)'!M32-M32)</f>
        <v>17777183.291038908</v>
      </c>
      <c r="N37" s="133">
        <f>IF(SUM($I32:$AG32)=0,0,'Option1 (base case)'!N32-N32)</f>
        <v>0</v>
      </c>
      <c r="O37" s="133">
        <f>IF(SUM($I32:$AG32)=0,0,'Option1 (base case)'!O32-O32)</f>
        <v>0</v>
      </c>
      <c r="P37" s="133">
        <f>IF(SUM($I32:$AG32)=0,0,'Option1 (base case)'!P32-P32)</f>
        <v>0</v>
      </c>
      <c r="Q37" s="133">
        <f>IF(SUM($I32:$AG32)=0,0,'Option1 (base case)'!Q32-Q32)</f>
        <v>0</v>
      </c>
      <c r="R37" s="133">
        <f>IF(SUM($I32:$AG32)=0,0,'Option1 (base case)'!R32-R32)</f>
        <v>0</v>
      </c>
      <c r="S37" s="133">
        <f>IF(SUM($I32:$AG32)=0,0,'Option1 (base case)'!S32-S32)</f>
        <v>0</v>
      </c>
      <c r="T37" s="133">
        <f>IF(SUM($I32:$AG32)=0,0,'Option1 (base case)'!T32-T32)</f>
        <v>0</v>
      </c>
      <c r="U37" s="133">
        <f>IF(SUM($I32:$AG32)=0,0,'Option1 (base case)'!U32-U32)</f>
        <v>0</v>
      </c>
      <c r="V37" s="133">
        <f>IF(SUM($I32:$AG32)=0,0,'Option1 (base case)'!V32-V32)</f>
        <v>0</v>
      </c>
      <c r="W37" s="133">
        <f>IF(SUM($I32:$AG32)=0,0,'Option1 (base case)'!W32-W32)</f>
        <v>0</v>
      </c>
      <c r="X37" s="133">
        <f>IF(SUM($I32:$AG32)=0,0,'Option1 (base case)'!X32-X32)</f>
        <v>0</v>
      </c>
      <c r="Y37" s="133">
        <f>IF(SUM($I32:$AG32)=0,0,'Option1 (base case)'!Y32-Y32)</f>
        <v>0</v>
      </c>
      <c r="Z37" s="133">
        <f>IF(SUM($I32:$AG32)=0,0,'Option1 (base case)'!Z32-Z32)</f>
        <v>0</v>
      </c>
      <c r="AA37" s="133">
        <f>IF(SUM($I32:$AG32)=0,0,'Option1 (base case)'!AA32-AA32)</f>
        <v>0</v>
      </c>
      <c r="AB37" s="133">
        <f>IF(SUM($I32:$AG32)=0,0,'Option1 (base case)'!AB32-AB32)</f>
        <v>0</v>
      </c>
      <c r="AC37" s="133">
        <f>IF(SUM($I32:$AG32)=0,0,'Option1 (base case)'!AC32-AC32)</f>
        <v>0</v>
      </c>
      <c r="AD37" s="133">
        <f>IF(SUM($I32:$AG32)=0,0,'Option1 (base case)'!AD32-AD32)</f>
        <v>0</v>
      </c>
      <c r="AE37" s="133">
        <f>IF(SUM($I32:$AG32)=0,0,'Option1 (base case)'!AE32-AE32)</f>
        <v>0</v>
      </c>
      <c r="AF37" s="133">
        <f>IF(SUM($I32:$AG32)=0,0,'Option1 (base case)'!AF32-AF32)</f>
        <v>0</v>
      </c>
      <c r="AG37" s="133">
        <f>IF(SUM($I32:$AG32)=0,0,'Option1 (base case)'!AG32-AG32)</f>
        <v>0</v>
      </c>
    </row>
    <row r="38" spans="1:43" x14ac:dyDescent="0.3">
      <c r="D38" s="165"/>
      <c r="G38" s="431"/>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row>
    <row r="39" spans="1:43" x14ac:dyDescent="0.3">
      <c r="C39" s="1" t="s">
        <v>165</v>
      </c>
      <c r="D39" s="165"/>
      <c r="G39" s="431">
        <f>input_dollars</f>
        <v>45473</v>
      </c>
      <c r="I39" s="30"/>
      <c r="J39" s="30"/>
      <c r="K39" s="30"/>
      <c r="L39" s="30"/>
      <c r="M39" s="30"/>
      <c r="N39" s="30"/>
      <c r="O39" s="30"/>
      <c r="P39" s="30"/>
      <c r="Q39" s="30"/>
      <c r="R39" s="30"/>
      <c r="S39" s="30"/>
      <c r="T39" s="30"/>
      <c r="U39" s="30"/>
      <c r="V39" s="30"/>
      <c r="W39" s="30"/>
      <c r="X39" s="30"/>
      <c r="Y39" s="30"/>
      <c r="Z39" s="30"/>
      <c r="AA39" s="30"/>
      <c r="AB39" s="30"/>
      <c r="AC39" s="30">
        <v>0</v>
      </c>
      <c r="AD39" s="30">
        <v>0</v>
      </c>
      <c r="AE39" s="30">
        <v>0</v>
      </c>
      <c r="AF39" s="30">
        <v>0</v>
      </c>
      <c r="AG39" s="30">
        <v>0</v>
      </c>
    </row>
    <row r="40" spans="1:43" x14ac:dyDescent="0.3">
      <c r="C40" s="1" t="s">
        <v>166</v>
      </c>
      <c r="D40" s="165"/>
      <c r="G40" s="431">
        <f>input_dollars</f>
        <v>45473</v>
      </c>
      <c r="I40" s="30"/>
      <c r="J40" s="30"/>
      <c r="K40" s="30"/>
      <c r="L40" s="30"/>
      <c r="M40" s="30"/>
      <c r="N40" s="30"/>
      <c r="O40" s="30"/>
      <c r="P40" s="30"/>
      <c r="Q40" s="30"/>
      <c r="R40" s="30"/>
      <c r="S40" s="30"/>
      <c r="T40" s="30"/>
      <c r="U40" s="30"/>
      <c r="V40" s="30"/>
      <c r="W40" s="30"/>
      <c r="X40" s="30"/>
      <c r="Y40" s="30"/>
      <c r="Z40" s="30"/>
      <c r="AA40" s="30"/>
      <c r="AB40" s="30"/>
      <c r="AC40" s="30">
        <v>0</v>
      </c>
      <c r="AD40" s="30">
        <v>0</v>
      </c>
      <c r="AE40" s="30">
        <v>0</v>
      </c>
      <c r="AF40" s="30">
        <v>0</v>
      </c>
      <c r="AG40" s="30">
        <v>0</v>
      </c>
    </row>
    <row r="41" spans="1:43" x14ac:dyDescent="0.3">
      <c r="C41" s="1" t="s">
        <v>240</v>
      </c>
      <c r="D41" s="165"/>
      <c r="G41" s="431">
        <f>input_dollars</f>
        <v>45473</v>
      </c>
      <c r="I41" s="30"/>
      <c r="J41" s="30"/>
      <c r="K41" s="30"/>
      <c r="L41" s="30"/>
      <c r="M41" s="30"/>
      <c r="N41" s="30"/>
      <c r="O41" s="30"/>
      <c r="P41" s="30"/>
      <c r="Q41" s="30"/>
      <c r="R41" s="30"/>
      <c r="S41" s="30"/>
      <c r="T41" s="30"/>
      <c r="U41" s="30"/>
      <c r="V41" s="30"/>
      <c r="W41" s="30"/>
      <c r="X41" s="30"/>
      <c r="Y41" s="30"/>
      <c r="Z41" s="30"/>
      <c r="AA41" s="30"/>
      <c r="AB41" s="30"/>
      <c r="AC41" s="30">
        <v>0</v>
      </c>
      <c r="AD41" s="30">
        <v>0</v>
      </c>
      <c r="AE41" s="30">
        <v>0</v>
      </c>
      <c r="AF41" s="30">
        <v>0</v>
      </c>
      <c r="AG41" s="30">
        <v>0</v>
      </c>
    </row>
    <row r="42" spans="1:43" x14ac:dyDescent="0.3">
      <c r="D42" s="165"/>
      <c r="G42" s="432"/>
    </row>
    <row r="43" spans="1:43" ht="13.5" x14ac:dyDescent="0.3">
      <c r="C43" s="3" t="s">
        <v>89</v>
      </c>
      <c r="D43" s="168"/>
      <c r="E43" s="98"/>
      <c r="F43" s="3"/>
      <c r="G43" s="431">
        <f>input_dollars</f>
        <v>45473</v>
      </c>
      <c r="H43" s="98"/>
      <c r="I43" s="97">
        <f>SUM(I39:I41)</f>
        <v>0</v>
      </c>
      <c r="J43" s="97">
        <f t="shared" ref="J43:AG43" si="7">SUM(J39:J41)</f>
        <v>0</v>
      </c>
      <c r="K43" s="97">
        <f t="shared" si="7"/>
        <v>0</v>
      </c>
      <c r="L43" s="97">
        <f t="shared" si="7"/>
        <v>0</v>
      </c>
      <c r="M43" s="97">
        <f t="shared" si="7"/>
        <v>0</v>
      </c>
      <c r="N43" s="97">
        <f t="shared" si="7"/>
        <v>0</v>
      </c>
      <c r="O43" s="97">
        <f t="shared" si="7"/>
        <v>0</v>
      </c>
      <c r="P43" s="97">
        <f t="shared" si="7"/>
        <v>0</v>
      </c>
      <c r="Q43" s="97">
        <f t="shared" si="7"/>
        <v>0</v>
      </c>
      <c r="R43" s="97">
        <f t="shared" si="7"/>
        <v>0</v>
      </c>
      <c r="S43" s="97">
        <f t="shared" si="7"/>
        <v>0</v>
      </c>
      <c r="T43" s="97">
        <f t="shared" si="7"/>
        <v>0</v>
      </c>
      <c r="U43" s="97">
        <f t="shared" si="7"/>
        <v>0</v>
      </c>
      <c r="V43" s="97">
        <f t="shared" si="7"/>
        <v>0</v>
      </c>
      <c r="W43" s="97">
        <f t="shared" si="7"/>
        <v>0</v>
      </c>
      <c r="X43" s="97">
        <f t="shared" si="7"/>
        <v>0</v>
      </c>
      <c r="Y43" s="97">
        <f t="shared" si="7"/>
        <v>0</v>
      </c>
      <c r="Z43" s="97">
        <f t="shared" si="7"/>
        <v>0</v>
      </c>
      <c r="AA43" s="97">
        <f t="shared" si="7"/>
        <v>0</v>
      </c>
      <c r="AB43" s="97">
        <f t="shared" si="7"/>
        <v>0</v>
      </c>
      <c r="AC43" s="97">
        <f t="shared" si="7"/>
        <v>0</v>
      </c>
      <c r="AD43" s="97">
        <f t="shared" si="7"/>
        <v>0</v>
      </c>
      <c r="AE43" s="97">
        <f t="shared" si="7"/>
        <v>0</v>
      </c>
      <c r="AF43" s="97">
        <f t="shared" si="7"/>
        <v>0</v>
      </c>
      <c r="AG43" s="97">
        <f t="shared" si="7"/>
        <v>0</v>
      </c>
    </row>
    <row r="44" spans="1:43" x14ac:dyDescent="0.3">
      <c r="G44" s="431"/>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row>
    <row r="45" spans="1:43" ht="14.5" x14ac:dyDescent="0.3">
      <c r="A45" s="78" t="s">
        <v>9</v>
      </c>
      <c r="B45" s="78"/>
      <c r="C45" s="78"/>
      <c r="D45" s="78"/>
      <c r="E45" s="78"/>
      <c r="F45" s="78"/>
      <c r="G45" s="437"/>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c r="AI45"/>
      <c r="AJ45"/>
      <c r="AK45"/>
      <c r="AL45"/>
      <c r="AM45"/>
      <c r="AN45"/>
      <c r="AO45"/>
      <c r="AP45"/>
      <c r="AQ45"/>
    </row>
    <row r="46" spans="1:43" ht="14.5" x14ac:dyDescent="0.3">
      <c r="A46" s="102"/>
      <c r="B46" s="102"/>
      <c r="C46" s="102"/>
      <c r="D46" s="102"/>
      <c r="E46" s="102"/>
      <c r="F46" s="102"/>
      <c r="G46" s="434"/>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c r="AI46"/>
      <c r="AJ46"/>
      <c r="AK46"/>
      <c r="AL46"/>
      <c r="AM46"/>
      <c r="AN46"/>
      <c r="AO46"/>
      <c r="AP46"/>
      <c r="AQ46"/>
    </row>
    <row r="47" spans="1:43" ht="12.75" customHeight="1" x14ac:dyDescent="0.3">
      <c r="A47" s="102"/>
      <c r="B47" s="102"/>
      <c r="C47" s="102"/>
      <c r="D47" s="102"/>
      <c r="E47" s="102"/>
      <c r="F47"/>
      <c r="G47" s="434"/>
      <c r="H47" s="102"/>
      <c r="I47" s="102"/>
      <c r="J47" s="102"/>
      <c r="K47" s="102"/>
      <c r="L47" s="102"/>
      <c r="M47" s="102"/>
      <c r="N47" s="102"/>
      <c r="O47" s="102"/>
      <c r="P47" s="102"/>
      <c r="Q47" s="102"/>
      <c r="R47" s="102"/>
      <c r="S47" s="102"/>
      <c r="T47" s="102"/>
      <c r="U47" s="102"/>
      <c r="V47" s="102"/>
      <c r="W47" s="102"/>
      <c r="X47" s="102"/>
      <c r="Y47" s="102"/>
      <c r="Z47" s="102"/>
      <c r="AA47" s="102"/>
      <c r="AB47"/>
      <c r="AC47"/>
      <c r="AD47"/>
      <c r="AE47"/>
      <c r="AF47"/>
      <c r="AG47"/>
      <c r="AH47"/>
      <c r="AI47"/>
      <c r="AJ47"/>
      <c r="AK47"/>
      <c r="AL47"/>
      <c r="AM47"/>
      <c r="AN47"/>
      <c r="AO47"/>
    </row>
    <row r="48" spans="1:43" x14ac:dyDescent="0.3">
      <c r="C48" s="4"/>
      <c r="F48" s="2"/>
      <c r="G48" s="431"/>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row>
    <row r="49" spans="1:33" x14ac:dyDescent="0.3">
      <c r="C49" s="4" t="str">
        <f>'Option1 (base case)'!C49</f>
        <v>Risks mitigated vs base case</v>
      </c>
      <c r="G49" s="432">
        <f>input_dollars</f>
        <v>45473</v>
      </c>
      <c r="I49" s="110">
        <f>(1-INDEX(Data!$C$9:$C$12, MATCH($A$3, options,0)))*-I37</f>
        <v>-17777183.291038908</v>
      </c>
      <c r="J49" s="110">
        <f>(1-INDEX(Data!$C$9:$C$12, MATCH($A$3, options,0)))*-J37</f>
        <v>-17777183.291038908</v>
      </c>
      <c r="K49" s="110">
        <f>(1-INDEX(Data!$C$9:$C$12, MATCH($A$3, options,0)))*-K37</f>
        <v>-17777183.291038908</v>
      </c>
      <c r="L49" s="110">
        <f>(1-INDEX(Data!$C$9:$C$12, MATCH($A$3, options,0)))*-L37</f>
        <v>-17777183.291038908</v>
      </c>
      <c r="M49" s="110">
        <f>(1-INDEX(Data!$C$9:$C$12, MATCH($A$3, options,0)))*-M37</f>
        <v>-17777183.291038908</v>
      </c>
      <c r="N49" s="110">
        <f>(1-INDEX(Data!$C$9:$C$12, MATCH($A$3, options,0)))*-N37</f>
        <v>0</v>
      </c>
      <c r="O49" s="110">
        <f>(1-INDEX(Data!$C$9:$C$12, MATCH($A$3, options,0)))*-O37</f>
        <v>0</v>
      </c>
      <c r="P49" s="110">
        <f>(1-INDEX(Data!$C$9:$C$12, MATCH($A$3, options,0)))*-P37</f>
        <v>0</v>
      </c>
      <c r="Q49" s="110">
        <f>(1-INDEX(Data!$C$9:$C$12, MATCH($A$3, options,0)))*-Q37</f>
        <v>0</v>
      </c>
      <c r="R49" s="110">
        <f>(1-INDEX(Data!$C$9:$C$12, MATCH($A$3, options,0)))*-R37</f>
        <v>0</v>
      </c>
      <c r="S49" s="110"/>
      <c r="T49" s="110"/>
      <c r="U49" s="110"/>
      <c r="V49" s="110"/>
      <c r="W49" s="110"/>
      <c r="X49" s="110"/>
      <c r="Y49" s="110"/>
      <c r="Z49" s="110"/>
      <c r="AA49" s="110"/>
      <c r="AB49" s="110"/>
      <c r="AC49" s="110"/>
      <c r="AD49" s="110"/>
      <c r="AE49" s="110"/>
      <c r="AF49" s="110"/>
      <c r="AG49" s="110"/>
    </row>
    <row r="50" spans="1:33" x14ac:dyDescent="0.3">
      <c r="G50" s="431"/>
    </row>
    <row r="51" spans="1:33" x14ac:dyDescent="0.3">
      <c r="A51" s="7"/>
      <c r="B51" s="7"/>
      <c r="C51" s="123" t="s">
        <v>18</v>
      </c>
      <c r="D51" s="35"/>
      <c r="F51" s="88"/>
      <c r="G51" s="435"/>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row>
    <row r="52" spans="1:33" x14ac:dyDescent="0.3">
      <c r="A52" s="7"/>
      <c r="B52" s="7"/>
      <c r="C52" s="4" t="str">
        <f>"Incremental "&amp;C13</f>
        <v>Incremental capex</v>
      </c>
      <c r="D52" s="35"/>
      <c r="F52" s="88"/>
      <c r="G52" s="432">
        <f>input_dollars</f>
        <v>45473</v>
      </c>
      <c r="H52" s="29"/>
      <c r="I52" s="29">
        <f>IF(SUM($I13:$AG13)=0,0,-I13-'Option1 (base case)'!I52)</f>
        <v>-1012388</v>
      </c>
      <c r="J52" s="29">
        <f>IF(SUM($I13:$AG13)=0,0,-J13-'Option1 (base case)'!J52)</f>
        <v>-995017</v>
      </c>
      <c r="K52" s="29">
        <f>IF(SUM($I13:$AG13)=0,0,-K13-'Option1 (base case)'!K52)</f>
        <v>2398236</v>
      </c>
      <c r="L52" s="29">
        <f>IF(SUM($I13:$AG13)=0,0,-L13-'Option1 (base case)'!L52)</f>
        <v>1360208</v>
      </c>
      <c r="M52" s="29">
        <f>IF(SUM($I13:$AG13)=0,0,-M13-'Option1 (base case)'!M52)</f>
        <v>1277141</v>
      </c>
      <c r="N52" s="29">
        <f>IF(SUM($I13:$AG13)=0,0,-N13-'Option1 (base case)'!N52)</f>
        <v>0</v>
      </c>
      <c r="O52" s="29">
        <f>IF(SUM($I13:$AG13)=0,0,-O13-'Option1 (base case)'!O52)</f>
        <v>0</v>
      </c>
      <c r="P52" s="29">
        <f>IF(SUM($I13:$AG13)=0,0,-P13-'Option1 (base case)'!P52)</f>
        <v>0</v>
      </c>
      <c r="Q52" s="29">
        <f>IF(SUM($I13:$AG13)=0,0,-Q13-'Option1 (base case)'!Q52)</f>
        <v>0</v>
      </c>
      <c r="R52" s="29">
        <f>IF(SUM($I13:$AG13)=0,0,-R13-'Option1 (base case)'!R52)</f>
        <v>0</v>
      </c>
      <c r="S52" s="29"/>
      <c r="T52" s="29"/>
      <c r="U52" s="29"/>
      <c r="V52" s="29"/>
      <c r="W52" s="29"/>
      <c r="X52" s="29"/>
      <c r="Y52" s="29"/>
      <c r="Z52" s="29"/>
      <c r="AA52" s="29"/>
      <c r="AB52" s="29"/>
      <c r="AC52" s="29"/>
      <c r="AD52" s="29"/>
      <c r="AE52" s="29"/>
      <c r="AF52" s="29"/>
      <c r="AG52" s="29"/>
    </row>
    <row r="53" spans="1:33" x14ac:dyDescent="0.3">
      <c r="A53" s="7"/>
      <c r="B53" s="7"/>
      <c r="C53" s="4" t="str">
        <f>C14</f>
        <v>ongoing capex</v>
      </c>
      <c r="D53" s="35"/>
      <c r="F53" s="88"/>
      <c r="G53" s="432">
        <f>input_dollars</f>
        <v>45473</v>
      </c>
      <c r="H53" s="29"/>
      <c r="I53" s="29">
        <f>-I14-'Option1 (base case)'!I53</f>
        <v>0</v>
      </c>
      <c r="J53" s="29">
        <f>-J14-'Option1 (base case)'!J53</f>
        <v>0</v>
      </c>
      <c r="K53" s="29">
        <f>-K14-'Option1 (base case)'!K53</f>
        <v>0</v>
      </c>
      <c r="L53" s="29">
        <f>-L14-'Option1 (base case)'!L53</f>
        <v>0</v>
      </c>
      <c r="M53" s="29">
        <f>-M14-'Option1 (base case)'!M53</f>
        <v>0</v>
      </c>
      <c r="N53" s="29">
        <f>-N14-'Option1 (base case)'!N53</f>
        <v>0</v>
      </c>
      <c r="O53" s="29">
        <f>-O14-'Option1 (base case)'!O53</f>
        <v>0</v>
      </c>
      <c r="P53" s="29">
        <f>-P14-'Option1 (base case)'!P53</f>
        <v>0</v>
      </c>
      <c r="Q53" s="29">
        <f>-Q14-'Option1 (base case)'!Q53</f>
        <v>0</v>
      </c>
      <c r="R53" s="29">
        <f>-R14-'Option1 (base case)'!R53</f>
        <v>0</v>
      </c>
      <c r="S53" s="29"/>
      <c r="T53" s="29"/>
      <c r="U53" s="29"/>
      <c r="V53" s="29"/>
      <c r="W53" s="29"/>
      <c r="X53" s="29"/>
      <c r="Y53" s="29"/>
      <c r="Z53" s="29"/>
      <c r="AA53" s="29"/>
      <c r="AB53" s="29"/>
      <c r="AC53" s="29"/>
      <c r="AD53" s="29"/>
      <c r="AE53" s="29"/>
      <c r="AF53" s="29"/>
      <c r="AG53" s="29"/>
    </row>
    <row r="54" spans="1:33" x14ac:dyDescent="0.3">
      <c r="A54" s="7"/>
      <c r="B54" s="7"/>
      <c r="C54" s="4" t="str">
        <f>C15</f>
        <v>&lt; Enter description &gt;</v>
      </c>
      <c r="D54" s="35"/>
      <c r="F54" s="88"/>
      <c r="G54" s="432">
        <f>input_dollars</f>
        <v>45473</v>
      </c>
      <c r="H54" s="29"/>
      <c r="I54" s="29">
        <f t="shared" ref="I54:M54" si="8">-I15</f>
        <v>0</v>
      </c>
      <c r="J54" s="29">
        <f t="shared" si="8"/>
        <v>0</v>
      </c>
      <c r="K54" s="29">
        <f t="shared" si="8"/>
        <v>0</v>
      </c>
      <c r="L54" s="29">
        <f t="shared" si="8"/>
        <v>0</v>
      </c>
      <c r="M54" s="29">
        <f t="shared" si="8"/>
        <v>0</v>
      </c>
      <c r="N54" s="29">
        <f t="shared" ref="N54:R54" si="9">-N15</f>
        <v>0</v>
      </c>
      <c r="O54" s="29">
        <f t="shared" si="9"/>
        <v>0</v>
      </c>
      <c r="P54" s="29">
        <f t="shared" si="9"/>
        <v>0</v>
      </c>
      <c r="Q54" s="29">
        <f t="shared" si="9"/>
        <v>0</v>
      </c>
      <c r="R54" s="29">
        <f t="shared" si="9"/>
        <v>0</v>
      </c>
      <c r="S54" s="29"/>
      <c r="T54" s="29"/>
      <c r="U54" s="29"/>
      <c r="V54" s="29"/>
      <c r="W54" s="29"/>
      <c r="X54" s="29"/>
      <c r="Y54" s="29"/>
      <c r="Z54" s="29"/>
      <c r="AA54" s="29"/>
      <c r="AB54" s="29"/>
      <c r="AC54" s="29"/>
      <c r="AD54" s="29"/>
      <c r="AE54" s="29"/>
      <c r="AF54" s="29"/>
      <c r="AG54" s="29"/>
    </row>
    <row r="55" spans="1:33" x14ac:dyDescent="0.3">
      <c r="A55" s="7"/>
      <c r="B55" s="7"/>
      <c r="C55" s="4"/>
      <c r="D55" s="35"/>
      <c r="F55" s="88"/>
      <c r="G55" s="432"/>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x14ac:dyDescent="0.3">
      <c r="A56" s="7"/>
      <c r="B56" s="7"/>
      <c r="C56" s="123" t="s">
        <v>110</v>
      </c>
      <c r="D56" s="35"/>
      <c r="F56" s="88"/>
      <c r="G56" s="435"/>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x14ac:dyDescent="0.3">
      <c r="A57" s="7"/>
      <c r="B57" s="7"/>
      <c r="C57" s="4" t="str">
        <f>"Incremental "&amp;C13</f>
        <v>Incremental capex</v>
      </c>
      <c r="D57" s="35"/>
      <c r="F57" s="88"/>
      <c r="G57" s="432">
        <f>input_dollars</f>
        <v>45473</v>
      </c>
      <c r="H57" s="29"/>
      <c r="I57" s="29" cm="1">
        <f t="array" ref="I57">SUMPRODUCT(($I52:I52))-SUMPRODUCT(($I52:I52)*($I$6:I$6&lt;=(I$6-$E13)))</f>
        <v>-1012388</v>
      </c>
      <c r="J57" s="29" cm="1">
        <f t="array" ref="J57">SUMPRODUCT(($I52:J52))-SUMPRODUCT(($I52:J52)*($I$6:J$6&lt;=(J$6-$E13)))</f>
        <v>-2007405</v>
      </c>
      <c r="K57" s="29" cm="1">
        <f t="array" ref="K57">SUMPRODUCT(($I52:K52))-SUMPRODUCT(($I52:K52)*($I$6:K$6&lt;=(K$6-$E13)))</f>
        <v>390831</v>
      </c>
      <c r="L57" s="29" cm="1">
        <f t="array" ref="L57">SUMPRODUCT(($I52:L52))-SUMPRODUCT(($I52:L52)*($I$6:L$6&lt;=(L$6-$E13)))</f>
        <v>1751039</v>
      </c>
      <c r="M57" s="29" cm="1">
        <f t="array" ref="M57">SUMPRODUCT(($I52:M52))-SUMPRODUCT(($I52:M52)*($I$6:M$6&lt;=(M$6-$E13)))</f>
        <v>3028180</v>
      </c>
      <c r="N57" s="29" cm="1">
        <f t="array" ref="N57">SUMPRODUCT(($I52:N52))-SUMPRODUCT(($I52:N52)*($I$6:N$6&lt;=(N$6-$E13)))</f>
        <v>4040568</v>
      </c>
      <c r="O57" s="29" cm="1">
        <f t="array" ref="O57">SUMPRODUCT(($I52:O52))-SUMPRODUCT(($I52:O52)*($I$6:O$6&lt;=(O$6-$E13)))</f>
        <v>5035585</v>
      </c>
      <c r="P57" s="29" cm="1">
        <f t="array" ref="P57">SUMPRODUCT(($I52:P52))-SUMPRODUCT(($I52:P52)*($I$6:P$6&lt;=(P$6-$E13)))</f>
        <v>2637349</v>
      </c>
      <c r="Q57" s="29" cm="1">
        <f t="array" ref="Q57">SUMPRODUCT(($I52:Q52))-SUMPRODUCT(($I52:Q52)*($I$6:Q$6&lt;=(Q$6-$E13)))</f>
        <v>1277141</v>
      </c>
      <c r="R57" s="29" cm="1">
        <f t="array" ref="R57">SUMPRODUCT(($I52:R52))-SUMPRODUCT(($I52:R52)*($I$6:R$6&lt;=(R$6-$E13)))</f>
        <v>0</v>
      </c>
      <c r="S57" s="29"/>
      <c r="T57" s="29"/>
      <c r="U57" s="29"/>
      <c r="V57" s="29"/>
      <c r="W57" s="29"/>
      <c r="X57" s="29"/>
      <c r="Y57" s="29"/>
      <c r="Z57" s="29"/>
      <c r="AA57" s="29"/>
      <c r="AB57" s="29"/>
      <c r="AC57" s="29"/>
      <c r="AD57" s="29"/>
      <c r="AE57" s="29"/>
      <c r="AF57" s="29"/>
      <c r="AG57" s="29"/>
    </row>
    <row r="58" spans="1:33" x14ac:dyDescent="0.3">
      <c r="A58" s="7"/>
      <c r="B58" s="7"/>
      <c r="C58" s="4" t="str">
        <f>C14</f>
        <v>ongoing capex</v>
      </c>
      <c r="D58" s="35"/>
      <c r="F58" s="88"/>
      <c r="G58" s="432">
        <f>input_dollars</f>
        <v>45473</v>
      </c>
      <c r="H58" s="29"/>
      <c r="I58" s="29" cm="1">
        <f t="array" ref="I58">SUMPRODUCT(($I53:I53))-SUMPRODUCT(($I53:I53)*($I$6:I$6&lt;=(I$6-$E14)))</f>
        <v>0</v>
      </c>
      <c r="J58" s="29" cm="1">
        <f t="array" ref="J58">SUMPRODUCT(($I53:J53))-SUMPRODUCT(($I53:J53)*($I$6:J$6&lt;=(J$6-$E14)))</f>
        <v>0</v>
      </c>
      <c r="K58" s="29" cm="1">
        <f t="array" ref="K58">SUMPRODUCT(($I53:K53))-SUMPRODUCT(($I53:K53)*($I$6:K$6&lt;=(K$6-$E14)))</f>
        <v>0</v>
      </c>
      <c r="L58" s="29" cm="1">
        <f t="array" ref="L58">SUMPRODUCT(($I53:L53))-SUMPRODUCT(($I53:L53)*($I$6:L$6&lt;=(L$6-$E14)))</f>
        <v>0</v>
      </c>
      <c r="M58" s="29" cm="1">
        <f t="array" ref="M58">SUMPRODUCT(($I53:M53))-SUMPRODUCT(($I53:M53)*($I$6:M$6&lt;=(M$6-$E14)))</f>
        <v>0</v>
      </c>
      <c r="N58" s="29" cm="1">
        <f t="array" ref="N58">SUMPRODUCT(($I53:N53))-SUMPRODUCT(($I53:N53)*($I$6:N$6&lt;=(N$6-$E14)))</f>
        <v>0</v>
      </c>
      <c r="O58" s="29" cm="1">
        <f t="array" ref="O58">SUMPRODUCT(($I53:O53))-SUMPRODUCT(($I53:O53)*($I$6:O$6&lt;=(O$6-$E14)))</f>
        <v>0</v>
      </c>
      <c r="P58" s="29" cm="1">
        <f t="array" ref="P58">SUMPRODUCT(($I53:P53))-SUMPRODUCT(($I53:P53)*($I$6:P$6&lt;=(P$6-$E14)))</f>
        <v>0</v>
      </c>
      <c r="Q58" s="29" cm="1">
        <f t="array" ref="Q58">SUMPRODUCT(($I53:Q53))-SUMPRODUCT(($I53:Q53)*($I$6:Q$6&lt;=(Q$6-$E14)))</f>
        <v>0</v>
      </c>
      <c r="R58" s="29" cm="1">
        <f t="array" ref="R58">SUMPRODUCT(($I53:R53))-SUMPRODUCT(($I53:R53)*($I$6:R$6&lt;=(R$6-$E14)))</f>
        <v>0</v>
      </c>
      <c r="S58" s="29"/>
      <c r="T58" s="29"/>
      <c r="U58" s="29"/>
      <c r="V58" s="29"/>
      <c r="W58" s="29"/>
      <c r="X58" s="29"/>
      <c r="Y58" s="29"/>
      <c r="Z58" s="29"/>
      <c r="AA58" s="29"/>
      <c r="AB58" s="29"/>
      <c r="AC58" s="29"/>
      <c r="AD58" s="29"/>
      <c r="AE58" s="29"/>
      <c r="AF58" s="29"/>
      <c r="AG58" s="29"/>
    </row>
    <row r="59" spans="1:33" x14ac:dyDescent="0.3">
      <c r="A59" s="7"/>
      <c r="B59" s="7"/>
      <c r="C59" s="4" t="str">
        <f>C15</f>
        <v>&lt; Enter description &gt;</v>
      </c>
      <c r="D59" s="35"/>
      <c r="F59" s="88"/>
      <c r="G59" s="432">
        <f>input_dollars</f>
        <v>45473</v>
      </c>
      <c r="H59" s="29"/>
      <c r="I59" s="29" cm="1">
        <f t="array" ref="I59">SUMPRODUCT(($I54:I54))-SUMPRODUCT(($I54:I54)*($I$6:I$6&lt;=(I$6-$E15)))</f>
        <v>0</v>
      </c>
      <c r="J59" s="29" cm="1">
        <f t="array" ref="J59">SUMPRODUCT(($I54:J54))-SUMPRODUCT(($I54:J54)*($I$6:J$6&lt;=(J$6-$E15)))</f>
        <v>0</v>
      </c>
      <c r="K59" s="29" cm="1">
        <f t="array" ref="K59">SUMPRODUCT(($I54:K54))-SUMPRODUCT(($I54:K54)*($I$6:K$6&lt;=(K$6-$E15)))</f>
        <v>0</v>
      </c>
      <c r="L59" s="29" cm="1">
        <f t="array" ref="L59">SUMPRODUCT(($I54:L54))-SUMPRODUCT(($I54:L54)*($I$6:L$6&lt;=(L$6-$E15)))</f>
        <v>0</v>
      </c>
      <c r="M59" s="29" cm="1">
        <f t="array" ref="M59">SUMPRODUCT(($I54:M54))-SUMPRODUCT(($I54:M54)*($I$6:M$6&lt;=(M$6-$E15)))</f>
        <v>0</v>
      </c>
      <c r="N59" s="29" cm="1">
        <f t="array" ref="N59">SUMPRODUCT(($I54:N54))-SUMPRODUCT(($I54:N54)*($I$6:N$6&lt;=(N$6-$E15)))</f>
        <v>0</v>
      </c>
      <c r="O59" s="29" cm="1">
        <f t="array" ref="O59">SUMPRODUCT(($I54:O54))-SUMPRODUCT(($I54:O54)*($I$6:O$6&lt;=(O$6-$E15)))</f>
        <v>0</v>
      </c>
      <c r="P59" s="29" cm="1">
        <f t="array" ref="P59">SUMPRODUCT(($I54:P54))-SUMPRODUCT(($I54:P54)*($I$6:P$6&lt;=(P$6-$E15)))</f>
        <v>0</v>
      </c>
      <c r="Q59" s="29" cm="1">
        <f t="array" ref="Q59">SUMPRODUCT(($I54:Q54))-SUMPRODUCT(($I54:Q54)*($I$6:Q$6&lt;=(Q$6-$E15)))</f>
        <v>0</v>
      </c>
      <c r="R59" s="29" cm="1">
        <f t="array" ref="R59">SUMPRODUCT(($I54:R54))-SUMPRODUCT(($I54:R54)*($I$6:R$6&lt;=(R$6-$E15)))</f>
        <v>0</v>
      </c>
      <c r="S59" s="29"/>
      <c r="T59" s="29"/>
      <c r="U59" s="29"/>
      <c r="V59" s="29"/>
      <c r="W59" s="29"/>
      <c r="X59" s="29"/>
      <c r="Y59" s="29"/>
      <c r="Z59" s="29"/>
      <c r="AA59" s="29"/>
      <c r="AB59" s="29"/>
      <c r="AC59" s="29"/>
      <c r="AD59" s="29"/>
      <c r="AE59" s="29"/>
      <c r="AF59" s="29"/>
      <c r="AG59" s="29"/>
    </row>
    <row r="60" spans="1:33" x14ac:dyDescent="0.3">
      <c r="A60" s="7"/>
      <c r="B60" s="7"/>
      <c r="C60" s="4"/>
      <c r="D60" s="35"/>
      <c r="F60" s="88"/>
      <c r="G60" s="432"/>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row>
    <row r="61" spans="1:33" x14ac:dyDescent="0.3">
      <c r="A61" s="7"/>
      <c r="B61" s="7"/>
      <c r="C61" s="123" t="s">
        <v>70</v>
      </c>
      <c r="D61" s="35"/>
      <c r="F61" s="88"/>
      <c r="G61" s="435"/>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row>
    <row r="62" spans="1:33" x14ac:dyDescent="0.3">
      <c r="A62" s="7"/>
      <c r="B62" s="7"/>
      <c r="C62" s="4" t="str">
        <f>$C$61&amp;" - Incremental "&amp;C13</f>
        <v>Annualised capex - Incremental capex</v>
      </c>
      <c r="D62" s="35"/>
      <c r="F62" s="88"/>
      <c r="G62" s="432">
        <f>input_dollars</f>
        <v>45473</v>
      </c>
      <c r="H62" s="29"/>
      <c r="I62" s="29">
        <f>IF($E13=0,0,-PMT(real_disc, $E13,I57,))</f>
        <v>-224225.08440878199</v>
      </c>
      <c r="J62" s="29">
        <f t="shared" ref="J62:R62" si="10">IF($E13=0,0,-PMT(real_disc, $E13,J57,))</f>
        <v>-444602.81588443456</v>
      </c>
      <c r="K62" s="29">
        <f t="shared" si="10"/>
        <v>86561.786552753154</v>
      </c>
      <c r="L62" s="29">
        <f t="shared" si="10"/>
        <v>387822.52217338525</v>
      </c>
      <c r="M62" s="29">
        <f t="shared" si="10"/>
        <v>670685.46456989343</v>
      </c>
      <c r="N62" s="29">
        <f t="shared" si="10"/>
        <v>894910.54897867539</v>
      </c>
      <c r="O62" s="29">
        <f t="shared" si="10"/>
        <v>1115288.2804543281</v>
      </c>
      <c r="P62" s="29">
        <f t="shared" si="10"/>
        <v>584123.67801714037</v>
      </c>
      <c r="Q62" s="29">
        <f t="shared" si="10"/>
        <v>282862.9423965083</v>
      </c>
      <c r="R62" s="29">
        <f t="shared" si="10"/>
        <v>0</v>
      </c>
      <c r="S62" s="29"/>
      <c r="T62" s="29"/>
      <c r="U62" s="29"/>
      <c r="V62" s="29"/>
      <c r="W62" s="29"/>
      <c r="X62" s="29"/>
      <c r="Y62" s="29"/>
      <c r="Z62" s="29"/>
      <c r="AA62" s="29"/>
      <c r="AB62" s="29"/>
      <c r="AC62" s="29"/>
      <c r="AD62" s="29"/>
      <c r="AE62" s="29"/>
      <c r="AF62" s="29"/>
      <c r="AG62" s="29"/>
    </row>
    <row r="63" spans="1:33" x14ac:dyDescent="0.3">
      <c r="A63" s="7"/>
      <c r="B63" s="7"/>
      <c r="C63" s="4" t="str">
        <f>$C$61&amp;" - "&amp;C14</f>
        <v>Annualised capex - ongoing capex</v>
      </c>
      <c r="D63" s="35"/>
      <c r="F63" s="88"/>
      <c r="G63" s="432">
        <f>input_dollars</f>
        <v>45473</v>
      </c>
      <c r="H63" s="29"/>
      <c r="I63" s="29">
        <f t="shared" ref="I63:R63" si="11">IF($E14=0,0,-PMT(real_disc, $E14,I58,))</f>
        <v>0</v>
      </c>
      <c r="J63" s="29">
        <f t="shared" si="11"/>
        <v>0</v>
      </c>
      <c r="K63" s="29">
        <f t="shared" si="11"/>
        <v>0</v>
      </c>
      <c r="L63" s="29">
        <f t="shared" si="11"/>
        <v>0</v>
      </c>
      <c r="M63" s="29">
        <f t="shared" si="11"/>
        <v>0</v>
      </c>
      <c r="N63" s="29">
        <f t="shared" si="11"/>
        <v>0</v>
      </c>
      <c r="O63" s="29">
        <f t="shared" si="11"/>
        <v>0</v>
      </c>
      <c r="P63" s="29">
        <f t="shared" si="11"/>
        <v>0</v>
      </c>
      <c r="Q63" s="29">
        <f t="shared" si="11"/>
        <v>0</v>
      </c>
      <c r="R63" s="29">
        <f t="shared" si="11"/>
        <v>0</v>
      </c>
      <c r="S63" s="29"/>
      <c r="T63" s="29"/>
      <c r="U63" s="29"/>
      <c r="V63" s="29"/>
      <c r="W63" s="29"/>
      <c r="X63" s="29"/>
      <c r="Y63" s="29"/>
      <c r="Z63" s="29"/>
      <c r="AA63" s="29"/>
      <c r="AB63" s="29"/>
      <c r="AC63" s="29"/>
      <c r="AD63" s="29"/>
      <c r="AE63" s="29"/>
      <c r="AF63" s="29"/>
      <c r="AG63" s="29"/>
    </row>
    <row r="64" spans="1:33" x14ac:dyDescent="0.3">
      <c r="A64" s="7"/>
      <c r="B64" s="7"/>
      <c r="C64" s="4" t="str">
        <f>$C$61&amp;" - "&amp;C15</f>
        <v>Annualised capex - &lt; Enter description &gt;</v>
      </c>
      <c r="D64" s="35"/>
      <c r="F64" s="88"/>
      <c r="G64" s="432">
        <f>input_dollars</f>
        <v>45473</v>
      </c>
      <c r="H64" s="29"/>
      <c r="I64" s="29">
        <f t="shared" ref="I64:R64" si="12">IF($E15=0,0,-PMT(real_disc, $E15,I59,))</f>
        <v>0</v>
      </c>
      <c r="J64" s="29">
        <f t="shared" si="12"/>
        <v>0</v>
      </c>
      <c r="K64" s="29">
        <f t="shared" si="12"/>
        <v>0</v>
      </c>
      <c r="L64" s="29">
        <f t="shared" si="12"/>
        <v>0</v>
      </c>
      <c r="M64" s="29">
        <f t="shared" si="12"/>
        <v>0</v>
      </c>
      <c r="N64" s="29">
        <f t="shared" si="12"/>
        <v>0</v>
      </c>
      <c r="O64" s="29">
        <f t="shared" si="12"/>
        <v>0</v>
      </c>
      <c r="P64" s="29">
        <f t="shared" si="12"/>
        <v>0</v>
      </c>
      <c r="Q64" s="29">
        <f t="shared" si="12"/>
        <v>0</v>
      </c>
      <c r="R64" s="29">
        <f t="shared" si="12"/>
        <v>0</v>
      </c>
      <c r="S64" s="29"/>
      <c r="T64" s="29"/>
      <c r="U64" s="29"/>
      <c r="V64" s="29"/>
      <c r="W64" s="29"/>
      <c r="X64" s="29"/>
      <c r="Y64" s="29"/>
      <c r="Z64" s="29"/>
      <c r="AA64" s="29"/>
      <c r="AB64" s="29"/>
      <c r="AC64" s="29"/>
      <c r="AD64" s="29"/>
      <c r="AE64" s="29"/>
      <c r="AF64" s="29"/>
      <c r="AG64" s="29"/>
    </row>
    <row r="65" spans="1:33" x14ac:dyDescent="0.3">
      <c r="A65" s="7"/>
      <c r="B65" s="7"/>
      <c r="C65" s="135" t="s">
        <v>111</v>
      </c>
      <c r="D65" s="135"/>
      <c r="E65" s="136"/>
      <c r="F65" s="137"/>
      <c r="G65" s="433">
        <f>input_dollars</f>
        <v>45473</v>
      </c>
      <c r="H65" s="138"/>
      <c r="I65" s="138">
        <f>SUM(I62:I64)</f>
        <v>-224225.08440878199</v>
      </c>
      <c r="J65" s="138">
        <f t="shared" ref="J65:R65" si="13">SUM(J62:J64)</f>
        <v>-444602.81588443456</v>
      </c>
      <c r="K65" s="138">
        <f t="shared" si="13"/>
        <v>86561.786552753154</v>
      </c>
      <c r="L65" s="138">
        <f t="shared" si="13"/>
        <v>387822.52217338525</v>
      </c>
      <c r="M65" s="138">
        <f t="shared" si="13"/>
        <v>670685.46456989343</v>
      </c>
      <c r="N65" s="138">
        <f t="shared" si="13"/>
        <v>894910.54897867539</v>
      </c>
      <c r="O65" s="138">
        <f t="shared" si="13"/>
        <v>1115288.2804543281</v>
      </c>
      <c r="P65" s="138">
        <f t="shared" si="13"/>
        <v>584123.67801714037</v>
      </c>
      <c r="Q65" s="138">
        <f t="shared" si="13"/>
        <v>282862.9423965083</v>
      </c>
      <c r="R65" s="138">
        <f t="shared" si="13"/>
        <v>0</v>
      </c>
      <c r="S65" s="138"/>
      <c r="T65" s="138"/>
      <c r="U65" s="138"/>
      <c r="V65" s="138"/>
      <c r="W65" s="138"/>
      <c r="X65" s="138"/>
      <c r="Y65" s="138"/>
      <c r="Z65" s="138"/>
      <c r="AA65" s="138"/>
      <c r="AB65" s="138"/>
      <c r="AC65" s="138"/>
      <c r="AD65" s="138"/>
      <c r="AE65" s="138"/>
      <c r="AF65" s="138"/>
      <c r="AG65" s="138"/>
    </row>
    <row r="66" spans="1:33" ht="13.5" x14ac:dyDescent="0.3">
      <c r="A66" s="7"/>
      <c r="B66" s="7"/>
      <c r="C66" s="13"/>
      <c r="D66" s="35"/>
      <c r="F66"/>
      <c r="G66" s="432"/>
      <c r="H66"/>
      <c r="I66"/>
      <c r="J66"/>
      <c r="K66"/>
      <c r="L66"/>
      <c r="M66"/>
      <c r="N66"/>
      <c r="O66"/>
      <c r="P66"/>
      <c r="Q66"/>
      <c r="R66"/>
      <c r="S66"/>
      <c r="T66"/>
      <c r="U66"/>
      <c r="V66"/>
      <c r="W66"/>
      <c r="X66"/>
      <c r="Y66"/>
      <c r="Z66"/>
      <c r="AA66"/>
      <c r="AB66"/>
      <c r="AC66"/>
      <c r="AD66"/>
      <c r="AE66"/>
      <c r="AF66"/>
      <c r="AG66"/>
    </row>
    <row r="67" spans="1:33" x14ac:dyDescent="0.3">
      <c r="A67" s="7"/>
      <c r="B67" s="7"/>
      <c r="C67" s="4" t="s">
        <v>161</v>
      </c>
      <c r="D67" s="35"/>
      <c r="F67" s="88"/>
      <c r="G67" s="432">
        <f t="shared" ref="G67:G72" si="14">input_dollars</f>
        <v>45473</v>
      </c>
      <c r="H67" s="29"/>
      <c r="I67" s="29">
        <f>I65</f>
        <v>-224225.08440878199</v>
      </c>
      <c r="J67" s="29">
        <f t="shared" ref="J67:R67" si="15">J65</f>
        <v>-444602.81588443456</v>
      </c>
      <c r="K67" s="29">
        <f t="shared" si="15"/>
        <v>86561.786552753154</v>
      </c>
      <c r="L67" s="29">
        <f t="shared" si="15"/>
        <v>387822.52217338525</v>
      </c>
      <c r="M67" s="29">
        <f t="shared" si="15"/>
        <v>670685.46456989343</v>
      </c>
      <c r="N67" s="29">
        <f t="shared" si="15"/>
        <v>894910.54897867539</v>
      </c>
      <c r="O67" s="29">
        <f t="shared" si="15"/>
        <v>1115288.2804543281</v>
      </c>
      <c r="P67" s="29">
        <f t="shared" si="15"/>
        <v>584123.67801714037</v>
      </c>
      <c r="Q67" s="29">
        <f t="shared" si="15"/>
        <v>282862.9423965083</v>
      </c>
      <c r="R67" s="29">
        <f t="shared" si="15"/>
        <v>0</v>
      </c>
      <c r="S67" s="29"/>
      <c r="T67" s="29"/>
      <c r="U67" s="29"/>
      <c r="V67" s="29"/>
      <c r="W67" s="29"/>
      <c r="X67" s="29"/>
      <c r="Y67" s="29"/>
      <c r="Z67" s="29"/>
      <c r="AA67" s="29"/>
      <c r="AB67" s="29"/>
      <c r="AC67" s="29"/>
      <c r="AD67" s="29"/>
      <c r="AE67" s="29"/>
      <c r="AF67" s="29"/>
      <c r="AG67" s="29"/>
    </row>
    <row r="68" spans="1:33" x14ac:dyDescent="0.3">
      <c r="A68" s="7"/>
      <c r="B68" s="7"/>
      <c r="C68" s="4" t="s">
        <v>163</v>
      </c>
      <c r="D68" s="35"/>
      <c r="F68" s="88"/>
      <c r="G68" s="432">
        <f t="shared" si="14"/>
        <v>45473</v>
      </c>
      <c r="H68" s="29"/>
      <c r="I68" s="29">
        <f>IF(SUM($I18:$AG18)=0,0,-I18-'Option1 (base case)'!I68)</f>
        <v>-4279381.3524886696</v>
      </c>
      <c r="J68" s="29">
        <f>IF(SUM($I18:$AG18)=0,0,-J18-'Option1 (base case)'!J68)</f>
        <v>-5067170.3782786215</v>
      </c>
      <c r="K68" s="29">
        <f>IF(SUM($I18:$AG18)=0,0,-K18-'Option1 (base case)'!K68)</f>
        <v>-4516979.1134899883</v>
      </c>
      <c r="L68" s="29">
        <f>IF(SUM($I18:$AG18)=0,0,-L18-'Option1 (base case)'!L68)</f>
        <v>-5041550.321789057</v>
      </c>
      <c r="M68" s="29">
        <f>IF(SUM($I18:$AG18)=0,0,-M18-'Option1 (base case)'!M68)</f>
        <v>-5349647.6883170549</v>
      </c>
      <c r="N68" s="29">
        <f>IF(SUM($I18:$AG18)=0,0,-N18-'Option1 (base case)'!N68)</f>
        <v>0</v>
      </c>
      <c r="O68" s="29">
        <f>IF(SUM($I18:$AG18)=0,0,-O18-'Option1 (base case)'!O68)</f>
        <v>0</v>
      </c>
      <c r="P68" s="29">
        <f>IF(SUM($I18:$AG18)=0,0,-P18-'Option1 (base case)'!P68)</f>
        <v>0</v>
      </c>
      <c r="Q68" s="29">
        <f>IF(SUM($I18:$AG18)=0,0,-Q18-'Option1 (base case)'!Q68)</f>
        <v>0</v>
      </c>
      <c r="R68" s="29">
        <f>IF(SUM($I18:$AG18)=0,0,-R18-'Option1 (base case)'!R68)</f>
        <v>0</v>
      </c>
      <c r="S68" s="29"/>
      <c r="T68" s="29"/>
      <c r="U68" s="29"/>
      <c r="V68" s="29"/>
      <c r="W68" s="29"/>
      <c r="X68" s="29"/>
      <c r="Y68" s="29"/>
      <c r="Z68" s="29"/>
      <c r="AA68" s="29"/>
      <c r="AB68" s="29"/>
      <c r="AC68" s="29"/>
      <c r="AD68" s="29"/>
      <c r="AE68" s="29"/>
      <c r="AF68" s="29"/>
      <c r="AG68" s="29"/>
    </row>
    <row r="69" spans="1:33" x14ac:dyDescent="0.3">
      <c r="A69" s="7"/>
      <c r="B69" s="7"/>
      <c r="C69" s="4" t="s">
        <v>100</v>
      </c>
      <c r="D69" s="35"/>
      <c r="F69" s="88"/>
      <c r="G69" s="432">
        <f t="shared" si="14"/>
        <v>45473</v>
      </c>
      <c r="H69" s="29"/>
      <c r="I69" s="29">
        <f>-I49</f>
        <v>17777183.291038908</v>
      </c>
      <c r="J69" s="29">
        <f t="shared" ref="J69:R69" si="16">-J49</f>
        <v>17777183.291038908</v>
      </c>
      <c r="K69" s="29">
        <f t="shared" si="16"/>
        <v>17777183.291038908</v>
      </c>
      <c r="L69" s="29">
        <f t="shared" si="16"/>
        <v>17777183.291038908</v>
      </c>
      <c r="M69" s="29">
        <f t="shared" si="16"/>
        <v>17777183.291038908</v>
      </c>
      <c r="N69" s="29">
        <f t="shared" si="16"/>
        <v>0</v>
      </c>
      <c r="O69" s="29">
        <f t="shared" si="16"/>
        <v>0</v>
      </c>
      <c r="P69" s="29">
        <f t="shared" si="16"/>
        <v>0</v>
      </c>
      <c r="Q69" s="29">
        <f t="shared" si="16"/>
        <v>0</v>
      </c>
      <c r="R69" s="29">
        <f t="shared" si="16"/>
        <v>0</v>
      </c>
      <c r="S69" s="29"/>
      <c r="T69" s="29"/>
      <c r="U69" s="29"/>
      <c r="V69" s="29"/>
      <c r="W69" s="29"/>
      <c r="X69" s="29"/>
      <c r="Y69" s="29"/>
      <c r="Z69" s="29"/>
      <c r="AA69" s="29"/>
      <c r="AB69" s="29"/>
      <c r="AC69" s="29"/>
      <c r="AD69" s="29"/>
      <c r="AE69" s="29"/>
      <c r="AF69" s="29"/>
      <c r="AG69" s="29"/>
    </row>
    <row r="70" spans="1:33" x14ac:dyDescent="0.3">
      <c r="A70" s="7"/>
      <c r="B70" s="7"/>
      <c r="C70" s="4" t="s">
        <v>88</v>
      </c>
      <c r="D70" s="35"/>
      <c r="F70" s="88"/>
      <c r="G70" s="432">
        <f t="shared" si="14"/>
        <v>45473</v>
      </c>
      <c r="H70" s="29"/>
      <c r="I70" s="29">
        <f>I43</f>
        <v>0</v>
      </c>
      <c r="J70" s="29">
        <f t="shared" ref="J70:R70" si="17">J43</f>
        <v>0</v>
      </c>
      <c r="K70" s="29">
        <f t="shared" si="17"/>
        <v>0</v>
      </c>
      <c r="L70" s="29">
        <f t="shared" si="17"/>
        <v>0</v>
      </c>
      <c r="M70" s="29">
        <f t="shared" si="17"/>
        <v>0</v>
      </c>
      <c r="N70" s="29">
        <f t="shared" si="17"/>
        <v>0</v>
      </c>
      <c r="O70" s="29">
        <f t="shared" si="17"/>
        <v>0</v>
      </c>
      <c r="P70" s="29">
        <f t="shared" si="17"/>
        <v>0</v>
      </c>
      <c r="Q70" s="29">
        <f t="shared" si="17"/>
        <v>0</v>
      </c>
      <c r="R70" s="29">
        <f t="shared" si="17"/>
        <v>0</v>
      </c>
      <c r="S70" s="29"/>
      <c r="T70" s="29"/>
      <c r="U70" s="29"/>
      <c r="V70" s="29"/>
      <c r="W70" s="29"/>
      <c r="X70" s="29"/>
      <c r="Y70" s="29"/>
      <c r="Z70" s="29"/>
      <c r="AA70" s="29"/>
      <c r="AB70" s="29"/>
      <c r="AC70" s="29"/>
      <c r="AD70" s="29"/>
      <c r="AE70" s="29"/>
      <c r="AF70" s="29"/>
      <c r="AG70" s="29"/>
    </row>
    <row r="71" spans="1:33" x14ac:dyDescent="0.3">
      <c r="A71" s="7"/>
      <c r="B71" s="7"/>
      <c r="C71" s="4"/>
      <c r="D71" s="35"/>
      <c r="F71" s="29"/>
      <c r="G71" s="432"/>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row>
    <row r="72" spans="1:33" x14ac:dyDescent="0.3">
      <c r="A72" s="7"/>
      <c r="B72" s="7"/>
      <c r="C72" s="139" t="s">
        <v>127</v>
      </c>
      <c r="D72" s="140"/>
      <c r="E72" s="136"/>
      <c r="F72" s="141"/>
      <c r="G72" s="433">
        <f t="shared" si="14"/>
        <v>45473</v>
      </c>
      <c r="H72" s="141"/>
      <c r="I72" s="141">
        <f>SUM(I67:I71)</f>
        <v>13273576.854141455</v>
      </c>
      <c r="J72" s="141">
        <f t="shared" ref="J72:R72" si="18">SUM(J67:J71)</f>
        <v>12265410.096875852</v>
      </c>
      <c r="K72" s="141">
        <f t="shared" si="18"/>
        <v>13346765.964101672</v>
      </c>
      <c r="L72" s="141">
        <f t="shared" si="18"/>
        <v>13123455.491423236</v>
      </c>
      <c r="M72" s="141">
        <f t="shared" si="18"/>
        <v>13098221.067291748</v>
      </c>
      <c r="N72" s="141">
        <f t="shared" si="18"/>
        <v>894910.54897867539</v>
      </c>
      <c r="O72" s="141">
        <f t="shared" si="18"/>
        <v>1115288.2804543281</v>
      </c>
      <c r="P72" s="141">
        <f t="shared" si="18"/>
        <v>584123.67801714037</v>
      </c>
      <c r="Q72" s="141">
        <f t="shared" si="18"/>
        <v>282862.9423965083</v>
      </c>
      <c r="R72" s="141">
        <f t="shared" si="18"/>
        <v>0</v>
      </c>
      <c r="S72" s="141"/>
      <c r="T72" s="141"/>
      <c r="U72" s="141"/>
      <c r="V72" s="141"/>
      <c r="W72" s="141"/>
      <c r="X72" s="141"/>
      <c r="Y72" s="141"/>
      <c r="Z72" s="141"/>
      <c r="AA72" s="141"/>
      <c r="AB72" s="141"/>
      <c r="AC72" s="141"/>
      <c r="AD72" s="141"/>
      <c r="AE72" s="141"/>
      <c r="AF72" s="141"/>
      <c r="AG72" s="141"/>
    </row>
    <row r="73" spans="1:33" x14ac:dyDescent="0.3">
      <c r="A73" s="7"/>
      <c r="B73" s="7"/>
      <c r="C73" s="13"/>
      <c r="D73" s="35"/>
      <c r="F73" s="119"/>
      <c r="G73" s="167"/>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1:33" x14ac:dyDescent="0.3">
      <c r="A74" s="7"/>
      <c r="B74" s="7"/>
      <c r="C74" s="13"/>
      <c r="D74" s="35"/>
      <c r="F74" s="119"/>
      <c r="G74" s="167"/>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1:33" x14ac:dyDescent="0.3">
      <c r="A75" s="7"/>
      <c r="B75" s="7"/>
      <c r="C75" s="180" t="s">
        <v>136</v>
      </c>
      <c r="D75" s="74"/>
      <c r="E75" s="181"/>
      <c r="F75" s="182"/>
      <c r="G75" s="183" cm="1">
        <f t="array" ref="G75">IF(SUM($I16:$AG16)=0,0,(INDEX(I$6:AG$6,MATCH(TRUE,INDEX($I16:$AG16&lt;&gt;0,),0))))</f>
        <v>1</v>
      </c>
      <c r="H75" s="7"/>
      <c r="I75" s="7"/>
      <c r="J75" s="7"/>
      <c r="K75" s="7"/>
      <c r="L75" s="7"/>
      <c r="M75" s="7"/>
      <c r="N75" s="7"/>
      <c r="O75" s="7"/>
      <c r="P75" s="7"/>
      <c r="Q75" s="7"/>
      <c r="R75" s="7"/>
      <c r="S75" s="7"/>
      <c r="T75" s="7"/>
      <c r="U75" s="7"/>
      <c r="V75" s="7"/>
      <c r="W75" s="7"/>
      <c r="X75" s="7"/>
      <c r="Y75" s="7"/>
      <c r="Z75" s="7"/>
      <c r="AA75" s="7"/>
      <c r="AB75" s="7"/>
      <c r="AC75" s="7"/>
      <c r="AD75" s="7"/>
      <c r="AE75" s="7"/>
      <c r="AF75" s="7"/>
      <c r="AG75" s="7"/>
    </row>
    <row r="76" spans="1:33" x14ac:dyDescent="0.3">
      <c r="A76" s="7"/>
      <c r="B76" s="7"/>
      <c r="C76" s="74" t="s">
        <v>135</v>
      </c>
      <c r="D76" s="184"/>
      <c r="E76" s="181"/>
      <c r="F76" s="182"/>
      <c r="G76" s="183" cm="1">
        <f t="array" ref="G76">IF(SUM($I18:$AG18)=0,0,(INDEX(I$6:AG$6,MATCH(TRUE,INDEX($I18:$AG18&lt;&gt;0,),0))))</f>
        <v>1</v>
      </c>
      <c r="H76" s="31"/>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1:33" x14ac:dyDescent="0.3">
      <c r="C77" s="185" t="s">
        <v>130</v>
      </c>
      <c r="D77" s="186"/>
      <c r="E77" s="186"/>
      <c r="F77" s="186"/>
      <c r="G77" s="187">
        <f>IF(_xlfn.MINIFS($G$75:$G$76, $G$75:$G$76, "&gt;"&amp;0)=0, $A$4, _xlfn.MINIFS($G$75:$G$76, $G$75:$G$76, "&gt;"&amp;0))</f>
        <v>1</v>
      </c>
    </row>
    <row r="79" spans="1:33" x14ac:dyDescent="0.3">
      <c r="G79" s="11"/>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row>
    <row r="80" spans="1:33" x14ac:dyDescent="0.3">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row>
    <row r="81" spans="9:33" x14ac:dyDescent="0.3">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row>
    <row r="83" spans="9:33" x14ac:dyDescent="0.3">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row>
    <row r="84" spans="9:33" x14ac:dyDescent="0.3">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9:33" x14ac:dyDescent="0.3">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row>
    <row r="86" spans="9:33" x14ac:dyDescent="0.3">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row>
  </sheetData>
  <conditionalFormatting sqref="E13:E15">
    <cfRule type="expression" dxfId="2" priority="1">
      <formula>AND(SUM($I13:$AB13)&lt;&gt;0, E13=0)</formula>
    </cfRule>
  </conditionalFormatting>
  <conditionalFormatting sqref="E22">
    <cfRule type="expression" dxfId="1" priority="2">
      <formula>AND(SUM($I22:$AB22)&lt;&gt;0, E22=0)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4" id="{0CEAA64B-F51B-4152-97A8-02EBDA2E2FAC}">
            <xm:f>$A$4=Data!$C$8</xm:f>
            <x14:dxf>
              <font>
                <color theme="0" tint="-0.499984740745262"/>
              </font>
            </x14:dxf>
          </x14:cfRule>
          <xm:sqref>C3 A4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C21" sqref="C21"/>
    </sheetView>
  </sheetViews>
  <sheetFormatPr defaultColWidth="9" defaultRowHeight="13.5" zeroHeight="1" x14ac:dyDescent="0.3"/>
  <cols>
    <col min="1" max="1" width="8.15234375" style="9" customWidth="1"/>
    <col min="2" max="2" width="5.4609375" style="9" customWidth="1"/>
    <col min="3" max="3" width="21.3828125" style="9" customWidth="1"/>
    <col min="4" max="4" width="12.3828125" style="9" customWidth="1"/>
    <col min="5" max="5" width="14.23046875" customWidth="1"/>
    <col min="6" max="6" width="12.3828125" style="9" customWidth="1"/>
    <col min="7" max="7" width="11.61328125" style="9" customWidth="1"/>
    <col min="8" max="8" width="6.84375" style="9" customWidth="1"/>
    <col min="9" max="33" width="11" style="9" customWidth="1"/>
    <col min="34" max="36" width="9" style="9" customWidth="1"/>
    <col min="37" max="16384" width="9" style="9"/>
  </cols>
  <sheetData>
    <row r="1" spans="1:33" s="7" customFormat="1" ht="18.5" x14ac:dyDescent="0.45">
      <c r="A1" s="14" t="str">
        <f>bus</f>
        <v>United Energy</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3" s="7" customFormat="1" ht="18.5" x14ac:dyDescent="0.45">
      <c r="A2" s="54" t="str">
        <f>proj</f>
        <v>Infrastructure refresh risk</v>
      </c>
      <c r="B2" s="5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3" s="2" customFormat="1" ht="18.5" x14ac:dyDescent="0.45">
      <c r="A3" s="163" t="s">
        <v>69</v>
      </c>
      <c r="B3" s="5"/>
      <c r="C3" s="32"/>
      <c r="D3" s="32"/>
      <c r="E3" s="32"/>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row>
    <row r="4" spans="1:33" s="2" customFormat="1" ht="6.75" customHeight="1" x14ac:dyDescent="0.3">
      <c r="A4" s="103"/>
      <c r="B4" s="103"/>
      <c r="C4" s="89"/>
      <c r="D4" s="89"/>
      <c r="E4" s="89"/>
      <c r="F4" s="89"/>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1:33" s="2" customFormat="1" ht="13" x14ac:dyDescent="0.3">
      <c r="A5" s="89" t="s">
        <v>131</v>
      </c>
      <c r="B5" s="89"/>
      <c r="C5" s="90"/>
      <c r="D5" s="89"/>
      <c r="E5" s="89"/>
      <c r="F5" s="89"/>
      <c r="G5" s="92"/>
      <c r="H5" s="149">
        <f t="shared" ref="H5:AG5" si="0">IF(H9=start,1,IF(G9=start,G5/((1+real_disc)^(1/2)),G5/(1+real_disc)))</f>
        <v>1</v>
      </c>
      <c r="I5" s="149">
        <f t="shared" si="0"/>
        <v>0.98294637436598087</v>
      </c>
      <c r="J5" s="149">
        <f t="shared" si="0"/>
        <v>0.94970664189949849</v>
      </c>
      <c r="K5" s="149">
        <f t="shared" si="0"/>
        <v>0.91759095835700344</v>
      </c>
      <c r="L5" s="149">
        <f t="shared" si="0"/>
        <v>0.88656131242222558</v>
      </c>
      <c r="M5" s="149">
        <f t="shared" si="0"/>
        <v>0.85658097818572532</v>
      </c>
      <c r="N5" s="149">
        <f t="shared" si="0"/>
        <v>0.8276144716770294</v>
      </c>
      <c r="O5" s="149">
        <f t="shared" si="0"/>
        <v>0.79962750886669509</v>
      </c>
      <c r="P5" s="149">
        <f t="shared" si="0"/>
        <v>0.77258696508859437</v>
      </c>
      <c r="Q5" s="149">
        <f t="shared" si="0"/>
        <v>0.74646083583439071</v>
      </c>
      <c r="R5" s="149">
        <f t="shared" si="0"/>
        <v>0.72121819887380756</v>
      </c>
      <c r="S5" s="149">
        <f t="shared" si="0"/>
        <v>0.69682917765585273</v>
      </c>
      <c r="T5" s="149">
        <f t="shared" si="0"/>
        <v>0.67326490594768384</v>
      </c>
      <c r="U5" s="149">
        <f t="shared" si="0"/>
        <v>0.6504974936692598</v>
      </c>
      <c r="V5" s="149">
        <f t="shared" si="0"/>
        <v>0.62849999388334288</v>
      </c>
      <c r="W5" s="149">
        <f t="shared" si="0"/>
        <v>0.60724637090178057</v>
      </c>
      <c r="X5" s="149">
        <f t="shared" si="0"/>
        <v>0.58671146947031949</v>
      </c>
      <c r="Y5" s="149">
        <f t="shared" si="0"/>
        <v>0.56687098499547783</v>
      </c>
      <c r="Z5" s="149">
        <f t="shared" si="0"/>
        <v>0.54770143477823952</v>
      </c>
      <c r="AA5" s="149">
        <f t="shared" si="0"/>
        <v>0.52918013022052135</v>
      </c>
      <c r="AB5" s="149">
        <f t="shared" si="0"/>
        <v>0.5112851499715183</v>
      </c>
      <c r="AC5" s="149">
        <f t="shared" si="0"/>
        <v>0.4939953139821433</v>
      </c>
      <c r="AD5" s="149">
        <f t="shared" si="0"/>
        <v>0.47729015843685346</v>
      </c>
      <c r="AE5" s="149">
        <f t="shared" si="0"/>
        <v>0.46114991153319179</v>
      </c>
      <c r="AF5" s="149">
        <f t="shared" si="0"/>
        <v>0.4455554700803786</v>
      </c>
      <c r="AG5" s="149">
        <f t="shared" si="0"/>
        <v>0.43048837688925473</v>
      </c>
    </row>
    <row r="6" spans="1:33" s="2" customFormat="1" ht="13" x14ac:dyDescent="0.3">
      <c r="A6" s="150" t="str">
        <f>'Option1 (base case)'!A6</f>
        <v>Count</v>
      </c>
      <c r="B6" s="89"/>
      <c r="C6" s="90"/>
      <c r="D6" s="89"/>
      <c r="E6" s="89"/>
      <c r="F6" s="89"/>
      <c r="G6" s="92"/>
      <c r="H6" s="150">
        <f>'Option1 (base case)'!H6</f>
        <v>0</v>
      </c>
      <c r="I6" s="150">
        <f>'Option1 (base case)'!I6</f>
        <v>1</v>
      </c>
      <c r="J6" s="150">
        <f>'Option1 (base case)'!J6</f>
        <v>2</v>
      </c>
      <c r="K6" s="150">
        <f>'Option1 (base case)'!K6</f>
        <v>3</v>
      </c>
      <c r="L6" s="150">
        <f>'Option1 (base case)'!L6</f>
        <v>4</v>
      </c>
      <c r="M6" s="150">
        <f>'Option1 (base case)'!M6</f>
        <v>5</v>
      </c>
      <c r="N6" s="150">
        <f>'Option1 (base case)'!N6</f>
        <v>6</v>
      </c>
      <c r="O6" s="150">
        <f>'Option1 (base case)'!O6</f>
        <v>7</v>
      </c>
      <c r="P6" s="150">
        <f>'Option1 (base case)'!P6</f>
        <v>8</v>
      </c>
      <c r="Q6" s="150">
        <f>'Option1 (base case)'!Q6</f>
        <v>9</v>
      </c>
      <c r="R6" s="150">
        <f>'Option1 (base case)'!R6</f>
        <v>10</v>
      </c>
      <c r="S6" s="150">
        <f>'Option1 (base case)'!S6</f>
        <v>11</v>
      </c>
      <c r="T6" s="150">
        <f>'Option1 (base case)'!T6</f>
        <v>12</v>
      </c>
      <c r="U6" s="150">
        <f>'Option1 (base case)'!U6</f>
        <v>13</v>
      </c>
      <c r="V6" s="150">
        <f>'Option1 (base case)'!V6</f>
        <v>14</v>
      </c>
      <c r="W6" s="150">
        <f>'Option1 (base case)'!W6</f>
        <v>15</v>
      </c>
      <c r="X6" s="150">
        <f>'Option1 (base case)'!X6</f>
        <v>16</v>
      </c>
      <c r="Y6" s="150">
        <f>'Option1 (base case)'!Y6</f>
        <v>17</v>
      </c>
      <c r="Z6" s="150">
        <f>'Option1 (base case)'!Z6</f>
        <v>18</v>
      </c>
      <c r="AA6" s="150">
        <f>'Option1 (base case)'!AA6</f>
        <v>19</v>
      </c>
      <c r="AB6" s="150">
        <f>'Option1 (base case)'!AB6</f>
        <v>20</v>
      </c>
      <c r="AC6" s="150">
        <f>'Option1 (base case)'!AC6</f>
        <v>21</v>
      </c>
      <c r="AD6" s="150">
        <f>'Option1 (base case)'!AD6</f>
        <v>22</v>
      </c>
      <c r="AE6" s="150">
        <f>'Option1 (base case)'!AE6</f>
        <v>23</v>
      </c>
      <c r="AF6" s="150">
        <f>'Option1 (base case)'!AF6</f>
        <v>24</v>
      </c>
      <c r="AG6" s="150">
        <f>'Option1 (base case)'!AG6</f>
        <v>25</v>
      </c>
    </row>
    <row r="7" spans="1:33" s="2" customFormat="1" ht="13" x14ac:dyDescent="0.3">
      <c r="A7" s="89" t="s">
        <v>132</v>
      </c>
      <c r="B7" s="89"/>
      <c r="C7" s="90"/>
      <c r="D7" s="89"/>
      <c r="E7" s="89"/>
      <c r="F7" s="89"/>
      <c r="G7" s="92"/>
      <c r="H7" s="92" t="b">
        <f>H$6&lt;(first_year+years)</f>
        <v>1</v>
      </c>
      <c r="I7" s="92" t="b">
        <f t="shared" ref="I7:AG7" si="1">I$6&lt;(first_year+years)</f>
        <v>1</v>
      </c>
      <c r="J7" s="92" t="b">
        <f t="shared" si="1"/>
        <v>1</v>
      </c>
      <c r="K7" s="92" t="b">
        <f t="shared" si="1"/>
        <v>1</v>
      </c>
      <c r="L7" s="92" t="b">
        <f t="shared" si="1"/>
        <v>1</v>
      </c>
      <c r="M7" s="92" t="b">
        <f t="shared" si="1"/>
        <v>1</v>
      </c>
      <c r="N7" s="92" t="b">
        <f t="shared" si="1"/>
        <v>0</v>
      </c>
      <c r="O7" s="92" t="b">
        <f t="shared" si="1"/>
        <v>0</v>
      </c>
      <c r="P7" s="92" t="b">
        <f t="shared" si="1"/>
        <v>0</v>
      </c>
      <c r="Q7" s="92" t="b">
        <f t="shared" si="1"/>
        <v>0</v>
      </c>
      <c r="R7" s="92" t="b">
        <f t="shared" si="1"/>
        <v>0</v>
      </c>
      <c r="S7" s="92" t="b">
        <f t="shared" si="1"/>
        <v>0</v>
      </c>
      <c r="T7" s="92" t="b">
        <f t="shared" si="1"/>
        <v>0</v>
      </c>
      <c r="U7" s="92" t="b">
        <f t="shared" si="1"/>
        <v>0</v>
      </c>
      <c r="V7" s="92" t="b">
        <f t="shared" si="1"/>
        <v>0</v>
      </c>
      <c r="W7" s="92" t="b">
        <f t="shared" si="1"/>
        <v>0</v>
      </c>
      <c r="X7" s="92" t="b">
        <f t="shared" si="1"/>
        <v>0</v>
      </c>
      <c r="Y7" s="92" t="b">
        <f t="shared" si="1"/>
        <v>0</v>
      </c>
      <c r="Z7" s="92" t="b">
        <f t="shared" si="1"/>
        <v>0</v>
      </c>
      <c r="AA7" s="92" t="b">
        <f t="shared" si="1"/>
        <v>0</v>
      </c>
      <c r="AB7" s="92" t="b">
        <f t="shared" si="1"/>
        <v>0</v>
      </c>
      <c r="AC7" s="92" t="b">
        <f t="shared" si="1"/>
        <v>0</v>
      </c>
      <c r="AD7" s="92" t="b">
        <f t="shared" si="1"/>
        <v>0</v>
      </c>
      <c r="AE7" s="92" t="b">
        <f t="shared" si="1"/>
        <v>0</v>
      </c>
      <c r="AF7" s="92" t="b">
        <f t="shared" si="1"/>
        <v>0</v>
      </c>
      <c r="AG7" s="92" t="b">
        <f t="shared" si="1"/>
        <v>0</v>
      </c>
    </row>
    <row r="8" spans="1:33" s="2" customFormat="1" ht="4.5" customHeight="1" x14ac:dyDescent="0.3"/>
    <row r="9" spans="1:33" s="2" customFormat="1" ht="14.5" x14ac:dyDescent="0.35">
      <c r="A9" s="18"/>
      <c r="B9" s="18"/>
      <c r="C9" s="18"/>
      <c r="D9" s="18"/>
      <c r="E9" s="75"/>
      <c r="F9" s="18"/>
      <c r="G9" s="19"/>
      <c r="H9" s="19" t="str">
        <f>'Option1 (base case)'!H8</f>
        <v>2025-26</v>
      </c>
      <c r="I9" s="19" t="str">
        <f>'Option1 (base case)'!I8</f>
        <v>2026-27</v>
      </c>
      <c r="J9" s="19" t="str">
        <f>'Option1 (base case)'!J8</f>
        <v>2027-28</v>
      </c>
      <c r="K9" s="19" t="str">
        <f>'Option1 (base case)'!K8</f>
        <v>2028-29</v>
      </c>
      <c r="L9" s="19" t="str">
        <f>'Option1 (base case)'!L8</f>
        <v>2029-30</v>
      </c>
      <c r="M9" s="19" t="str">
        <f>'Option1 (base case)'!M8</f>
        <v>2030-31</v>
      </c>
      <c r="N9" s="19" t="str">
        <f>'Option1 (base case)'!N8</f>
        <v>2031-32</v>
      </c>
      <c r="O9" s="19" t="str">
        <f>'Option1 (base case)'!O8</f>
        <v>2032-33</v>
      </c>
      <c r="P9" s="19" t="str">
        <f>'Option1 (base case)'!P8</f>
        <v>2033-34</v>
      </c>
      <c r="Q9" s="19" t="str">
        <f>'Option1 (base case)'!Q8</f>
        <v>2034-35</v>
      </c>
      <c r="R9" s="19" t="str">
        <f>'Option1 (base case)'!R8</f>
        <v>2035-36</v>
      </c>
      <c r="S9" s="19" t="str">
        <f>'Option1 (base case)'!S8</f>
        <v>2036-37</v>
      </c>
      <c r="T9" s="19" t="str">
        <f>'Option1 (base case)'!T8</f>
        <v>2037-38</v>
      </c>
      <c r="U9" s="19" t="str">
        <f>'Option1 (base case)'!U8</f>
        <v>2038-39</v>
      </c>
      <c r="V9" s="19" t="str">
        <f>'Option1 (base case)'!V8</f>
        <v>2039-40</v>
      </c>
      <c r="W9" s="19" t="str">
        <f>'Option1 (base case)'!W8</f>
        <v>2040-41</v>
      </c>
      <c r="X9" s="19" t="str">
        <f>'Option1 (base case)'!X8</f>
        <v>2041-42</v>
      </c>
      <c r="Y9" s="19" t="str">
        <f>'Option1 (base case)'!Y8</f>
        <v>2042-43</v>
      </c>
      <c r="Z9" s="19" t="str">
        <f>'Option1 (base case)'!Z8</f>
        <v>2043-44</v>
      </c>
      <c r="AA9" s="19" t="str">
        <f>'Option1 (base case)'!AA8</f>
        <v>2044-45</v>
      </c>
      <c r="AB9" s="19" t="str">
        <f>'Option1 (base case)'!AB8</f>
        <v>2045-46</v>
      </c>
      <c r="AC9" s="19" t="str">
        <f>'Option1 (base case)'!AC8</f>
        <v>2046-47</v>
      </c>
      <c r="AD9" s="19" t="str">
        <f>'Option1 (base case)'!AD8</f>
        <v>2047-48</v>
      </c>
      <c r="AE9" s="19" t="str">
        <f>'Option1 (base case)'!AE8</f>
        <v>2048-49</v>
      </c>
      <c r="AF9" s="19" t="str">
        <f>'Option1 (base case)'!AF8</f>
        <v>2049-50</v>
      </c>
      <c r="AG9" s="19" t="str">
        <f>'Option1 (base case)'!AG8</f>
        <v>2050-51</v>
      </c>
    </row>
    <row r="10" spans="1:33" s="2" customFormat="1" ht="13" x14ac:dyDescent="0.3">
      <c r="C10" s="8"/>
      <c r="D10" s="8"/>
      <c r="F10" s="8"/>
      <c r="G10" s="171"/>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s="2" customFormat="1" ht="14.5" x14ac:dyDescent="0.3">
      <c r="A11" s="78" t="s">
        <v>28</v>
      </c>
      <c r="B11" s="78"/>
      <c r="C11" s="79"/>
      <c r="D11" s="79"/>
      <c r="E11" s="79"/>
      <c r="F11" s="66" t="s">
        <v>109</v>
      </c>
      <c r="G11" s="172"/>
      <c r="H11" s="104" t="str" cm="1">
        <f t="array" ref="H11">IF(H6=$C$4,UPPER($A$4),IF(H6=end, "END", ""))</f>
        <v/>
      </c>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row>
    <row r="12" spans="1:33" s="2" customFormat="1" ht="13" x14ac:dyDescent="0.3">
      <c r="A12" s="8"/>
      <c r="B12" s="8"/>
      <c r="C12" s="8"/>
      <c r="D12" s="8"/>
      <c r="F12" s="8"/>
      <c r="G12" s="174"/>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33" s="2" customFormat="1" ht="13" x14ac:dyDescent="0.3">
      <c r="A13" s="105"/>
      <c r="B13" s="105"/>
      <c r="C13" s="105"/>
      <c r="D13" s="8"/>
      <c r="F13" s="8"/>
      <c r="G13" s="171"/>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s="2" customFormat="1" ht="13" x14ac:dyDescent="0.3">
      <c r="A14" s="105"/>
      <c r="B14" s="105"/>
      <c r="C14" s="105"/>
      <c r="D14" s="8"/>
      <c r="F14" s="8"/>
      <c r="G14" s="171"/>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row>
    <row r="15" spans="1:33" s="1" customFormat="1" ht="13" x14ac:dyDescent="0.3">
      <c r="A15" s="113" t="str">
        <f>Data!B9</f>
        <v>Option 1 (base case)</v>
      </c>
      <c r="B15" s="113"/>
      <c r="C15" s="105" t="s">
        <v>162</v>
      </c>
      <c r="D15" s="35" t="str">
        <f t="shared" ref="D15:D25" si="2">A15&amp;C15</f>
        <v>Option 1 (base case)Incremental capital expenditure</v>
      </c>
      <c r="F15" s="88">
        <f>SUMPRODUCT($H15:$AG15, $H$5:$AG$5)</f>
        <v>-18612949.954664387</v>
      </c>
      <c r="G15" s="175">
        <f>output_dollars</f>
        <v>46203</v>
      </c>
      <c r="H15" s="29"/>
      <c r="I15" s="29">
        <f>SUM('Option1 (base case)'!I$52:I$54)*conv_2026</f>
        <v>-8340787.0316099999</v>
      </c>
      <c r="J15" s="29">
        <f>SUM('Option1 (base case)'!J$52:J$54)</f>
        <v>-3079294</v>
      </c>
      <c r="K15" s="29">
        <f>SUM('Option1 (base case)'!K$52:K$54)</f>
        <v>-4346932</v>
      </c>
      <c r="L15" s="29">
        <f>SUM('Option1 (base case)'!L$52:L$54)</f>
        <v>-2008598</v>
      </c>
      <c r="M15" s="29">
        <f>SUM('Option1 (base case)'!M$52:M$54)</f>
        <v>-2008598</v>
      </c>
      <c r="N15" s="29">
        <f>SUM('Option1 (base case)'!N$52:N$54)</f>
        <v>0</v>
      </c>
      <c r="O15" s="29">
        <f>SUM('Option1 (base case)'!O$52:O$54)</f>
        <v>0</v>
      </c>
      <c r="P15" s="29">
        <f>SUM('Option1 (base case)'!P$52:P$54)</f>
        <v>0</v>
      </c>
      <c r="Q15" s="29">
        <f>SUM('Option1 (base case)'!Q$52:Q$54)</f>
        <v>0</v>
      </c>
      <c r="R15" s="29">
        <f>SUM('Option1 (base case)'!R$52:R$54)</f>
        <v>0</v>
      </c>
      <c r="S15" s="29">
        <f>SUM('Option1 (base case)'!S$52:S$54)</f>
        <v>0</v>
      </c>
      <c r="T15" s="29">
        <f>SUM('Option1 (base case)'!T$52:T$54)</f>
        <v>0</v>
      </c>
      <c r="U15" s="29">
        <f>SUM('Option1 (base case)'!U$52:U$54)</f>
        <v>0</v>
      </c>
      <c r="V15" s="29">
        <f>SUM('Option1 (base case)'!V$52:V$54)</f>
        <v>0</v>
      </c>
      <c r="W15" s="29">
        <f>SUM('Option1 (base case)'!W$52:W$54)</f>
        <v>0</v>
      </c>
      <c r="X15" s="29">
        <f>SUM('Option1 (base case)'!X$52:X$54)</f>
        <v>0</v>
      </c>
      <c r="Y15" s="29">
        <f>SUM('Option1 (base case)'!Y$52:Y$54)</f>
        <v>0</v>
      </c>
      <c r="Z15" s="29">
        <f>SUM('Option1 (base case)'!Z$52:Z$54)</f>
        <v>0</v>
      </c>
      <c r="AA15" s="29">
        <f>SUM('Option1 (base case)'!AA$52:AA$54)</f>
        <v>0</v>
      </c>
      <c r="AB15" s="29">
        <f>SUM('Option1 (base case)'!AB$52:AB$54)</f>
        <v>0</v>
      </c>
      <c r="AC15" s="29">
        <f>SUM('Option1 (base case)'!AC$52:AC$54)</f>
        <v>0</v>
      </c>
      <c r="AD15" s="29">
        <f>SUM('Option1 (base case)'!AD$52:AD$54)</f>
        <v>0</v>
      </c>
      <c r="AE15" s="29">
        <f>SUM('Option1 (base case)'!AE$52:AE$54)</f>
        <v>0</v>
      </c>
      <c r="AF15" s="29">
        <f>SUM('Option1 (base case)'!AF$52:AF$54)</f>
        <v>0</v>
      </c>
      <c r="AG15" s="29">
        <f>SUM('Option1 (base case)'!AG$52:AG$54)</f>
        <v>0</v>
      </c>
    </row>
    <row r="16" spans="1:33" s="1" customFormat="1" ht="13" x14ac:dyDescent="0.3">
      <c r="A16" s="113" t="str">
        <f t="shared" ref="A16:A25" si="3">A15</f>
        <v>Option 1 (base case)</v>
      </c>
      <c r="B16" s="113"/>
      <c r="C16" s="105" t="s">
        <v>120</v>
      </c>
      <c r="D16" s="35" t="str">
        <f t="shared" si="2"/>
        <v>Option 1 (base case)Total risk cost</v>
      </c>
      <c r="F16" s="99" cm="1">
        <f t="array" ref="F16">SUMPRODUCT(($H16:$AG16)*($H$5:$AG$5)*($H$7:$AG$7))</f>
        <v>122271666.15835156</v>
      </c>
      <c r="G16" s="175">
        <f>output_dollars</f>
        <v>46203</v>
      </c>
      <c r="H16" s="29"/>
      <c r="I16" s="29">
        <f>'Option1 (base case)'!I$32*conv_2026</f>
        <v>26619069.048010409</v>
      </c>
      <c r="J16" s="29">
        <f>'Option1 (base case)'!J$32*conv_2026</f>
        <v>26619069.048010409</v>
      </c>
      <c r="K16" s="29">
        <f>'Option1 (base case)'!K$32*conv_2026</f>
        <v>26619069.048010409</v>
      </c>
      <c r="L16" s="29">
        <f>'Option1 (base case)'!L$32*conv_2026</f>
        <v>26619069.048010409</v>
      </c>
      <c r="M16" s="29">
        <f>'Option1 (base case)'!M$32*conv_2026</f>
        <v>26619069.048010409</v>
      </c>
      <c r="N16" s="29">
        <f>'Option1 (base case)'!N$32*conv_2026</f>
        <v>0</v>
      </c>
      <c r="O16" s="29">
        <f>'Option1 (base case)'!O$32*conv_2026</f>
        <v>0</v>
      </c>
      <c r="P16" s="29">
        <f>'Option1 (base case)'!P$32*conv_2026</f>
        <v>0</v>
      </c>
      <c r="Q16" s="29">
        <f>'Option1 (base case)'!Q$32*conv_2026</f>
        <v>0</v>
      </c>
      <c r="R16" s="29">
        <f>'Option1 (base case)'!R$32*conv_2026</f>
        <v>0</v>
      </c>
      <c r="S16" s="29">
        <f>'Option1 (base case)'!S$32*conv_2026</f>
        <v>0</v>
      </c>
      <c r="T16" s="29">
        <f>'Option1 (base case)'!T$32*conv_2026</f>
        <v>0</v>
      </c>
      <c r="U16" s="29">
        <f>'Option1 (base case)'!U$32*conv_2026</f>
        <v>0</v>
      </c>
      <c r="V16" s="29">
        <f>'Option1 (base case)'!V$32*conv_2026</f>
        <v>0</v>
      </c>
      <c r="W16" s="29">
        <f>'Option1 (base case)'!W$32*conv_2026</f>
        <v>0</v>
      </c>
      <c r="X16" s="29">
        <f>'Option1 (base case)'!X$32*conv_2026</f>
        <v>0</v>
      </c>
      <c r="Y16" s="29">
        <f>'Option1 (base case)'!Y$32*conv_2026</f>
        <v>0</v>
      </c>
      <c r="Z16" s="29">
        <f>'Option1 (base case)'!Z$32*conv_2026</f>
        <v>0</v>
      </c>
      <c r="AA16" s="29">
        <f>'Option1 (base case)'!AA$32*conv_2026</f>
        <v>0</v>
      </c>
      <c r="AB16" s="29">
        <f>'Option1 (base case)'!AB$32*conv_2026</f>
        <v>0</v>
      </c>
      <c r="AC16" s="29">
        <f>'Option1 (base case)'!AC$32*conv_2026</f>
        <v>0</v>
      </c>
      <c r="AD16" s="29">
        <f>'Option1 (base case)'!AD$32*conv_2026</f>
        <v>0</v>
      </c>
      <c r="AE16" s="29">
        <f>'Option1 (base case)'!AE$32*conv_2026</f>
        <v>0</v>
      </c>
      <c r="AF16" s="29">
        <f>'Option1 (base case)'!AF$32*conv_2026</f>
        <v>0</v>
      </c>
      <c r="AG16" s="29">
        <f>'Option1 (base case)'!AG$32*conv_2026</f>
        <v>0</v>
      </c>
    </row>
    <row r="17" spans="1:33" s="1" customFormat="1" x14ac:dyDescent="0.3">
      <c r="A17" s="113" t="str">
        <f t="shared" si="3"/>
        <v>Option 1 (base case)</v>
      </c>
      <c r="B17" s="113"/>
      <c r="C17" s="13"/>
      <c r="D17" s="35" t="str">
        <f t="shared" si="2"/>
        <v>Option 1 (base case)</v>
      </c>
      <c r="F17"/>
      <c r="G17" s="176"/>
      <c r="H17"/>
      <c r="I17"/>
      <c r="J17"/>
      <c r="K17"/>
      <c r="L17"/>
      <c r="M17"/>
      <c r="N17"/>
      <c r="O17"/>
      <c r="P17"/>
      <c r="Q17"/>
      <c r="R17"/>
      <c r="S17"/>
      <c r="T17"/>
      <c r="U17"/>
      <c r="V17"/>
      <c r="W17"/>
      <c r="X17"/>
      <c r="Y17"/>
      <c r="Z17"/>
      <c r="AA17"/>
      <c r="AB17"/>
      <c r="AC17"/>
      <c r="AD17"/>
      <c r="AE17"/>
      <c r="AF17"/>
      <c r="AG17"/>
    </row>
    <row r="18" spans="1:33" s="1" customFormat="1" ht="13" x14ac:dyDescent="0.3">
      <c r="A18" s="113" t="str">
        <f t="shared" si="3"/>
        <v>Option 1 (base case)</v>
      </c>
      <c r="B18" s="113"/>
      <c r="C18" s="105" t="s">
        <v>161</v>
      </c>
      <c r="D18" s="35" t="str">
        <f t="shared" si="2"/>
        <v>Option 1 (base case)Annualised Incremental capex</v>
      </c>
      <c r="F18" s="88">
        <f>SUMPRODUCT($H18:$AG18, $H$5:$AG$5)</f>
        <v>-15109265.692550955</v>
      </c>
      <c r="G18" s="175">
        <f t="shared" ref="G18:G25" si="4">output_dollars</f>
        <v>46203</v>
      </c>
      <c r="H18" s="29"/>
      <c r="I18" s="29">
        <f>'Option1 (base case)'!I$67*conv_2026</f>
        <v>-1847328.9649802509</v>
      </c>
      <c r="J18" s="29">
        <f>'Option1 (base case)'!J$67*conv_2026</f>
        <v>-2578245.3076430364</v>
      </c>
      <c r="K18" s="29">
        <f>'Option1 (base case)'!K$67*conv_2026</f>
        <v>-3610054.4298781417</v>
      </c>
      <c r="L18" s="29">
        <f>'Option1 (base case)'!L$67*conv_2026</f>
        <v>-4086825.1130411602</v>
      </c>
      <c r="M18" s="29">
        <f>'Option1 (base case)'!M$67*conv_2026</f>
        <v>-4563595.7962041795</v>
      </c>
      <c r="N18" s="29">
        <f>'Option1 (base case)'!N$67*conv_2026</f>
        <v>0</v>
      </c>
      <c r="O18" s="29">
        <f>'Option1 (base case)'!O$67*conv_2026</f>
        <v>0</v>
      </c>
      <c r="P18" s="29">
        <f>'Option1 (base case)'!P$67*conv_2026</f>
        <v>0</v>
      </c>
      <c r="Q18" s="29">
        <f>'Option1 (base case)'!Q$67*conv_2026</f>
        <v>0</v>
      </c>
      <c r="R18" s="29">
        <f>'Option1 (base case)'!R$67*conv_2026</f>
        <v>0</v>
      </c>
      <c r="S18" s="29">
        <f>'Option1 (base case)'!S$67*conv_2026</f>
        <v>0</v>
      </c>
      <c r="T18" s="29">
        <f>'Option1 (base case)'!T$67*conv_2026</f>
        <v>0</v>
      </c>
      <c r="U18" s="29">
        <f>'Option1 (base case)'!U$67*conv_2026</f>
        <v>0</v>
      </c>
      <c r="V18" s="29">
        <f>'Option1 (base case)'!V$67*conv_2026</f>
        <v>0</v>
      </c>
      <c r="W18" s="29">
        <f>'Option1 (base case)'!W$67*conv_2026</f>
        <v>0</v>
      </c>
      <c r="X18" s="29">
        <f>'Option1 (base case)'!X$67*conv_2026</f>
        <v>0</v>
      </c>
      <c r="Y18" s="29">
        <f>'Option1 (base case)'!Y$67*conv_2026</f>
        <v>0</v>
      </c>
      <c r="Z18" s="29">
        <f>'Option1 (base case)'!Z$67*conv_2026</f>
        <v>0</v>
      </c>
      <c r="AA18" s="29">
        <f>'Option1 (base case)'!AA$67*conv_2026</f>
        <v>0</v>
      </c>
      <c r="AB18" s="29">
        <f>'Option1 (base case)'!AB$67*conv_2026</f>
        <v>0</v>
      </c>
      <c r="AC18" s="29">
        <f>'Option1 (base case)'!AC$67*conv_2026</f>
        <v>0</v>
      </c>
      <c r="AD18" s="29">
        <f>'Option1 (base case)'!AD$67*conv_2026</f>
        <v>0</v>
      </c>
      <c r="AE18" s="29">
        <f>'Option1 (base case)'!AE$67*conv_2026</f>
        <v>0</v>
      </c>
      <c r="AF18" s="29">
        <f>'Option1 (base case)'!AF$67*conv_2026</f>
        <v>0</v>
      </c>
      <c r="AG18" s="29">
        <f>'Option1 (base case)'!AG$67*conv_2026</f>
        <v>0</v>
      </c>
    </row>
    <row r="19" spans="1:33" s="1" customFormat="1" ht="13" x14ac:dyDescent="0.3">
      <c r="A19" s="113" t="str">
        <f t="shared" si="3"/>
        <v>Option 1 (base case)</v>
      </c>
      <c r="B19" s="113"/>
      <c r="C19" s="105" t="s">
        <v>163</v>
      </c>
      <c r="D19" s="35" t="str">
        <f t="shared" si="2"/>
        <v>Option 1 (base case)Incremental operating expenditure</v>
      </c>
      <c r="F19" s="88">
        <f>SUMPRODUCT($H19:$AG19, $H$5:$AG$5)</f>
        <v>0</v>
      </c>
      <c r="G19" s="175">
        <f t="shared" si="4"/>
        <v>46203</v>
      </c>
      <c r="H19" s="29"/>
      <c r="I19" s="29">
        <f>'Option1 (base case)'!I$68*conv_2026</f>
        <v>0</v>
      </c>
      <c r="J19" s="29">
        <f>'Option1 (base case)'!J$68*conv_2026</f>
        <v>0</v>
      </c>
      <c r="K19" s="29">
        <f>'Option1 (base case)'!K$68*conv_2026</f>
        <v>0</v>
      </c>
      <c r="L19" s="29">
        <f>'Option1 (base case)'!L$68*conv_2026</f>
        <v>0</v>
      </c>
      <c r="M19" s="29">
        <f>'Option1 (base case)'!M$68*conv_2026</f>
        <v>0</v>
      </c>
      <c r="N19" s="29">
        <f>'Option1 (base case)'!N$68*conv_2026</f>
        <v>0</v>
      </c>
      <c r="O19" s="29">
        <f>'Option1 (base case)'!O$68*conv_2026</f>
        <v>0</v>
      </c>
      <c r="P19" s="29">
        <f>'Option1 (base case)'!P$68*conv_2026</f>
        <v>0</v>
      </c>
      <c r="Q19" s="29">
        <f>'Option1 (base case)'!Q$68*conv_2026</f>
        <v>0</v>
      </c>
      <c r="R19" s="29">
        <f>'Option1 (base case)'!R$68*conv_2026</f>
        <v>0</v>
      </c>
      <c r="S19" s="29">
        <f>'Option1 (base case)'!S$68*conv_2026</f>
        <v>0</v>
      </c>
      <c r="T19" s="29">
        <f>'Option1 (base case)'!T$68*conv_2026</f>
        <v>0</v>
      </c>
      <c r="U19" s="29">
        <f>'Option1 (base case)'!U$68*conv_2026</f>
        <v>0</v>
      </c>
      <c r="V19" s="29">
        <f>'Option1 (base case)'!V$68*conv_2026</f>
        <v>0</v>
      </c>
      <c r="W19" s="29">
        <f>'Option1 (base case)'!W$68*conv_2026</f>
        <v>0</v>
      </c>
      <c r="X19" s="29">
        <f>'Option1 (base case)'!X$68*conv_2026</f>
        <v>0</v>
      </c>
      <c r="Y19" s="29">
        <f>'Option1 (base case)'!Y$68*conv_2026</f>
        <v>0</v>
      </c>
      <c r="Z19" s="29">
        <f>'Option1 (base case)'!Z$68*conv_2026</f>
        <v>0</v>
      </c>
      <c r="AA19" s="29">
        <f>'Option1 (base case)'!AA$68*conv_2026</f>
        <v>0</v>
      </c>
      <c r="AB19" s="29">
        <f>'Option1 (base case)'!AB$68*conv_2026</f>
        <v>0</v>
      </c>
      <c r="AC19" s="29">
        <f>'Option1 (base case)'!AC$68*conv_2026</f>
        <v>0</v>
      </c>
      <c r="AD19" s="29">
        <f>'Option1 (base case)'!AD$68*conv_2026</f>
        <v>0</v>
      </c>
      <c r="AE19" s="29">
        <f>'Option1 (base case)'!AE$68*conv_2026</f>
        <v>0</v>
      </c>
      <c r="AF19" s="29">
        <f>'Option1 (base case)'!AF$68*conv_2026</f>
        <v>0</v>
      </c>
      <c r="AG19" s="29">
        <f>'Option1 (base case)'!AG$68*conv_2026</f>
        <v>0</v>
      </c>
    </row>
    <row r="20" spans="1:33" s="1" customFormat="1" ht="13" x14ac:dyDescent="0.3">
      <c r="A20" s="113" t="str">
        <f t="shared" si="3"/>
        <v>Option 1 (base case)</v>
      </c>
      <c r="B20" s="113"/>
      <c r="C20" s="105" t="s">
        <v>100</v>
      </c>
      <c r="D20" s="35" t="str">
        <f t="shared" si="2"/>
        <v>Option 1 (base case)Risk mitigated</v>
      </c>
      <c r="F20" s="88">
        <f>SUMPRODUCT($H20:$AG20, $H$5:$AG$5)</f>
        <v>0</v>
      </c>
      <c r="G20" s="175">
        <f t="shared" si="4"/>
        <v>46203</v>
      </c>
      <c r="H20" s="29"/>
      <c r="I20" s="29">
        <f>'Option1 (base case)'!I$69*conv_2026</f>
        <v>0</v>
      </c>
      <c r="J20" s="29">
        <f>'Option1 (base case)'!J$69*conv_2026</f>
        <v>0</v>
      </c>
      <c r="K20" s="29">
        <f>'Option1 (base case)'!K$69*conv_2026</f>
        <v>0</v>
      </c>
      <c r="L20" s="29">
        <f>'Option1 (base case)'!L$69*conv_2026</f>
        <v>0</v>
      </c>
      <c r="M20" s="29">
        <f>'Option1 (base case)'!M$69*conv_2026</f>
        <v>0</v>
      </c>
      <c r="N20" s="29">
        <f>'Option1 (base case)'!N$69*conv_2026</f>
        <v>0</v>
      </c>
      <c r="O20" s="29">
        <f>'Option1 (base case)'!O$69*conv_2026</f>
        <v>0</v>
      </c>
      <c r="P20" s="29">
        <f>'Option1 (base case)'!P$69*conv_2026</f>
        <v>0</v>
      </c>
      <c r="Q20" s="29">
        <f>'Option1 (base case)'!Q$69*conv_2026</f>
        <v>0</v>
      </c>
      <c r="R20" s="29">
        <f>'Option1 (base case)'!R$69*conv_2026</f>
        <v>0</v>
      </c>
      <c r="S20" s="29">
        <f>'Option1 (base case)'!S$69*conv_2026</f>
        <v>0</v>
      </c>
      <c r="T20" s="29">
        <f>'Option1 (base case)'!T$69*conv_2026</f>
        <v>0</v>
      </c>
      <c r="U20" s="29">
        <f>'Option1 (base case)'!U$69*conv_2026</f>
        <v>0</v>
      </c>
      <c r="V20" s="29">
        <f>'Option1 (base case)'!V$69*conv_2026</f>
        <v>0</v>
      </c>
      <c r="W20" s="29">
        <f>'Option1 (base case)'!W$69*conv_2026</f>
        <v>0</v>
      </c>
      <c r="X20" s="29">
        <f>'Option1 (base case)'!X$69*conv_2026</f>
        <v>0</v>
      </c>
      <c r="Y20" s="29">
        <f>'Option1 (base case)'!Y$69*conv_2026</f>
        <v>0</v>
      </c>
      <c r="Z20" s="29">
        <f>'Option1 (base case)'!Z$69*conv_2026</f>
        <v>0</v>
      </c>
      <c r="AA20" s="29">
        <f>'Option1 (base case)'!AA$69*conv_2026</f>
        <v>0</v>
      </c>
      <c r="AB20" s="29">
        <f>'Option1 (base case)'!AB$69*conv_2026</f>
        <v>0</v>
      </c>
      <c r="AC20" s="29">
        <f>'Option1 (base case)'!AC$69*conv_2026</f>
        <v>0</v>
      </c>
      <c r="AD20" s="29">
        <f>'Option1 (base case)'!AD$69*conv_2026</f>
        <v>0</v>
      </c>
      <c r="AE20" s="29">
        <f>'Option1 (base case)'!AE$69*conv_2026</f>
        <v>0</v>
      </c>
      <c r="AF20" s="29">
        <f>'Option1 (base case)'!AF$69*conv_2026</f>
        <v>0</v>
      </c>
      <c r="AG20" s="29">
        <f>'Option1 (base case)'!AG$69*conv_2026</f>
        <v>0</v>
      </c>
    </row>
    <row r="21" spans="1:33" s="1" customFormat="1" ht="13" x14ac:dyDescent="0.3">
      <c r="A21" s="113" t="str">
        <f t="shared" si="3"/>
        <v>Option 1 (base case)</v>
      </c>
      <c r="B21" s="113"/>
      <c r="C21" s="105" t="s">
        <v>88</v>
      </c>
      <c r="D21" s="35" t="str">
        <f t="shared" si="2"/>
        <v>Option 1 (base case)Other benefits value</v>
      </c>
      <c r="F21" s="88">
        <f>SUMPRODUCT($H21:$AG21, $H$5:$AG$5)</f>
        <v>0</v>
      </c>
      <c r="G21" s="175">
        <f t="shared" si="4"/>
        <v>46203</v>
      </c>
      <c r="H21" s="29"/>
      <c r="I21" s="29">
        <f>'Option1 (base case)'!I$70*conv_2026</f>
        <v>0</v>
      </c>
      <c r="J21" s="29">
        <f>'Option1 (base case)'!J$70*conv_2026</f>
        <v>0</v>
      </c>
      <c r="K21" s="29">
        <f>'Option1 (base case)'!K$70*conv_2026</f>
        <v>0</v>
      </c>
      <c r="L21" s="29">
        <f>'Option1 (base case)'!L$70*conv_2026</f>
        <v>0</v>
      </c>
      <c r="M21" s="29">
        <f>'Option1 (base case)'!M$70*conv_2026</f>
        <v>0</v>
      </c>
      <c r="N21" s="29">
        <f>'Option1 (base case)'!N$70*conv_2026</f>
        <v>0</v>
      </c>
      <c r="O21" s="29">
        <f>'Option1 (base case)'!O$70*conv_2026</f>
        <v>0</v>
      </c>
      <c r="P21" s="29">
        <f>'Option1 (base case)'!P$70*conv_2026</f>
        <v>0</v>
      </c>
      <c r="Q21" s="29">
        <f>'Option1 (base case)'!Q$70*conv_2026</f>
        <v>0</v>
      </c>
      <c r="R21" s="29">
        <f>'Option1 (base case)'!R$70*conv_2026</f>
        <v>0</v>
      </c>
      <c r="S21" s="29">
        <f>'Option1 (base case)'!S$70*conv_2026</f>
        <v>0</v>
      </c>
      <c r="T21" s="29">
        <f>'Option1 (base case)'!T$70*conv_2026</f>
        <v>0</v>
      </c>
      <c r="U21" s="29">
        <f>'Option1 (base case)'!U$70*conv_2026</f>
        <v>0</v>
      </c>
      <c r="V21" s="29">
        <f>'Option1 (base case)'!V$70*conv_2026</f>
        <v>0</v>
      </c>
      <c r="W21" s="29">
        <f>'Option1 (base case)'!W$70*conv_2026</f>
        <v>0</v>
      </c>
      <c r="X21" s="29">
        <f>'Option1 (base case)'!X$70*conv_2026</f>
        <v>0</v>
      </c>
      <c r="Y21" s="29">
        <f>'Option1 (base case)'!Y$70*conv_2026</f>
        <v>0</v>
      </c>
      <c r="Z21" s="29">
        <f>'Option1 (base case)'!Z$70*conv_2026</f>
        <v>0</v>
      </c>
      <c r="AA21" s="29">
        <f>'Option1 (base case)'!AA$70*conv_2026</f>
        <v>0</v>
      </c>
      <c r="AB21" s="29">
        <f>'Option1 (base case)'!AB$70*conv_2026</f>
        <v>0</v>
      </c>
      <c r="AC21" s="29">
        <f>'Option1 (base case)'!AC$70*conv_2026</f>
        <v>0</v>
      </c>
      <c r="AD21" s="29">
        <f>'Option1 (base case)'!AD$70*conv_2026</f>
        <v>0</v>
      </c>
      <c r="AE21" s="29">
        <f>'Option1 (base case)'!AE$70*conv_2026</f>
        <v>0</v>
      </c>
      <c r="AF21" s="29">
        <f>'Option1 (base case)'!AF$70*conv_2026</f>
        <v>0</v>
      </c>
      <c r="AG21" s="29">
        <f>'Option1 (base case)'!AG$70*conv_2026</f>
        <v>0</v>
      </c>
    </row>
    <row r="22" spans="1:33" s="1" customFormat="1" ht="13" x14ac:dyDescent="0.3">
      <c r="A22" s="113" t="str">
        <f t="shared" si="3"/>
        <v>Option 1 (base case)</v>
      </c>
      <c r="B22" s="113"/>
      <c r="C22" s="197" t="s">
        <v>127</v>
      </c>
      <c r="D22" s="100" t="str">
        <f t="shared" si="2"/>
        <v>Option 1 (base case)Net benefits</v>
      </c>
      <c r="E22" s="101"/>
      <c r="F22" s="121"/>
      <c r="G22" s="177">
        <f t="shared" si="4"/>
        <v>46203</v>
      </c>
      <c r="H22" s="48"/>
      <c r="I22" s="48">
        <f t="shared" ref="I22:AG22" si="5">SUM(I18:I21)</f>
        <v>-1847328.9649802509</v>
      </c>
      <c r="J22" s="48">
        <f t="shared" si="5"/>
        <v>-2578245.3076430364</v>
      </c>
      <c r="K22" s="48">
        <f t="shared" si="5"/>
        <v>-3610054.4298781417</v>
      </c>
      <c r="L22" s="48">
        <f t="shared" si="5"/>
        <v>-4086825.1130411602</v>
      </c>
      <c r="M22" s="48">
        <f t="shared" si="5"/>
        <v>-4563595.7962041795</v>
      </c>
      <c r="N22" s="48">
        <f t="shared" si="5"/>
        <v>0</v>
      </c>
      <c r="O22" s="48">
        <f t="shared" si="5"/>
        <v>0</v>
      </c>
      <c r="P22" s="48">
        <f t="shared" si="5"/>
        <v>0</v>
      </c>
      <c r="Q22" s="48">
        <f t="shared" si="5"/>
        <v>0</v>
      </c>
      <c r="R22" s="48">
        <f t="shared" si="5"/>
        <v>0</v>
      </c>
      <c r="S22" s="48">
        <f t="shared" si="5"/>
        <v>0</v>
      </c>
      <c r="T22" s="48">
        <f t="shared" si="5"/>
        <v>0</v>
      </c>
      <c r="U22" s="48">
        <f t="shared" si="5"/>
        <v>0</v>
      </c>
      <c r="V22" s="48">
        <f t="shared" si="5"/>
        <v>0</v>
      </c>
      <c r="W22" s="48">
        <f t="shared" si="5"/>
        <v>0</v>
      </c>
      <c r="X22" s="48">
        <f t="shared" si="5"/>
        <v>0</v>
      </c>
      <c r="Y22" s="48">
        <f t="shared" si="5"/>
        <v>0</v>
      </c>
      <c r="Z22" s="48">
        <f t="shared" si="5"/>
        <v>0</v>
      </c>
      <c r="AA22" s="48">
        <f t="shared" si="5"/>
        <v>0</v>
      </c>
      <c r="AB22" s="48">
        <f t="shared" si="5"/>
        <v>0</v>
      </c>
      <c r="AC22" s="48">
        <f t="shared" si="5"/>
        <v>0</v>
      </c>
      <c r="AD22" s="48">
        <f t="shared" si="5"/>
        <v>0</v>
      </c>
      <c r="AE22" s="48">
        <f t="shared" si="5"/>
        <v>0</v>
      </c>
      <c r="AF22" s="48">
        <f t="shared" si="5"/>
        <v>0</v>
      </c>
      <c r="AG22" s="48">
        <f t="shared" si="5"/>
        <v>0</v>
      </c>
    </row>
    <row r="23" spans="1:33" s="1" customFormat="1" ht="13" x14ac:dyDescent="0.3">
      <c r="A23" s="113" t="str">
        <f t="shared" si="3"/>
        <v>Option 1 (base case)</v>
      </c>
      <c r="B23" s="113"/>
      <c r="C23" s="7" t="s">
        <v>85</v>
      </c>
      <c r="D23" s="35" t="str">
        <f t="shared" si="2"/>
        <v>Option 1 (base case)NPV</v>
      </c>
      <c r="F23" s="99" cm="1">
        <f t="array" ref="F23">SUMPRODUCT(($H22:$AG22)*($H$5:$AG$5)*($H$7:$AG$7))</f>
        <v>-15109265.692550955</v>
      </c>
      <c r="G23" s="175">
        <f t="shared" si="4"/>
        <v>46203</v>
      </c>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s="1" customFormat="1" ht="13" x14ac:dyDescent="0.3">
      <c r="A24" s="113" t="str">
        <f t="shared" si="3"/>
        <v>Option 1 (base case)</v>
      </c>
      <c r="B24" s="113"/>
      <c r="C24" s="7" t="s">
        <v>158</v>
      </c>
      <c r="D24" s="35" t="str">
        <f t="shared" si="2"/>
        <v>Option 1 (base case)PV of incremental costs</v>
      </c>
      <c r="F24" s="99">
        <f>SUM(F18:F19)</f>
        <v>-15109265.692550955</v>
      </c>
      <c r="G24" s="175">
        <f t="shared" si="4"/>
        <v>46203</v>
      </c>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s="1" customFormat="1" ht="13" x14ac:dyDescent="0.3">
      <c r="A25" s="113" t="str">
        <f t="shared" si="3"/>
        <v>Option 1 (base case)</v>
      </c>
      <c r="B25" s="113"/>
      <c r="C25" s="7" t="s">
        <v>159</v>
      </c>
      <c r="D25" s="35" t="str">
        <f t="shared" si="2"/>
        <v>Option 1 (base case)PV of incremental benefits</v>
      </c>
      <c r="F25" s="99">
        <f>SUM(F20:F21)</f>
        <v>0</v>
      </c>
      <c r="G25" s="175">
        <f t="shared" si="4"/>
        <v>46203</v>
      </c>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s="1" customFormat="1" ht="13" x14ac:dyDescent="0.3">
      <c r="D26" s="35" t="str">
        <f t="shared" ref="D26:D39" si="6">A26&amp;C26</f>
        <v/>
      </c>
      <c r="G26" s="178"/>
    </row>
    <row r="27" spans="1:33" s="2" customFormat="1" ht="13" x14ac:dyDescent="0.3">
      <c r="A27" s="105"/>
      <c r="B27" s="105"/>
      <c r="C27" s="105"/>
      <c r="D27" s="35" t="str">
        <f t="shared" si="6"/>
        <v/>
      </c>
      <c r="F27" s="8"/>
      <c r="G27" s="171"/>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1:33" s="2" customFormat="1" ht="13" x14ac:dyDescent="0.3">
      <c r="A28" s="105"/>
      <c r="B28" s="105"/>
      <c r="C28" s="105"/>
      <c r="D28" s="35" t="str">
        <f t="shared" si="6"/>
        <v/>
      </c>
      <c r="F28" s="8"/>
      <c r="G28" s="171"/>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1:33" s="2" customFormat="1" ht="13" x14ac:dyDescent="0.3">
      <c r="A29" s="113" t="str">
        <f>Data!B10</f>
        <v>Option 2</v>
      </c>
      <c r="B29" s="113"/>
      <c r="C29" s="105" t="s">
        <v>162</v>
      </c>
      <c r="D29" s="35" t="str">
        <f>A29&amp;C29</f>
        <v>Option 2Incremental capital expenditure</v>
      </c>
      <c r="E29" s="1"/>
      <c r="F29" s="88" cm="1">
        <f t="array" ref="F29">SUMPRODUCT(($H29:$AG29)*($H$5:$AG$5)*($H$7:$AG$7))</f>
        <v>-15676049.486429317</v>
      </c>
      <c r="G29" s="175">
        <f>output_dollars</f>
        <v>46203</v>
      </c>
      <c r="H29" s="29"/>
      <c r="I29" s="29">
        <f>SUM(Option2!I$52:I$54)*conv_2026*I$7</f>
        <v>-3101000.92221</v>
      </c>
      <c r="J29" s="29">
        <f>SUM(Option2!J$52:J$54)*conv_2026*J$7</f>
        <v>-3192562.8932349999</v>
      </c>
      <c r="K29" s="29">
        <f>SUM(Option2!K$52:K$54)*conv_2026*K$7</f>
        <v>-4279622.7086049998</v>
      </c>
      <c r="L29" s="29">
        <f>SUM(Option2!L$52:L$54)*conv_2026*L$7</f>
        <v>-4469852.1211049994</v>
      </c>
      <c r="M29" s="29">
        <f>SUM(Option2!M$52:M$54)*conv_2026*M$7</f>
        <v>-1991863.7778399999</v>
      </c>
      <c r="N29" s="29">
        <f>SUM(Option2!N$52:N$54)*conv_2026*N$7</f>
        <v>0</v>
      </c>
      <c r="O29" s="29">
        <f>SUM(Option2!O$52:O$54)*conv_2026*O$7</f>
        <v>0</v>
      </c>
      <c r="P29" s="29">
        <f>SUM(Option2!P$52:P$54)*conv_2026*P$7</f>
        <v>0</v>
      </c>
      <c r="Q29" s="29">
        <f>SUM(Option2!Q$52:Q$54)*conv_2026*Q$7</f>
        <v>0</v>
      </c>
      <c r="R29" s="29">
        <f>SUM(Option2!R$52:R$54)*conv_2026*R$7</f>
        <v>0</v>
      </c>
      <c r="S29" s="29">
        <f>SUM(Option2!S$52:S$54)*conv_2026*S$7</f>
        <v>0</v>
      </c>
      <c r="T29" s="29">
        <f>SUM(Option2!T$52:T$54)*conv_2026*T$7</f>
        <v>0</v>
      </c>
      <c r="U29" s="29">
        <f>SUM(Option2!U$52:U$54)*conv_2026*U$7</f>
        <v>0</v>
      </c>
      <c r="V29" s="29">
        <f>SUM(Option2!V$52:V$54)*conv_2026*V$7</f>
        <v>0</v>
      </c>
      <c r="W29" s="29">
        <f>SUM(Option2!W$52:W$54)*conv_2026*W$7</f>
        <v>0</v>
      </c>
      <c r="X29" s="29">
        <f>SUM(Option2!X$52:X$54)*conv_2026*X$7</f>
        <v>0</v>
      </c>
      <c r="Y29" s="29">
        <f>SUM(Option2!Y$52:Y$54)*conv_2026*Y$7</f>
        <v>0</v>
      </c>
      <c r="Z29" s="29">
        <f>SUM(Option2!Z$52:Z$54)*conv_2026*Z$7</f>
        <v>0</v>
      </c>
      <c r="AA29" s="29">
        <f>SUM(Option2!AA$52:AA$54)*conv_2026*AA$7</f>
        <v>0</v>
      </c>
      <c r="AB29" s="29">
        <f>SUM(Option2!AB$52:AB$54)*conv_2026*AB$7</f>
        <v>0</v>
      </c>
      <c r="AC29" s="29">
        <f>SUM(Option2!AC$52:AC$54)*conv_2026*AC$7</f>
        <v>0</v>
      </c>
      <c r="AD29" s="29">
        <f>SUM(Option2!AD$52:AD$54)*conv_2026*AD$7</f>
        <v>0</v>
      </c>
      <c r="AE29" s="29">
        <f>SUM(Option2!AE$52:AE$54)*conv_2026*AE$7</f>
        <v>0</v>
      </c>
      <c r="AF29" s="29">
        <f>SUM(Option2!AF$52:AF$54)*conv_2026*AF$7</f>
        <v>0</v>
      </c>
      <c r="AG29" s="29">
        <f>SUM(Option2!AG$52:AG$54)*conv_2026*AG$7</f>
        <v>0</v>
      </c>
    </row>
    <row r="30" spans="1:33" s="2" customFormat="1" ht="13" x14ac:dyDescent="0.3">
      <c r="A30" s="113" t="str">
        <f t="shared" ref="A30:A39" si="7">A29</f>
        <v>Option 2</v>
      </c>
      <c r="B30" s="113"/>
      <c r="C30" s="105" t="s">
        <v>120</v>
      </c>
      <c r="D30" s="35" t="str">
        <f t="shared" si="6"/>
        <v>Option 2Total risk cost</v>
      </c>
      <c r="E30" s="1"/>
      <c r="F30" s="88" cm="1">
        <f t="array" ref="F30">SUMPRODUCT(($H30:$AG30)*($H$5:$AG$5)*($H$7:$AG$7))</f>
        <v>49331025.805773899</v>
      </c>
      <c r="G30" s="175">
        <f>output_dollars</f>
        <v>46203</v>
      </c>
      <c r="H30" s="29"/>
      <c r="I30" s="29">
        <f>Option2!I32*conv_2026*I$7</f>
        <v>10739577.069575954</v>
      </c>
      <c r="J30" s="29">
        <f>Option2!J32*conv_2026*J$7</f>
        <v>10739577.069575954</v>
      </c>
      <c r="K30" s="29">
        <f>Option2!K32*conv_2026*K$7</f>
        <v>10739577.069575954</v>
      </c>
      <c r="L30" s="29">
        <f>Option2!L32*conv_2026*L$7</f>
        <v>10739577.069575954</v>
      </c>
      <c r="M30" s="29">
        <f>Option2!M32*conv_2026*M$7</f>
        <v>10739577.069575954</v>
      </c>
      <c r="N30" s="29">
        <f>Option2!N32*conv_2026*N$7</f>
        <v>0</v>
      </c>
      <c r="O30" s="29">
        <f>Option2!O32*conv_2026*O$7</f>
        <v>0</v>
      </c>
      <c r="P30" s="29">
        <f>Option2!P32*conv_2026*P$7</f>
        <v>0</v>
      </c>
      <c r="Q30" s="29">
        <f>Option2!Q32*conv_2026*Q$7</f>
        <v>0</v>
      </c>
      <c r="R30" s="29">
        <f>Option2!R32*conv_2026*R$7</f>
        <v>0</v>
      </c>
      <c r="S30" s="29">
        <f>Option2!S32*conv_2026*S$7</f>
        <v>0</v>
      </c>
      <c r="T30" s="29">
        <f>Option2!T32*conv_2026*T$7</f>
        <v>0</v>
      </c>
      <c r="U30" s="29">
        <f>Option2!U32*conv_2026*U$7</f>
        <v>0</v>
      </c>
      <c r="V30" s="29">
        <f>Option2!V32*conv_2026*V$7</f>
        <v>0</v>
      </c>
      <c r="W30" s="29">
        <f>Option2!W32*conv_2026*W$7</f>
        <v>0</v>
      </c>
      <c r="X30" s="29">
        <f>Option2!X32*conv_2026*X$7</f>
        <v>0</v>
      </c>
      <c r="Y30" s="29">
        <f>Option2!Y32*conv_2026*Y$7</f>
        <v>0</v>
      </c>
      <c r="Z30" s="29">
        <f>Option2!Z32*conv_2026*Z$7</f>
        <v>0</v>
      </c>
      <c r="AA30" s="29">
        <f>Option2!AA32*conv_2026*AA$7</f>
        <v>0</v>
      </c>
      <c r="AB30" s="29">
        <f>Option2!AB32*conv_2026*AB$7</f>
        <v>0</v>
      </c>
      <c r="AC30" s="29">
        <f>Option2!AC32*conv_2026*AC$7</f>
        <v>0</v>
      </c>
      <c r="AD30" s="29">
        <f>Option2!AD32*conv_2026*AD$7</f>
        <v>0</v>
      </c>
      <c r="AE30" s="29">
        <f>Option2!AE32*conv_2026*AE$7</f>
        <v>0</v>
      </c>
      <c r="AF30" s="29">
        <f>Option2!AF32*conv_2026*AF$7</f>
        <v>0</v>
      </c>
      <c r="AG30" s="29">
        <f>Option2!AG32*conv_2026*AG$7</f>
        <v>0</v>
      </c>
    </row>
    <row r="31" spans="1:33" s="2" customFormat="1" x14ac:dyDescent="0.3">
      <c r="A31" s="113" t="str">
        <f t="shared" si="7"/>
        <v>Option 2</v>
      </c>
      <c r="B31" s="113"/>
      <c r="C31" s="13"/>
      <c r="D31" s="35" t="str">
        <f t="shared" si="6"/>
        <v>Option 2</v>
      </c>
      <c r="E31" s="1"/>
      <c r="F31" s="88"/>
      <c r="G31" s="176"/>
      <c r="H31"/>
      <c r="I31"/>
      <c r="J31"/>
      <c r="K31"/>
      <c r="L31"/>
      <c r="M31"/>
      <c r="N31"/>
      <c r="O31"/>
      <c r="P31"/>
      <c r="Q31"/>
      <c r="R31"/>
      <c r="S31"/>
      <c r="T31"/>
      <c r="U31"/>
      <c r="V31"/>
      <c r="W31"/>
      <c r="X31"/>
      <c r="Y31"/>
      <c r="Z31"/>
      <c r="AA31"/>
      <c r="AB31"/>
      <c r="AC31"/>
      <c r="AD31"/>
      <c r="AE31"/>
      <c r="AF31"/>
      <c r="AG31"/>
    </row>
    <row r="32" spans="1:33" s="2" customFormat="1" ht="13" x14ac:dyDescent="0.3">
      <c r="A32" s="113" t="str">
        <f t="shared" si="7"/>
        <v>Option 2</v>
      </c>
      <c r="B32" s="113"/>
      <c r="C32" s="105" t="s">
        <v>161</v>
      </c>
      <c r="D32" s="35" t="str">
        <f t="shared" si="6"/>
        <v>Option 2Annualised Incremental capex</v>
      </c>
      <c r="E32" s="1"/>
      <c r="F32" s="88" cm="1">
        <f t="array" ref="F32">SUMPRODUCT(($H32:$AG32)*($H$5:$AG$5)*($H$7:$AG$7))</f>
        <v>-10333294.701950977</v>
      </c>
      <c r="G32" s="175">
        <f t="shared" ref="G32:G39" si="8">output_dollars</f>
        <v>46203</v>
      </c>
      <c r="H32" s="29"/>
      <c r="I32" s="29">
        <f>Option2!I$67*conv_2026*I$7</f>
        <v>-686813.94241560355</v>
      </c>
      <c r="J32" s="29">
        <f>Option2!J$67*conv_2026*J$7</f>
        <v>-1393907.1559028861</v>
      </c>
      <c r="K32" s="29">
        <f>Option2!K$67*conv_2026*K$7</f>
        <v>-2341763.8700033058</v>
      </c>
      <c r="L32" s="29">
        <f>Option2!L$67*conv_2026*L$7</f>
        <v>-3331752.8555992846</v>
      </c>
      <c r="M32" s="29">
        <f>Option2!M$67*conv_2026*M$7</f>
        <v>-3772913.5802591676</v>
      </c>
      <c r="N32" s="29">
        <f>Option2!N$67*conv_2026*N$7</f>
        <v>0</v>
      </c>
      <c r="O32" s="29">
        <f>Option2!O$67*conv_2026*O$7</f>
        <v>0</v>
      </c>
      <c r="P32" s="29">
        <f>Option2!P$67*conv_2026*P$7</f>
        <v>0</v>
      </c>
      <c r="Q32" s="29">
        <f>Option2!Q$67*conv_2026*Q$7</f>
        <v>0</v>
      </c>
      <c r="R32" s="29">
        <f>Option2!R$67*conv_2026*R$7</f>
        <v>0</v>
      </c>
      <c r="S32" s="29">
        <f>Option2!S$67*conv_2026*S$7</f>
        <v>0</v>
      </c>
      <c r="T32" s="29">
        <f>Option2!T$67*conv_2026*T$7</f>
        <v>0</v>
      </c>
      <c r="U32" s="29">
        <f>Option2!U$67*conv_2026*U$7</f>
        <v>0</v>
      </c>
      <c r="V32" s="29">
        <f>Option2!V$67*conv_2026*V$7</f>
        <v>0</v>
      </c>
      <c r="W32" s="29">
        <f>Option2!W$67*conv_2026*W$7</f>
        <v>0</v>
      </c>
      <c r="X32" s="29">
        <f>Option2!X$67*conv_2026*X$7</f>
        <v>0</v>
      </c>
      <c r="Y32" s="29">
        <f>Option2!Y$67*conv_2026*Y$7</f>
        <v>0</v>
      </c>
      <c r="Z32" s="29">
        <f>Option2!Z$67*conv_2026*Z$7</f>
        <v>0</v>
      </c>
      <c r="AA32" s="29">
        <f>Option2!AA$67*conv_2026*AA$7</f>
        <v>0</v>
      </c>
      <c r="AB32" s="29">
        <f>Option2!AB$67*conv_2026*AB$7</f>
        <v>0</v>
      </c>
      <c r="AC32" s="29">
        <f>Option2!AC$67*conv_2026*AC$7</f>
        <v>0</v>
      </c>
      <c r="AD32" s="29">
        <f>Option2!AD$67*conv_2026*AD$7</f>
        <v>0</v>
      </c>
      <c r="AE32" s="29">
        <f>Option2!AE$67*conv_2026*AE$7</f>
        <v>0</v>
      </c>
      <c r="AF32" s="29">
        <f>Option2!AF$67*conv_2026*AF$7</f>
        <v>0</v>
      </c>
      <c r="AG32" s="29">
        <f>Option2!AG$67*conv_2026*AG$7</f>
        <v>0</v>
      </c>
    </row>
    <row r="33" spans="1:33" s="2" customFormat="1" ht="13" x14ac:dyDescent="0.3">
      <c r="A33" s="113" t="str">
        <f t="shared" si="7"/>
        <v>Option 2</v>
      </c>
      <c r="B33" s="113"/>
      <c r="C33" s="105" t="s">
        <v>163</v>
      </c>
      <c r="D33" s="35" t="str">
        <f t="shared" si="6"/>
        <v>Option 2Incremental operating expenditure</v>
      </c>
      <c r="E33" s="1"/>
      <c r="F33" s="88" cm="1">
        <f t="array" ref="F33">SUMPRODUCT(($H33:$AG33)*($H$5:$AG$5)*($H$7:$AG$7))</f>
        <v>-1370384.6309360329</v>
      </c>
      <c r="G33" s="175">
        <f t="shared" si="8"/>
        <v>46203</v>
      </c>
      <c r="H33" s="29"/>
      <c r="I33" s="29">
        <f>Option2!I$68*conv_2026*I$7</f>
        <v>1465288.34786925</v>
      </c>
      <c r="J33" s="29">
        <f>Option2!J$68*conv_2026*J$7</f>
        <v>423420.58382637502</v>
      </c>
      <c r="K33" s="29">
        <f>Option2!K$68*conv_2026*K$7</f>
        <v>-491134.80625712511</v>
      </c>
      <c r="L33" s="29">
        <f>Option2!L$68*conv_2026*L$7</f>
        <v>-1357055.2337831249</v>
      </c>
      <c r="M33" s="29">
        <f>Option2!M$68*conv_2026*M$7</f>
        <v>-1820068.8010906249</v>
      </c>
      <c r="N33" s="29">
        <f>Option2!N$68*conv_2026*N$7</f>
        <v>0</v>
      </c>
      <c r="O33" s="29">
        <f>Option2!O$68*conv_2026*O$7</f>
        <v>0</v>
      </c>
      <c r="P33" s="29">
        <f>Option2!P$68*conv_2026*P$7</f>
        <v>0</v>
      </c>
      <c r="Q33" s="29">
        <f>Option2!Q$68*conv_2026*Q$7</f>
        <v>0</v>
      </c>
      <c r="R33" s="29">
        <f>Option2!R$68*conv_2026*R$7</f>
        <v>0</v>
      </c>
      <c r="S33" s="29">
        <f>Option2!S$68*conv_2026*S$7</f>
        <v>0</v>
      </c>
      <c r="T33" s="29">
        <f>Option2!T$68*conv_2026*T$7</f>
        <v>0</v>
      </c>
      <c r="U33" s="29">
        <f>Option2!U$68*conv_2026*U$7</f>
        <v>0</v>
      </c>
      <c r="V33" s="29">
        <f>Option2!V$68*conv_2026*V$7</f>
        <v>0</v>
      </c>
      <c r="W33" s="29">
        <f>Option2!W$68*conv_2026*W$7</f>
        <v>0</v>
      </c>
      <c r="X33" s="29">
        <f>Option2!X$68*conv_2026*X$7</f>
        <v>0</v>
      </c>
      <c r="Y33" s="29">
        <f>Option2!Y$68*conv_2026*Y$7</f>
        <v>0</v>
      </c>
      <c r="Z33" s="29">
        <f>Option2!Z$68*conv_2026*Z$7</f>
        <v>0</v>
      </c>
      <c r="AA33" s="29">
        <f>Option2!AA$68*conv_2026*AA$7</f>
        <v>0</v>
      </c>
      <c r="AB33" s="29">
        <f>Option2!AB$68*conv_2026*AB$7</f>
        <v>0</v>
      </c>
      <c r="AC33" s="29">
        <f>Option2!AC$68*conv_2026*AC$7</f>
        <v>0</v>
      </c>
      <c r="AD33" s="29">
        <f>Option2!AD$68*conv_2026*AD$7</f>
        <v>0</v>
      </c>
      <c r="AE33" s="29">
        <f>Option2!AE$68*conv_2026*AE$7</f>
        <v>0</v>
      </c>
      <c r="AF33" s="29">
        <f>Option2!AF$68*conv_2026*AF$7</f>
        <v>0</v>
      </c>
      <c r="AG33" s="29">
        <f>Option2!AG$68*conv_2026*AG$7</f>
        <v>0</v>
      </c>
    </row>
    <row r="34" spans="1:33" s="2" customFormat="1" ht="13" x14ac:dyDescent="0.3">
      <c r="A34" s="113" t="str">
        <f t="shared" si="7"/>
        <v>Option 2</v>
      </c>
      <c r="B34" s="113"/>
      <c r="C34" s="105" t="s">
        <v>100</v>
      </c>
      <c r="D34" s="35" t="str">
        <f t="shared" si="6"/>
        <v>Option 2Risk mitigated</v>
      </c>
      <c r="E34" s="1"/>
      <c r="F34" s="88" cm="1">
        <f t="array" ref="F34">SUMPRODUCT(($H34:$AG34)*($H$5:$AG$5)*($H$7:$AG$7))</f>
        <v>72940640.352577657</v>
      </c>
      <c r="G34" s="175">
        <f t="shared" si="8"/>
        <v>46203</v>
      </c>
      <c r="H34" s="29"/>
      <c r="I34" s="29">
        <f>Option2!I$69*conv_2026*I$7</f>
        <v>15879491.978434453</v>
      </c>
      <c r="J34" s="29">
        <f>Option2!J$69*conv_2026*J$7</f>
        <v>15879491.978434453</v>
      </c>
      <c r="K34" s="29">
        <f>Option2!K$69*conv_2026*K$7</f>
        <v>15879491.978434453</v>
      </c>
      <c r="L34" s="29">
        <f>Option2!L$69*conv_2026*L$7</f>
        <v>15879491.978434453</v>
      </c>
      <c r="M34" s="29">
        <f>Option2!M$69*conv_2026*M$7</f>
        <v>15879491.978434453</v>
      </c>
      <c r="N34" s="29">
        <f>Option2!N$69*conv_2026*N$7</f>
        <v>0</v>
      </c>
      <c r="O34" s="29">
        <f>Option2!O$69*conv_2026*O$7</f>
        <v>0</v>
      </c>
      <c r="P34" s="29">
        <f>Option2!P$69*conv_2026*P$7</f>
        <v>0</v>
      </c>
      <c r="Q34" s="29">
        <f>Option2!Q$69*conv_2026*Q$7</f>
        <v>0</v>
      </c>
      <c r="R34" s="29">
        <f>Option2!R$69*conv_2026*R$7</f>
        <v>0</v>
      </c>
      <c r="S34" s="29">
        <f>Option2!S$69*conv_2026*S$7</f>
        <v>0</v>
      </c>
      <c r="T34" s="29">
        <f>Option2!T$69*conv_2026*T$7</f>
        <v>0</v>
      </c>
      <c r="U34" s="29">
        <f>Option2!U$69*conv_2026*U$7</f>
        <v>0</v>
      </c>
      <c r="V34" s="29">
        <f>Option2!V$69*conv_2026*V$7</f>
        <v>0</v>
      </c>
      <c r="W34" s="29">
        <f>Option2!W$69*conv_2026*W$7</f>
        <v>0</v>
      </c>
      <c r="X34" s="29">
        <f>Option2!X$69*conv_2026*X$7</f>
        <v>0</v>
      </c>
      <c r="Y34" s="29">
        <f>Option2!Y$69*conv_2026*Y$7</f>
        <v>0</v>
      </c>
      <c r="Z34" s="29">
        <f>Option2!Z$69*conv_2026*Z$7</f>
        <v>0</v>
      </c>
      <c r="AA34" s="29">
        <f>Option2!AA$69*conv_2026*AA$7</f>
        <v>0</v>
      </c>
      <c r="AB34" s="29">
        <f>Option2!AB$69*conv_2026*AB$7</f>
        <v>0</v>
      </c>
      <c r="AC34" s="29">
        <f>Option2!AC$69*conv_2026*AC$7</f>
        <v>0</v>
      </c>
      <c r="AD34" s="29">
        <f>Option2!AD$69*conv_2026*AD$7</f>
        <v>0</v>
      </c>
      <c r="AE34" s="29">
        <f>Option2!AE$69*conv_2026*AE$7</f>
        <v>0</v>
      </c>
      <c r="AF34" s="29">
        <f>Option2!AF$69*conv_2026*AF$7</f>
        <v>0</v>
      </c>
      <c r="AG34" s="29">
        <f>Option2!AG$69*conv_2026*AG$7</f>
        <v>0</v>
      </c>
    </row>
    <row r="35" spans="1:33" s="2" customFormat="1" ht="13" x14ac:dyDescent="0.3">
      <c r="A35" s="113" t="str">
        <f t="shared" si="7"/>
        <v>Option 2</v>
      </c>
      <c r="B35" s="113"/>
      <c r="C35" s="105" t="s">
        <v>88</v>
      </c>
      <c r="D35" s="35" t="str">
        <f t="shared" si="6"/>
        <v>Option 2Other benefits value</v>
      </c>
      <c r="E35" s="1"/>
      <c r="F35" s="88" cm="1">
        <f t="array" ref="F35">SUMPRODUCT(($H35:$AG35)*($H$5:$AG$5)*($H$7:$AG$7))</f>
        <v>0</v>
      </c>
      <c r="G35" s="175">
        <f t="shared" si="8"/>
        <v>46203</v>
      </c>
      <c r="H35" s="29"/>
      <c r="I35" s="29">
        <f>Option2!I$70*conv_2026*I$7</f>
        <v>0</v>
      </c>
      <c r="J35" s="29">
        <f>Option2!J$70*conv_2026*J$7</f>
        <v>0</v>
      </c>
      <c r="K35" s="29">
        <f>Option2!K$70*conv_2026*K$7</f>
        <v>0</v>
      </c>
      <c r="L35" s="29">
        <f>Option2!L$70*conv_2026*L$7</f>
        <v>0</v>
      </c>
      <c r="M35" s="29">
        <f>Option2!M$70*conv_2026*M$7</f>
        <v>0</v>
      </c>
      <c r="N35" s="29">
        <f>Option2!N$70*conv_2026*N$7</f>
        <v>0</v>
      </c>
      <c r="O35" s="29">
        <f>Option2!O$70*conv_2026*O$7</f>
        <v>0</v>
      </c>
      <c r="P35" s="29">
        <f>Option2!P$70*conv_2026*P$7</f>
        <v>0</v>
      </c>
      <c r="Q35" s="29">
        <f>Option2!Q$70*conv_2026*Q$7</f>
        <v>0</v>
      </c>
      <c r="R35" s="29">
        <f>Option2!R$70*conv_2026*R$7</f>
        <v>0</v>
      </c>
      <c r="S35" s="29">
        <f>Option2!S$70*conv_2026*S$7</f>
        <v>0</v>
      </c>
      <c r="T35" s="29">
        <f>Option2!T$70*conv_2026*T$7</f>
        <v>0</v>
      </c>
      <c r="U35" s="29">
        <f>Option2!U$70*conv_2026*U$7</f>
        <v>0</v>
      </c>
      <c r="V35" s="29">
        <f>Option2!V$70*conv_2026*V$7</f>
        <v>0</v>
      </c>
      <c r="W35" s="29">
        <f>Option2!W$70*conv_2026*W$7</f>
        <v>0</v>
      </c>
      <c r="X35" s="29">
        <f>Option2!X$70*conv_2026*X$7</f>
        <v>0</v>
      </c>
      <c r="Y35" s="29">
        <f>Option2!Y$70*conv_2026*Y$7</f>
        <v>0</v>
      </c>
      <c r="Z35" s="29">
        <f>Option2!Z$70*conv_2026*Z$7</f>
        <v>0</v>
      </c>
      <c r="AA35" s="29">
        <f>Option2!AA$70*conv_2026*AA$7</f>
        <v>0</v>
      </c>
      <c r="AB35" s="29">
        <f>Option2!AB$70*conv_2026*AB$7</f>
        <v>0</v>
      </c>
      <c r="AC35" s="29">
        <f>Option2!AC$70*conv_2026*AC$7</f>
        <v>0</v>
      </c>
      <c r="AD35" s="29">
        <f>Option2!AD$70*conv_2026*AD$7</f>
        <v>0</v>
      </c>
      <c r="AE35" s="29">
        <f>Option2!AE$70*conv_2026*AE$7</f>
        <v>0</v>
      </c>
      <c r="AF35" s="29">
        <f>Option2!AF$70*conv_2026*AF$7</f>
        <v>0</v>
      </c>
      <c r="AG35" s="29">
        <f>Option2!AG$70*conv_2026*AG$7</f>
        <v>0</v>
      </c>
    </row>
    <row r="36" spans="1:33" s="2" customFormat="1" ht="13" x14ac:dyDescent="0.3">
      <c r="A36" s="113" t="str">
        <f t="shared" si="7"/>
        <v>Option 2</v>
      </c>
      <c r="B36" s="113"/>
      <c r="C36" s="197" t="s">
        <v>127</v>
      </c>
      <c r="D36" s="100" t="str">
        <f t="shared" si="6"/>
        <v>Option 2Net benefits</v>
      </c>
      <c r="E36" s="101"/>
      <c r="F36" s="121"/>
      <c r="G36" s="177">
        <f t="shared" si="8"/>
        <v>46203</v>
      </c>
      <c r="H36" s="48"/>
      <c r="I36" s="48">
        <f t="shared" ref="I36:AG36" si="9">SUM(I32:I35)</f>
        <v>16657966.383888099</v>
      </c>
      <c r="J36" s="48">
        <f t="shared" si="9"/>
        <v>14909005.406357942</v>
      </c>
      <c r="K36" s="48">
        <f t="shared" si="9"/>
        <v>13046593.302174022</v>
      </c>
      <c r="L36" s="48">
        <f t="shared" si="9"/>
        <v>11190683.889052043</v>
      </c>
      <c r="M36" s="48">
        <f t="shared" si="9"/>
        <v>10286509.59708466</v>
      </c>
      <c r="N36" s="48">
        <f t="shared" si="9"/>
        <v>0</v>
      </c>
      <c r="O36" s="48">
        <f t="shared" si="9"/>
        <v>0</v>
      </c>
      <c r="P36" s="48">
        <f t="shared" si="9"/>
        <v>0</v>
      </c>
      <c r="Q36" s="48">
        <f t="shared" si="9"/>
        <v>0</v>
      </c>
      <c r="R36" s="48">
        <f t="shared" si="9"/>
        <v>0</v>
      </c>
      <c r="S36" s="48">
        <f t="shared" si="9"/>
        <v>0</v>
      </c>
      <c r="T36" s="48">
        <f t="shared" si="9"/>
        <v>0</v>
      </c>
      <c r="U36" s="48">
        <f t="shared" si="9"/>
        <v>0</v>
      </c>
      <c r="V36" s="48">
        <f t="shared" si="9"/>
        <v>0</v>
      </c>
      <c r="W36" s="48">
        <f t="shared" si="9"/>
        <v>0</v>
      </c>
      <c r="X36" s="48">
        <f t="shared" si="9"/>
        <v>0</v>
      </c>
      <c r="Y36" s="48">
        <f t="shared" si="9"/>
        <v>0</v>
      </c>
      <c r="Z36" s="48">
        <f t="shared" si="9"/>
        <v>0</v>
      </c>
      <c r="AA36" s="48">
        <f t="shared" si="9"/>
        <v>0</v>
      </c>
      <c r="AB36" s="48">
        <f t="shared" si="9"/>
        <v>0</v>
      </c>
      <c r="AC36" s="48">
        <f t="shared" si="9"/>
        <v>0</v>
      </c>
      <c r="AD36" s="48">
        <f t="shared" si="9"/>
        <v>0</v>
      </c>
      <c r="AE36" s="48">
        <f t="shared" si="9"/>
        <v>0</v>
      </c>
      <c r="AF36" s="48">
        <f t="shared" si="9"/>
        <v>0</v>
      </c>
      <c r="AG36" s="48">
        <f t="shared" si="9"/>
        <v>0</v>
      </c>
    </row>
    <row r="37" spans="1:33" s="2" customFormat="1" ht="13" x14ac:dyDescent="0.3">
      <c r="A37" s="113" t="str">
        <f t="shared" si="7"/>
        <v>Option 2</v>
      </c>
      <c r="B37" s="113"/>
      <c r="C37" s="7" t="s">
        <v>85</v>
      </c>
      <c r="D37" s="35" t="str">
        <f t="shared" si="6"/>
        <v>Option 2NPV</v>
      </c>
      <c r="E37" s="1"/>
      <c r="F37" s="99" cm="1">
        <f t="array" ref="F37">SUMPRODUCT(($H36:$AG36)*($H$5:$AG$5)*($H$7:$AG$7))</f>
        <v>61236961.019690655</v>
      </c>
      <c r="G37" s="175">
        <f t="shared" si="8"/>
        <v>46203</v>
      </c>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s="2" customFormat="1" ht="13" x14ac:dyDescent="0.3">
      <c r="A38" s="113" t="str">
        <f t="shared" si="7"/>
        <v>Option 2</v>
      </c>
      <c r="B38" s="113"/>
      <c r="C38" s="7" t="s">
        <v>158</v>
      </c>
      <c r="D38" s="35" t="str">
        <f t="shared" si="6"/>
        <v>Option 2PV of incremental costs</v>
      </c>
      <c r="E38" s="1"/>
      <c r="F38" s="99">
        <f>SUM(F32:F33)</f>
        <v>-11703679.332887009</v>
      </c>
      <c r="G38" s="175">
        <f t="shared" si="8"/>
        <v>46203</v>
      </c>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s="2" customFormat="1" ht="13" x14ac:dyDescent="0.3">
      <c r="A39" s="113" t="str">
        <f t="shared" si="7"/>
        <v>Option 2</v>
      </c>
      <c r="B39" s="113"/>
      <c r="C39" s="7" t="s">
        <v>159</v>
      </c>
      <c r="D39" s="35" t="str">
        <f t="shared" si="6"/>
        <v>Option 2PV of incremental benefits</v>
      </c>
      <c r="E39" s="1"/>
      <c r="F39" s="99">
        <f>SUM(F34:F35)</f>
        <v>72940640.352577657</v>
      </c>
      <c r="G39" s="175">
        <f t="shared" si="8"/>
        <v>46203</v>
      </c>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s="2" customFormat="1" ht="13" x14ac:dyDescent="0.3">
      <c r="A40" s="113"/>
      <c r="B40" s="113"/>
      <c r="C40" s="1"/>
      <c r="D40" s="35"/>
      <c r="E40" s="1"/>
      <c r="F40" s="99"/>
      <c r="G40" s="178"/>
      <c r="H40" s="1"/>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row>
    <row r="41" spans="1:33" s="2" customFormat="1" ht="13" x14ac:dyDescent="0.3">
      <c r="A41" s="105"/>
      <c r="B41" s="105"/>
      <c r="C41" s="105"/>
      <c r="D41" s="35" t="str">
        <f>A41&amp;C41</f>
        <v/>
      </c>
      <c r="F41" s="8"/>
      <c r="G41" s="171"/>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3" s="2" customFormat="1" ht="13" x14ac:dyDescent="0.3">
      <c r="A42" s="105"/>
      <c r="B42" s="105"/>
      <c r="C42" s="105"/>
      <c r="D42" s="35" t="str">
        <f>A42&amp;C42</f>
        <v/>
      </c>
      <c r="F42" s="8"/>
      <c r="G42" s="171"/>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row>
    <row r="43" spans="1:33" s="2" customFormat="1" ht="13" x14ac:dyDescent="0.3">
      <c r="A43" s="113" t="str">
        <f>Data!B11</f>
        <v>Option 3</v>
      </c>
      <c r="B43" s="113"/>
      <c r="C43" s="105" t="s">
        <v>162</v>
      </c>
      <c r="D43" s="35" t="str">
        <f>A43&amp;C43</f>
        <v>Option 3Incremental capital expenditure</v>
      </c>
      <c r="E43" s="1"/>
      <c r="F43" s="88" cm="1">
        <f t="array" ref="F43">SUMPRODUCT(($H43:$AG43)*($H$5:$AG$5)*($H$7:$AG$7))</f>
        <v>-9224830.5458026715</v>
      </c>
      <c r="G43" s="175">
        <f>output_dollars</f>
        <v>46203</v>
      </c>
      <c r="H43" s="29"/>
      <c r="I43" s="29">
        <f>SUM(Option3!I$52:I$54)*conv_2026*I$7</f>
        <v>-2413762.606745</v>
      </c>
      <c r="J43" s="29">
        <f>SUM(Option3!J$52:J$54)*conv_2026*J$7</f>
        <v>-5641375.9390549995</v>
      </c>
      <c r="K43" s="29">
        <f>SUM(Option3!K$52:K$54)*conv_2026*K$7</f>
        <v>-3515702.1131750001</v>
      </c>
      <c r="L43" s="29">
        <f>SUM(Option3!L$52:L$54)*conv_2026*L$7</f>
        <v>1009610.187465</v>
      </c>
      <c r="M43" s="29">
        <f>SUM(Option3!M$52:M$54)*conv_2026*M$7</f>
        <v>976342.01043499995</v>
      </c>
      <c r="N43" s="29">
        <f>SUM(Option3!N$52:N$54)*conv_2026*N$7</f>
        <v>0</v>
      </c>
      <c r="O43" s="29">
        <f>SUM(Option3!O$52:O$54)*conv_2026*O$7</f>
        <v>0</v>
      </c>
      <c r="P43" s="29">
        <f>SUM(Option3!P$52:P$54)*conv_2026*P$7</f>
        <v>0</v>
      </c>
      <c r="Q43" s="29">
        <f>SUM(Option3!Q$52:Q$54)*conv_2026*Q$7</f>
        <v>0</v>
      </c>
      <c r="R43" s="29">
        <f>SUM(Option3!R$52:R$54)*conv_2026*R$7</f>
        <v>0</v>
      </c>
      <c r="S43" s="29">
        <f>SUM(Option3!S$52:S$54)*conv_2026*S$7</f>
        <v>0</v>
      </c>
      <c r="T43" s="29">
        <f>SUM(Option3!T$52:T$54)*conv_2026*T$7</f>
        <v>0</v>
      </c>
      <c r="U43" s="29">
        <f>SUM(Option3!U$52:U$54)*conv_2026*U$7</f>
        <v>0</v>
      </c>
      <c r="V43" s="29">
        <f>SUM(Option3!V$52:V$54)*conv_2026*V$7</f>
        <v>0</v>
      </c>
      <c r="W43" s="29">
        <f>SUM(Option3!W$52:W$54)*conv_2026*W$7</f>
        <v>0</v>
      </c>
      <c r="X43" s="29">
        <f>SUM(Option3!X$52:X$54)*conv_2026*X$7</f>
        <v>0</v>
      </c>
      <c r="Y43" s="29">
        <f>SUM(Option3!Y$52:Y$54)*conv_2026*Y$7</f>
        <v>0</v>
      </c>
      <c r="Z43" s="29">
        <f>SUM(Option3!Z$52:Z$54)*conv_2026*Z$7</f>
        <v>0</v>
      </c>
      <c r="AA43" s="29">
        <f>SUM(Option3!AA$52:AA$54)*conv_2026*AA$7</f>
        <v>0</v>
      </c>
      <c r="AB43" s="29">
        <f>SUM(Option3!AB$52:AB$54)*conv_2026*AB$7</f>
        <v>0</v>
      </c>
      <c r="AC43" s="29">
        <f>SUM(Option3!AC$52:AC$54)*conv_2026*AC$7</f>
        <v>0</v>
      </c>
      <c r="AD43" s="29">
        <f>SUM(Option3!AD$52:AD$54)*conv_2026*AD$7</f>
        <v>0</v>
      </c>
      <c r="AE43" s="29">
        <f>SUM(Option3!AE$52:AE$54)*conv_2026*AE$7</f>
        <v>0</v>
      </c>
      <c r="AF43" s="29">
        <f>SUM(Option3!AF$52:AF$54)*conv_2026*AF$7</f>
        <v>0</v>
      </c>
      <c r="AG43" s="29">
        <f>SUM(Option3!AG$52:AG$54)*conv_2026*AG$7</f>
        <v>0</v>
      </c>
    </row>
    <row r="44" spans="1:33" s="2" customFormat="1" ht="13" x14ac:dyDescent="0.3">
      <c r="A44" s="113" t="str">
        <f t="shared" ref="A44:A53" si="10">A43</f>
        <v>Option 3</v>
      </c>
      <c r="B44" s="113"/>
      <c r="C44" s="105" t="s">
        <v>120</v>
      </c>
      <c r="D44" s="35" t="str">
        <f>A44&amp;C44</f>
        <v>Option 3Total risk cost</v>
      </c>
      <c r="E44" s="1"/>
      <c r="F44" s="88" cm="1">
        <f t="array" ref="F44">SUMPRODUCT(($H44:$AG44)*($H$5:$AG$5)*($H$7:$AG$7))</f>
        <v>33397541.831469603</v>
      </c>
      <c r="G44" s="175">
        <f>output_dollars</f>
        <v>46203</v>
      </c>
      <c r="H44" s="29"/>
      <c r="I44" s="29">
        <f>Option3!I32*conv_2026*I$7</f>
        <v>7270788.8914702814</v>
      </c>
      <c r="J44" s="29">
        <f>Option3!J32*conv_2026*J$7</f>
        <v>7270788.8914702814</v>
      </c>
      <c r="K44" s="29">
        <f>Option3!K32*conv_2026*K$7</f>
        <v>7270788.8914702814</v>
      </c>
      <c r="L44" s="29">
        <f>Option3!L32*conv_2026*L$7</f>
        <v>7270788.8914702814</v>
      </c>
      <c r="M44" s="29">
        <f>Option3!M32*conv_2026*M$7</f>
        <v>7270788.8914702814</v>
      </c>
      <c r="N44" s="29">
        <f>Option3!N32*conv_2026*N$7</f>
        <v>0</v>
      </c>
      <c r="O44" s="29">
        <f>Option3!O32*conv_2026*O$7</f>
        <v>0</v>
      </c>
      <c r="P44" s="29">
        <f>Option3!P32*conv_2026*P$7</f>
        <v>0</v>
      </c>
      <c r="Q44" s="29">
        <f>Option3!Q32*conv_2026*Q$7</f>
        <v>0</v>
      </c>
      <c r="R44" s="29">
        <f>Option3!R32*conv_2026*R$7</f>
        <v>0</v>
      </c>
      <c r="S44" s="29">
        <f>Option3!S32*conv_2026*S$7</f>
        <v>0</v>
      </c>
      <c r="T44" s="29">
        <f>Option3!T32*conv_2026*T$7</f>
        <v>0</v>
      </c>
      <c r="U44" s="29">
        <f>Option3!U32*conv_2026*U$7</f>
        <v>0</v>
      </c>
      <c r="V44" s="29">
        <f>Option3!V32*conv_2026*V$7</f>
        <v>0</v>
      </c>
      <c r="W44" s="29">
        <f>Option3!W32*conv_2026*W$7</f>
        <v>0</v>
      </c>
      <c r="X44" s="29">
        <f>Option3!X32*conv_2026*X$7</f>
        <v>0</v>
      </c>
      <c r="Y44" s="29">
        <f>Option3!Y32*conv_2026*Y$7</f>
        <v>0</v>
      </c>
      <c r="Z44" s="29">
        <f>Option3!Z32*conv_2026*Z$7</f>
        <v>0</v>
      </c>
      <c r="AA44" s="29">
        <f>Option3!AA32*conv_2026*AA$7</f>
        <v>0</v>
      </c>
      <c r="AB44" s="29">
        <f>Option3!AB32*conv_2026*AB$7</f>
        <v>0</v>
      </c>
      <c r="AC44" s="29">
        <f>Option3!AC32*conv_2026*AC$7</f>
        <v>0</v>
      </c>
      <c r="AD44" s="29">
        <f>Option3!AD32*conv_2026*AD$7</f>
        <v>0</v>
      </c>
      <c r="AE44" s="29">
        <f>Option3!AE32*conv_2026*AE$7</f>
        <v>0</v>
      </c>
      <c r="AF44" s="29">
        <f>Option3!AF32*conv_2026*AF$7</f>
        <v>0</v>
      </c>
      <c r="AG44" s="29">
        <f>Option3!AG32*conv_2026*AG$7</f>
        <v>0</v>
      </c>
    </row>
    <row r="45" spans="1:33" s="2" customFormat="1" x14ac:dyDescent="0.3">
      <c r="A45" s="113" t="str">
        <f t="shared" si="10"/>
        <v>Option 3</v>
      </c>
      <c r="B45" s="113"/>
      <c r="C45" s="13"/>
      <c r="D45" s="35"/>
      <c r="E45" s="1"/>
      <c r="F45" s="88"/>
      <c r="G45" s="176"/>
      <c r="H45"/>
      <c r="I45"/>
      <c r="J45"/>
      <c r="K45"/>
      <c r="L45"/>
      <c r="M45"/>
      <c r="N45"/>
      <c r="O45"/>
      <c r="P45"/>
      <c r="Q45"/>
      <c r="R45"/>
      <c r="S45"/>
      <c r="T45"/>
      <c r="U45"/>
      <c r="V45"/>
      <c r="W45"/>
      <c r="X45"/>
      <c r="Y45"/>
      <c r="Z45"/>
      <c r="AA45"/>
      <c r="AB45"/>
      <c r="AC45"/>
      <c r="AD45"/>
      <c r="AE45"/>
      <c r="AF45"/>
      <c r="AG45"/>
    </row>
    <row r="46" spans="1:33" s="2" customFormat="1" ht="13" x14ac:dyDescent="0.3">
      <c r="A46" s="113" t="str">
        <f t="shared" si="10"/>
        <v>Option 3</v>
      </c>
      <c r="B46" s="113"/>
      <c r="C46" s="105" t="s">
        <v>161</v>
      </c>
      <c r="D46" s="35" t="str">
        <f t="shared" ref="D46:D53" si="11">A46&amp;C46</f>
        <v>Option 3Annualised Incremental capex</v>
      </c>
      <c r="E46" s="1"/>
      <c r="F46" s="88" cm="1">
        <f t="array" ref="F46">SUMPRODUCT(($H46:$AG46)*($H$5:$AG$5)*($H$7:$AG$7))</f>
        <v>-8463540.3654497266</v>
      </c>
      <c r="G46" s="175">
        <f t="shared" ref="G46:G53" si="12">output_dollars</f>
        <v>46203</v>
      </c>
      <c r="H46" s="29"/>
      <c r="I46" s="29">
        <f>Option3!I$67*conv_2026*I$7</f>
        <v>-534603.45661955606</v>
      </c>
      <c r="J46" s="29">
        <f>Option3!J$67*conv_2026*J$7</f>
        <v>-1784063.1461025202</v>
      </c>
      <c r="K46" s="29">
        <f>Option3!K$67*conv_2026*K$7</f>
        <v>-2562725.6777433511</v>
      </c>
      <c r="L46" s="29">
        <f>Option3!L$67*conv_2026*L$7</f>
        <v>-2339115.8270691969</v>
      </c>
      <c r="M46" s="29">
        <f>Option3!M$67*conv_2026*M$7</f>
        <v>-2122874.2579261134</v>
      </c>
      <c r="N46" s="29">
        <f>Option3!N$67*conv_2026*N$7</f>
        <v>0</v>
      </c>
      <c r="O46" s="29">
        <f>Option3!O$67*conv_2026*O$7</f>
        <v>0</v>
      </c>
      <c r="P46" s="29">
        <f>Option3!P$67*conv_2026*P$7</f>
        <v>0</v>
      </c>
      <c r="Q46" s="29">
        <f>Option3!Q$67*conv_2026*Q$7</f>
        <v>0</v>
      </c>
      <c r="R46" s="29">
        <f>Option3!R$67*conv_2026*R$7</f>
        <v>0</v>
      </c>
      <c r="S46" s="29">
        <f>Option3!S$67*conv_2026*S$7</f>
        <v>0</v>
      </c>
      <c r="T46" s="29">
        <f>Option3!T$67*conv_2026*T$7</f>
        <v>0</v>
      </c>
      <c r="U46" s="29">
        <f>Option3!U$67*conv_2026*U$7</f>
        <v>0</v>
      </c>
      <c r="V46" s="29">
        <f>Option3!V$67*conv_2026*V$7</f>
        <v>0</v>
      </c>
      <c r="W46" s="29">
        <f>Option3!W$67*conv_2026*W$7</f>
        <v>0</v>
      </c>
      <c r="X46" s="29">
        <f>Option3!X$67*conv_2026*X$7</f>
        <v>0</v>
      </c>
      <c r="Y46" s="29">
        <f>Option3!Y$67*conv_2026*Y$7</f>
        <v>0</v>
      </c>
      <c r="Z46" s="29">
        <f>Option3!Z$67*conv_2026*Z$7</f>
        <v>0</v>
      </c>
      <c r="AA46" s="29">
        <f>Option3!AA$67*conv_2026*AA$7</f>
        <v>0</v>
      </c>
      <c r="AB46" s="29">
        <f>Option3!AB$67*conv_2026*AB$7</f>
        <v>0</v>
      </c>
      <c r="AC46" s="29">
        <f>Option3!AC$67*conv_2026*AC$7</f>
        <v>0</v>
      </c>
      <c r="AD46" s="29">
        <f>Option3!AD$67*conv_2026*AD$7</f>
        <v>0</v>
      </c>
      <c r="AE46" s="29">
        <f>Option3!AE$67*conv_2026*AE$7</f>
        <v>0</v>
      </c>
      <c r="AF46" s="29">
        <f>Option3!AF$67*conv_2026*AF$7</f>
        <v>0</v>
      </c>
      <c r="AG46" s="29">
        <f>Option3!AG$67*conv_2026*AG$7</f>
        <v>0</v>
      </c>
    </row>
    <row r="47" spans="1:33" s="2" customFormat="1" ht="13" x14ac:dyDescent="0.3">
      <c r="A47" s="113" t="str">
        <f t="shared" si="10"/>
        <v>Option 3</v>
      </c>
      <c r="B47" s="113"/>
      <c r="C47" s="105" t="s">
        <v>163</v>
      </c>
      <c r="D47" s="35" t="str">
        <f t="shared" si="11"/>
        <v>Option 3Incremental operating expenditure</v>
      </c>
      <c r="E47" s="1"/>
      <c r="F47" s="88" cm="1">
        <f t="array" ref="F47">SUMPRODUCT(($H47:$AG47)*($H$5:$AG$5)*($H$7:$AG$7))</f>
        <v>-9052944.2752429657</v>
      </c>
      <c r="G47" s="175">
        <f t="shared" si="12"/>
        <v>46203</v>
      </c>
      <c r="H47" s="29"/>
      <c r="I47" s="29">
        <f>Option3!I$68*conv_2026*I$7</f>
        <v>-1340543.3540404991</v>
      </c>
      <c r="J47" s="29">
        <f>Option3!J$68*conv_2026*J$7</f>
        <v>-2327224.1281373063</v>
      </c>
      <c r="K47" s="29">
        <f>Option3!K$68*conv_2026*K$7</f>
        <v>-2478863.4485788462</v>
      </c>
      <c r="L47" s="29">
        <f>Option3!L$68*conv_2026*L$7</f>
        <v>-1714133.4471266151</v>
      </c>
      <c r="M47" s="29">
        <f>Option3!M$68*conv_2026*M$7</f>
        <v>-2020608.4329873864</v>
      </c>
      <c r="N47" s="29">
        <f>Option3!N$68*conv_2026*N$7</f>
        <v>0</v>
      </c>
      <c r="O47" s="29">
        <f>Option3!O$68*conv_2026*O$7</f>
        <v>0</v>
      </c>
      <c r="P47" s="29">
        <f>Option3!P$68*conv_2026*P$7</f>
        <v>0</v>
      </c>
      <c r="Q47" s="29">
        <f>Option3!Q$68*conv_2026*Q$7</f>
        <v>0</v>
      </c>
      <c r="R47" s="29">
        <f>Option3!R$68*conv_2026*R$7</f>
        <v>0</v>
      </c>
      <c r="S47" s="29">
        <f>Option3!S$68*conv_2026*S$7</f>
        <v>0</v>
      </c>
      <c r="T47" s="29">
        <f>Option3!T$68*conv_2026*T$7</f>
        <v>0</v>
      </c>
      <c r="U47" s="29">
        <f>Option3!U$68*conv_2026*U$7</f>
        <v>0</v>
      </c>
      <c r="V47" s="29">
        <f>Option3!V$68*conv_2026*V$7</f>
        <v>0</v>
      </c>
      <c r="W47" s="29">
        <f>Option3!W$68*conv_2026*W$7</f>
        <v>0</v>
      </c>
      <c r="X47" s="29">
        <f>Option3!X$68*conv_2026*X$7</f>
        <v>0</v>
      </c>
      <c r="Y47" s="29">
        <f>Option3!Y$68*conv_2026*Y$7</f>
        <v>0</v>
      </c>
      <c r="Z47" s="29">
        <f>Option3!Z$68*conv_2026*Z$7</f>
        <v>0</v>
      </c>
      <c r="AA47" s="29">
        <f>Option3!AA$68*conv_2026*AA$7</f>
        <v>0</v>
      </c>
      <c r="AB47" s="29">
        <f>Option3!AB$68*conv_2026*AB$7</f>
        <v>0</v>
      </c>
      <c r="AC47" s="29">
        <f>Option3!AC$68*conv_2026*AC$7</f>
        <v>0</v>
      </c>
      <c r="AD47" s="29">
        <f>Option3!AD$68*conv_2026*AD$7</f>
        <v>0</v>
      </c>
      <c r="AE47" s="29">
        <f>Option3!AE$68*conv_2026*AE$7</f>
        <v>0</v>
      </c>
      <c r="AF47" s="29">
        <f>Option3!AF$68*conv_2026*AF$7</f>
        <v>0</v>
      </c>
      <c r="AG47" s="29">
        <f>Option3!AG$68*conv_2026*AG$7</f>
        <v>0</v>
      </c>
    </row>
    <row r="48" spans="1:33" s="2" customFormat="1" ht="13" x14ac:dyDescent="0.3">
      <c r="A48" s="113" t="str">
        <f t="shared" si="10"/>
        <v>Option 3</v>
      </c>
      <c r="B48" s="113"/>
      <c r="C48" s="105" t="s">
        <v>100</v>
      </c>
      <c r="D48" s="35" t="str">
        <f t="shared" si="11"/>
        <v>Option 3Risk mitigated</v>
      </c>
      <c r="E48" s="1"/>
      <c r="F48" s="88" cm="1">
        <f t="array" ref="F48">SUMPRODUCT(($H48:$AG48)*($H$5:$AG$5)*($H$7:$AG$7))</f>
        <v>88874124.32688199</v>
      </c>
      <c r="G48" s="175">
        <f t="shared" si="12"/>
        <v>46203</v>
      </c>
      <c r="H48" s="29"/>
      <c r="I48" s="29">
        <f>Option3!I$69*conv_2026*I$7</f>
        <v>19348280.156540129</v>
      </c>
      <c r="J48" s="29">
        <f>Option3!J$69*conv_2026*J$7</f>
        <v>19348280.156540129</v>
      </c>
      <c r="K48" s="29">
        <f>Option3!K$69*conv_2026*K$7</f>
        <v>19348280.156540129</v>
      </c>
      <c r="L48" s="29">
        <f>Option3!L$69*conv_2026*L$7</f>
        <v>19348280.156540129</v>
      </c>
      <c r="M48" s="29">
        <f>Option3!M$69*conv_2026*M$7</f>
        <v>19348280.156540129</v>
      </c>
      <c r="N48" s="29">
        <f>Option3!N$69*conv_2026*N$7</f>
        <v>0</v>
      </c>
      <c r="O48" s="29">
        <f>Option3!O$69*conv_2026*O$7</f>
        <v>0</v>
      </c>
      <c r="P48" s="29">
        <f>Option3!P$69*conv_2026*P$7</f>
        <v>0</v>
      </c>
      <c r="Q48" s="29">
        <f>Option3!Q$69*conv_2026*Q$7</f>
        <v>0</v>
      </c>
      <c r="R48" s="29">
        <f>Option3!R$69*conv_2026*R$7</f>
        <v>0</v>
      </c>
      <c r="S48" s="29">
        <f>Option3!S$69*conv_2026*S$7</f>
        <v>0</v>
      </c>
      <c r="T48" s="29">
        <f>Option3!T$69*conv_2026*T$7</f>
        <v>0</v>
      </c>
      <c r="U48" s="29">
        <f>Option3!U$69*conv_2026*U$7</f>
        <v>0</v>
      </c>
      <c r="V48" s="29">
        <f>Option3!V$69*conv_2026*V$7</f>
        <v>0</v>
      </c>
      <c r="W48" s="29">
        <f>Option3!W$69*conv_2026*W$7</f>
        <v>0</v>
      </c>
      <c r="X48" s="29">
        <f>Option3!X$69*conv_2026*X$7</f>
        <v>0</v>
      </c>
      <c r="Y48" s="29">
        <f>Option3!Y$69*conv_2026*Y$7</f>
        <v>0</v>
      </c>
      <c r="Z48" s="29">
        <f>Option3!Z$69*conv_2026*Z$7</f>
        <v>0</v>
      </c>
      <c r="AA48" s="29">
        <f>Option3!AA$69*conv_2026*AA$7</f>
        <v>0</v>
      </c>
      <c r="AB48" s="29">
        <f>Option3!AB$69*conv_2026*AB$7</f>
        <v>0</v>
      </c>
      <c r="AC48" s="29">
        <f>Option3!AC$69*conv_2026*AC$7</f>
        <v>0</v>
      </c>
      <c r="AD48" s="29">
        <f>Option3!AD$69*conv_2026*AD$7</f>
        <v>0</v>
      </c>
      <c r="AE48" s="29">
        <f>Option3!AE$69*conv_2026*AE$7</f>
        <v>0</v>
      </c>
      <c r="AF48" s="29">
        <f>Option3!AF$69*conv_2026*AF$7</f>
        <v>0</v>
      </c>
      <c r="AG48" s="29">
        <f>Option3!AG$69*conv_2026*AG$7</f>
        <v>0</v>
      </c>
    </row>
    <row r="49" spans="1:33" s="2" customFormat="1" ht="13" x14ac:dyDescent="0.3">
      <c r="A49" s="113" t="str">
        <f t="shared" si="10"/>
        <v>Option 3</v>
      </c>
      <c r="B49" s="113"/>
      <c r="C49" s="105" t="s">
        <v>88</v>
      </c>
      <c r="D49" s="35" t="str">
        <f t="shared" si="11"/>
        <v>Option 3Other benefits value</v>
      </c>
      <c r="E49" s="1"/>
      <c r="F49" s="88" cm="1">
        <f t="array" ref="F49">SUMPRODUCT(($H49:$AG49)*($H$5:$AG$5)*($H$7:$AG$7))</f>
        <v>0</v>
      </c>
      <c r="G49" s="175">
        <f t="shared" si="12"/>
        <v>46203</v>
      </c>
      <c r="H49" s="29"/>
      <c r="I49" s="29">
        <f>Option3!I$70*conv_2026*I$7</f>
        <v>0</v>
      </c>
      <c r="J49" s="29">
        <f>Option3!J$70*conv_2026*J$7</f>
        <v>0</v>
      </c>
      <c r="K49" s="29">
        <f>Option3!K$70*conv_2026*K$7</f>
        <v>0</v>
      </c>
      <c r="L49" s="29">
        <f>Option3!L$70*conv_2026*L$7</f>
        <v>0</v>
      </c>
      <c r="M49" s="29">
        <f>Option3!M$70*conv_2026*M$7</f>
        <v>0</v>
      </c>
      <c r="N49" s="29">
        <f>Option3!N$70*conv_2026*N$7</f>
        <v>0</v>
      </c>
      <c r="O49" s="29">
        <f>Option3!O$70*conv_2026*O$7</f>
        <v>0</v>
      </c>
      <c r="P49" s="29">
        <f>Option3!P$70*conv_2026*P$7</f>
        <v>0</v>
      </c>
      <c r="Q49" s="29">
        <f>Option3!Q$70*conv_2026*Q$7</f>
        <v>0</v>
      </c>
      <c r="R49" s="29">
        <f>Option3!R$70*conv_2026*R$7</f>
        <v>0</v>
      </c>
      <c r="S49" s="29">
        <f>Option3!S$70*conv_2026*S$7</f>
        <v>0</v>
      </c>
      <c r="T49" s="29">
        <f>Option3!T$70*conv_2026*T$7</f>
        <v>0</v>
      </c>
      <c r="U49" s="29">
        <f>Option3!U$70*conv_2026*U$7</f>
        <v>0</v>
      </c>
      <c r="V49" s="29">
        <f>Option3!V$70*conv_2026*V$7</f>
        <v>0</v>
      </c>
      <c r="W49" s="29">
        <f>Option3!W$70*conv_2026*W$7</f>
        <v>0</v>
      </c>
      <c r="X49" s="29">
        <f>Option3!X$70*conv_2026*X$7</f>
        <v>0</v>
      </c>
      <c r="Y49" s="29">
        <f>Option3!Y$70*conv_2026*Y$7</f>
        <v>0</v>
      </c>
      <c r="Z49" s="29">
        <f>Option3!Z$70*conv_2026*Z$7</f>
        <v>0</v>
      </c>
      <c r="AA49" s="29">
        <f>Option3!AA$70*conv_2026*AA$7</f>
        <v>0</v>
      </c>
      <c r="AB49" s="29">
        <f>Option3!AB$70*conv_2026*AB$7</f>
        <v>0</v>
      </c>
      <c r="AC49" s="29">
        <f>Option3!AC$70*conv_2026*AC$7</f>
        <v>0</v>
      </c>
      <c r="AD49" s="29">
        <f>Option3!AD$70*conv_2026*AD$7</f>
        <v>0</v>
      </c>
      <c r="AE49" s="29">
        <f>Option3!AE$70*conv_2026*AE$7</f>
        <v>0</v>
      </c>
      <c r="AF49" s="29">
        <f>Option3!AF$70*conv_2026*AF$7</f>
        <v>0</v>
      </c>
      <c r="AG49" s="29">
        <f>Option3!AG$70*conv_2026*AG$7</f>
        <v>0</v>
      </c>
    </row>
    <row r="50" spans="1:33" s="2" customFormat="1" ht="13" x14ac:dyDescent="0.3">
      <c r="A50" s="113" t="str">
        <f t="shared" si="10"/>
        <v>Option 3</v>
      </c>
      <c r="B50" s="113"/>
      <c r="C50" s="197" t="s">
        <v>127</v>
      </c>
      <c r="D50" s="100" t="str">
        <f t="shared" si="11"/>
        <v>Option 3Net benefits</v>
      </c>
      <c r="E50" s="101"/>
      <c r="F50" s="121"/>
      <c r="G50" s="177">
        <f t="shared" si="12"/>
        <v>46203</v>
      </c>
      <c r="H50" s="48"/>
      <c r="I50" s="48">
        <f>SUM(I46:I49)</f>
        <v>17473133.345880073</v>
      </c>
      <c r="J50" s="48">
        <f t="shared" ref="J50:R50" si="13">SUM(J46:J49)</f>
        <v>15236992.882300302</v>
      </c>
      <c r="K50" s="48">
        <f t="shared" si="13"/>
        <v>14306691.030217933</v>
      </c>
      <c r="L50" s="48">
        <f t="shared" si="13"/>
        <v>15295030.882344317</v>
      </c>
      <c r="M50" s="48">
        <f t="shared" si="13"/>
        <v>15204797.465626629</v>
      </c>
      <c r="N50" s="48">
        <f t="shared" si="13"/>
        <v>0</v>
      </c>
      <c r="O50" s="48">
        <f t="shared" si="13"/>
        <v>0</v>
      </c>
      <c r="P50" s="48">
        <f t="shared" si="13"/>
        <v>0</v>
      </c>
      <c r="Q50" s="48">
        <f t="shared" si="13"/>
        <v>0</v>
      </c>
      <c r="R50" s="48">
        <f t="shared" si="13"/>
        <v>0</v>
      </c>
      <c r="S50" s="48">
        <f t="shared" ref="S50" si="14">SUM(S46:S49)</f>
        <v>0</v>
      </c>
      <c r="T50" s="48">
        <f t="shared" ref="T50" si="15">SUM(T46:T49)</f>
        <v>0</v>
      </c>
      <c r="U50" s="48">
        <f t="shared" ref="U50" si="16">SUM(U46:U49)</f>
        <v>0</v>
      </c>
      <c r="V50" s="48">
        <f t="shared" ref="V50" si="17">SUM(V46:V49)</f>
        <v>0</v>
      </c>
      <c r="W50" s="48">
        <f t="shared" ref="W50" si="18">SUM(W46:W49)</f>
        <v>0</v>
      </c>
      <c r="X50" s="48">
        <f t="shared" ref="X50" si="19">SUM(X46:X49)</f>
        <v>0</v>
      </c>
      <c r="Y50" s="48">
        <f t="shared" ref="Y50" si="20">SUM(Y46:Y49)</f>
        <v>0</v>
      </c>
      <c r="Z50" s="48">
        <f t="shared" ref="Z50" si="21">SUM(Z46:Z49)</f>
        <v>0</v>
      </c>
      <c r="AA50" s="48">
        <f t="shared" ref="AA50" si="22">SUM(AA46:AA49)</f>
        <v>0</v>
      </c>
      <c r="AB50" s="48">
        <f t="shared" ref="AB50" si="23">SUM(AB46:AB49)</f>
        <v>0</v>
      </c>
      <c r="AC50" s="48">
        <f t="shared" ref="AC50" si="24">SUM(AC46:AC49)</f>
        <v>0</v>
      </c>
      <c r="AD50" s="48">
        <f t="shared" ref="AD50" si="25">SUM(AD46:AD49)</f>
        <v>0</v>
      </c>
      <c r="AE50" s="48">
        <f t="shared" ref="AE50" si="26">SUM(AE46:AE49)</f>
        <v>0</v>
      </c>
      <c r="AF50" s="48">
        <f t="shared" ref="AF50" si="27">SUM(AF46:AF49)</f>
        <v>0</v>
      </c>
      <c r="AG50" s="48">
        <f t="shared" ref="AG50" si="28">SUM(AG46:AG49)</f>
        <v>0</v>
      </c>
    </row>
    <row r="51" spans="1:33" s="2" customFormat="1" ht="13" x14ac:dyDescent="0.3">
      <c r="A51" s="113" t="str">
        <f t="shared" si="10"/>
        <v>Option 3</v>
      </c>
      <c r="B51" s="113"/>
      <c r="C51" s="7" t="s">
        <v>85</v>
      </c>
      <c r="D51" s="35" t="str">
        <f t="shared" si="11"/>
        <v>Option 3NPV</v>
      </c>
      <c r="E51" s="1"/>
      <c r="F51" s="99" cm="1">
        <f t="array" ref="F51">SUMPRODUCT(($H50:$AG50)*($H$5:$AG$5)*($H$7:$AG$7))</f>
        <v>71357639.686189279</v>
      </c>
      <c r="G51" s="175">
        <f t="shared" si="12"/>
        <v>46203</v>
      </c>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1:33" s="2" customFormat="1" ht="13" x14ac:dyDescent="0.3">
      <c r="A52" s="113" t="str">
        <f t="shared" si="10"/>
        <v>Option 3</v>
      </c>
      <c r="B52" s="113"/>
      <c r="C52" s="7" t="s">
        <v>158</v>
      </c>
      <c r="D52" s="35" t="str">
        <f t="shared" si="11"/>
        <v>Option 3PV of incremental costs</v>
      </c>
      <c r="E52" s="1"/>
      <c r="F52" s="99">
        <f>SUM(F46:F47)</f>
        <v>-17516484.640692692</v>
      </c>
      <c r="G52" s="175">
        <f t="shared" si="12"/>
        <v>46203</v>
      </c>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1:33" s="2" customFormat="1" ht="13" x14ac:dyDescent="0.3">
      <c r="A53" s="113" t="str">
        <f t="shared" si="10"/>
        <v>Option 3</v>
      </c>
      <c r="B53" s="113"/>
      <c r="C53" s="7" t="s">
        <v>159</v>
      </c>
      <c r="D53" s="35" t="str">
        <f t="shared" si="11"/>
        <v>Option 3PV of incremental benefits</v>
      </c>
      <c r="E53" s="1"/>
      <c r="F53" s="99">
        <f>SUM(F48:F49)</f>
        <v>88874124.32688199</v>
      </c>
      <c r="G53" s="175">
        <f t="shared" si="12"/>
        <v>46203</v>
      </c>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1:33" s="2" customFormat="1" ht="13" x14ac:dyDescent="0.3">
      <c r="A54" s="113"/>
      <c r="B54" s="113"/>
      <c r="C54" s="1"/>
      <c r="D54" s="35"/>
      <c r="E54" s="1"/>
      <c r="F54" s="99"/>
      <c r="G54" s="178"/>
      <c r="H54" s="1"/>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row>
    <row r="55" spans="1:33" s="2" customFormat="1" ht="13" x14ac:dyDescent="0.3">
      <c r="A55" s="105"/>
      <c r="B55" s="105"/>
      <c r="C55" s="105"/>
      <c r="D55" s="35"/>
      <c r="F55" s="8"/>
      <c r="G55" s="171"/>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s="2" customFormat="1" ht="13" x14ac:dyDescent="0.3">
      <c r="A56" s="105"/>
      <c r="B56" s="105"/>
      <c r="C56" s="105"/>
      <c r="D56" s="35"/>
      <c r="F56" s="8"/>
      <c r="G56" s="171"/>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s="2" customFormat="1" ht="13" x14ac:dyDescent="0.3">
      <c r="A57" s="113" t="str">
        <f>Data!B12</f>
        <v>Option 4</v>
      </c>
      <c r="B57" s="113"/>
      <c r="C57" s="105" t="s">
        <v>162</v>
      </c>
      <c r="D57" s="35" t="str">
        <f t="shared" ref="D57:D67" si="29">A57&amp;C57</f>
        <v>Option 4Incremental capital expenditure</v>
      </c>
      <c r="E57" s="1"/>
      <c r="F57" s="88" cm="1">
        <f t="array" ref="F57">SUMPRODUCT(($H57:$AG57)*($H$5:$AG$5)*($H$7:$AG$7))</f>
        <v>2744002.7729544649</v>
      </c>
      <c r="G57" s="175">
        <f>output_dollars</f>
        <v>46203</v>
      </c>
      <c r="H57" s="29"/>
      <c r="I57" s="29">
        <f>SUM(Option4!I$52:I$54)*conv_2026*I$7</f>
        <v>-1084991.40542</v>
      </c>
      <c r="J57" s="29">
        <f>SUM(Option4!J$52:J$54)*conv_2026*J$7</f>
        <v>-1066374.6441549999</v>
      </c>
      <c r="K57" s="29">
        <f>SUM(Option4!K$52:K$54)*conv_2026*K$7</f>
        <v>2570225.49474</v>
      </c>
      <c r="L57" s="29">
        <f>SUM(Option4!L$52:L$54)*conv_2026*L$7</f>
        <v>1457755.31672</v>
      </c>
      <c r="M57" s="29">
        <f>SUM(Option4!M$52:M$54)*conv_2026*M$7</f>
        <v>1368731.1668149999</v>
      </c>
      <c r="N57" s="29">
        <f>SUM(Option4!N$52:N$54)*conv_2026*N$7</f>
        <v>0</v>
      </c>
      <c r="O57" s="29">
        <f>SUM(Option4!O$52:O$54)*conv_2026*O$7</f>
        <v>0</v>
      </c>
      <c r="P57" s="29">
        <f>SUM(Option4!P$52:P$54)*conv_2026*P$7</f>
        <v>0</v>
      </c>
      <c r="Q57" s="29">
        <f>SUM(Option4!Q$52:Q$54)*conv_2026*Q$7</f>
        <v>0</v>
      </c>
      <c r="R57" s="29">
        <f>SUM(Option4!R$52:R$54)*conv_2026*R$7</f>
        <v>0</v>
      </c>
      <c r="S57" s="29">
        <f>SUM(Option4!S$52:S$54)*conv_2026*S$7</f>
        <v>0</v>
      </c>
      <c r="T57" s="29">
        <f>SUM(Option4!T$52:T$54)*conv_2026*T$7</f>
        <v>0</v>
      </c>
      <c r="U57" s="29">
        <f>SUM(Option4!U$52:U$54)*conv_2026*U$7</f>
        <v>0</v>
      </c>
      <c r="V57" s="29">
        <f>SUM(Option4!V$52:V$54)*conv_2026*V$7</f>
        <v>0</v>
      </c>
      <c r="W57" s="29">
        <f>SUM(Option4!W$52:W$54)*conv_2026*W$7</f>
        <v>0</v>
      </c>
      <c r="X57" s="29">
        <f>SUM(Option4!X$52:X$54)*conv_2026*X$7</f>
        <v>0</v>
      </c>
      <c r="Y57" s="29">
        <f>SUM(Option4!Y$52:Y$54)*conv_2026*Y$7</f>
        <v>0</v>
      </c>
      <c r="Z57" s="29">
        <f>SUM(Option4!Z$52:Z$54)*conv_2026*Z$7</f>
        <v>0</v>
      </c>
      <c r="AA57" s="29">
        <f>SUM(Option4!AA$52:AA$54)*conv_2026*AA$7</f>
        <v>0</v>
      </c>
      <c r="AB57" s="29">
        <f>SUM(Option4!AB$52:AB$54)*conv_2026*AB$7</f>
        <v>0</v>
      </c>
      <c r="AC57" s="29">
        <f>SUM(Option4!AC$52:AC$54)*conv_2026*AC$7</f>
        <v>0</v>
      </c>
      <c r="AD57" s="29">
        <f>SUM(Option4!AD$52:AD$54)*conv_2026*AD$7</f>
        <v>0</v>
      </c>
      <c r="AE57" s="29">
        <f>SUM(Option4!AE$52:AE$54)*conv_2026*AE$7</f>
        <v>0</v>
      </c>
      <c r="AF57" s="29">
        <f>SUM(Option4!AF$52:AF$54)*conv_2026*AF$7</f>
        <v>0</v>
      </c>
      <c r="AG57" s="29">
        <f>SUM(Option4!AG$52:AG$54)*conv_2026*AG$7</f>
        <v>0</v>
      </c>
    </row>
    <row r="58" spans="1:33" s="2" customFormat="1" ht="13" x14ac:dyDescent="0.3">
      <c r="A58" s="113" t="str">
        <f t="shared" ref="A58:A67" si="30">A57</f>
        <v>Option 4</v>
      </c>
      <c r="B58" s="113"/>
      <c r="C58" s="105" t="s">
        <v>120</v>
      </c>
      <c r="D58" s="35" t="str">
        <f t="shared" si="29"/>
        <v>Option 4Total risk cost</v>
      </c>
      <c r="E58" s="1"/>
      <c r="F58" s="88" cm="1">
        <f t="array" ref="F58">SUMPRODUCT(($H58:$AG58)*($H$5:$AG$5)*($H$7:$AG$7))</f>
        <v>34758131.165060058</v>
      </c>
      <c r="G58" s="175">
        <f>output_dollars</f>
        <v>46203</v>
      </c>
      <c r="H58" s="29"/>
      <c r="I58" s="29">
        <f>Option4!I32*conv_2026*I$7</f>
        <v>7566995.0572546441</v>
      </c>
      <c r="J58" s="29">
        <f>Option4!J32*conv_2026*J$7</f>
        <v>7566995.0572546441</v>
      </c>
      <c r="K58" s="29">
        <f>Option4!K32*conv_2026*K$7</f>
        <v>7566995.0572546441</v>
      </c>
      <c r="L58" s="29">
        <f>Option4!L32*conv_2026*L$7</f>
        <v>7566995.0572546441</v>
      </c>
      <c r="M58" s="29">
        <f>Option4!M32*conv_2026*M$7</f>
        <v>7566995.0572546441</v>
      </c>
      <c r="N58" s="29">
        <f>Option4!N32*conv_2026*N$7</f>
        <v>0</v>
      </c>
      <c r="O58" s="29">
        <f>Option4!O32*conv_2026*O$7</f>
        <v>0</v>
      </c>
      <c r="P58" s="29">
        <f>Option4!P32*conv_2026*P$7</f>
        <v>0</v>
      </c>
      <c r="Q58" s="29">
        <f>Option4!Q32*conv_2026*Q$7</f>
        <v>0</v>
      </c>
      <c r="R58" s="29">
        <f>Option4!R32*conv_2026*R$7</f>
        <v>0</v>
      </c>
      <c r="S58" s="29">
        <f>Option4!S32*conv_2026*S$7</f>
        <v>0</v>
      </c>
      <c r="T58" s="29">
        <f>Option4!T32*conv_2026*T$7</f>
        <v>0</v>
      </c>
      <c r="U58" s="29">
        <f>Option4!U32*conv_2026*U$7</f>
        <v>0</v>
      </c>
      <c r="V58" s="29">
        <f>Option4!V32*conv_2026*V$7</f>
        <v>0</v>
      </c>
      <c r="W58" s="29">
        <f>Option4!W32*conv_2026*W$7</f>
        <v>0</v>
      </c>
      <c r="X58" s="29">
        <f>Option4!X32*conv_2026*X$7</f>
        <v>0</v>
      </c>
      <c r="Y58" s="29">
        <f>Option4!Y32*conv_2026*Y$7</f>
        <v>0</v>
      </c>
      <c r="Z58" s="29">
        <f>Option4!Z32*conv_2026*Z$7</f>
        <v>0</v>
      </c>
      <c r="AA58" s="29">
        <f>Option4!AA32*conv_2026*AA$7</f>
        <v>0</v>
      </c>
      <c r="AB58" s="29">
        <f>Option4!AB32*conv_2026*AB$7</f>
        <v>0</v>
      </c>
      <c r="AC58" s="29">
        <f>Option4!AC32*conv_2026*AC$7</f>
        <v>0</v>
      </c>
      <c r="AD58" s="29">
        <f>Option4!AD32*conv_2026*AD$7</f>
        <v>0</v>
      </c>
      <c r="AE58" s="29">
        <f>Option4!AE32*conv_2026*AE$7</f>
        <v>0</v>
      </c>
      <c r="AF58" s="29">
        <f>Option4!AF32*conv_2026*AF$7</f>
        <v>0</v>
      </c>
      <c r="AG58" s="29">
        <f>Option4!AG32*conv_2026*AG$7</f>
        <v>0</v>
      </c>
    </row>
    <row r="59" spans="1:33" s="2" customFormat="1" x14ac:dyDescent="0.3">
      <c r="A59" s="113" t="str">
        <f t="shared" si="30"/>
        <v>Option 4</v>
      </c>
      <c r="B59" s="113"/>
      <c r="C59" s="13"/>
      <c r="D59" s="35" t="str">
        <f t="shared" si="29"/>
        <v>Option 4</v>
      </c>
      <c r="E59" s="1"/>
      <c r="F59" s="88"/>
      <c r="G59" s="176"/>
      <c r="H59"/>
      <c r="I59"/>
      <c r="J59"/>
      <c r="K59"/>
      <c r="L59"/>
      <c r="M59"/>
      <c r="N59"/>
      <c r="O59"/>
      <c r="P59"/>
      <c r="Q59"/>
      <c r="R59"/>
      <c r="S59"/>
      <c r="T59"/>
      <c r="U59"/>
      <c r="V59"/>
      <c r="W59"/>
      <c r="X59"/>
      <c r="Y59"/>
      <c r="Z59"/>
      <c r="AA59"/>
      <c r="AB59"/>
      <c r="AC59"/>
      <c r="AD59"/>
      <c r="AE59"/>
      <c r="AF59"/>
      <c r="AG59"/>
    </row>
    <row r="60" spans="1:33" s="2" customFormat="1" ht="13" x14ac:dyDescent="0.3">
      <c r="A60" s="113" t="str">
        <f t="shared" si="30"/>
        <v>Option 4</v>
      </c>
      <c r="B60" s="113"/>
      <c r="C60" s="105" t="s">
        <v>161</v>
      </c>
      <c r="D60" s="35" t="str">
        <f t="shared" si="29"/>
        <v>Option 4Annualised Incremental capex</v>
      </c>
      <c r="E60" s="1"/>
      <c r="F60" s="88" cm="1">
        <f t="array" ref="F60">SUMPRODUCT(($H60:$AG60)*($H$5:$AG$5)*($H$7:$AG$7))</f>
        <v>380576.37842506124</v>
      </c>
      <c r="G60" s="175">
        <f t="shared" ref="G60:G67" si="31">output_dollars</f>
        <v>46203</v>
      </c>
      <c r="H60" s="29"/>
      <c r="I60" s="29">
        <f>Option4!I$67*conv_2026*I$7</f>
        <v>-240305.38633715778</v>
      </c>
      <c r="J60" s="29">
        <f>Option4!J$67*conv_2026*J$7</f>
        <v>-476487.50682558678</v>
      </c>
      <c r="K60" s="29">
        <f>Option4!K$67*conv_2026*K$7</f>
        <v>92769.565075383842</v>
      </c>
      <c r="L60" s="29">
        <f>Option4!L$67*conv_2026*L$7</f>
        <v>415635.21435104957</v>
      </c>
      <c r="M60" s="29">
        <f>Option4!M$67*conv_2026*M$7</f>
        <v>718783.67266152333</v>
      </c>
      <c r="N60" s="29">
        <f>Option4!N$67*conv_2026*N$7</f>
        <v>0</v>
      </c>
      <c r="O60" s="29">
        <f>Option4!O$67*conv_2026*O$7</f>
        <v>0</v>
      </c>
      <c r="P60" s="29">
        <f>Option4!P$67*conv_2026*P$7</f>
        <v>0</v>
      </c>
      <c r="Q60" s="29">
        <f>Option4!Q$67*conv_2026*Q$7</f>
        <v>0</v>
      </c>
      <c r="R60" s="29">
        <f>Option4!R$67*conv_2026*R$7</f>
        <v>0</v>
      </c>
      <c r="S60" s="29">
        <f>Option4!S$67*conv_2026*S$7</f>
        <v>0</v>
      </c>
      <c r="T60" s="29">
        <f>Option4!T$67*conv_2026*T$7</f>
        <v>0</v>
      </c>
      <c r="U60" s="29">
        <f>Option4!U$67*conv_2026*U$7</f>
        <v>0</v>
      </c>
      <c r="V60" s="29">
        <f>Option4!V$67*conv_2026*V$7</f>
        <v>0</v>
      </c>
      <c r="W60" s="29">
        <f>Option4!W$67*conv_2026*W$7</f>
        <v>0</v>
      </c>
      <c r="X60" s="29">
        <f>Option4!X$67*conv_2026*X$7</f>
        <v>0</v>
      </c>
      <c r="Y60" s="29">
        <f>Option4!Y$67*conv_2026*Y$7</f>
        <v>0</v>
      </c>
      <c r="Z60" s="29">
        <f>Option4!Z$67*conv_2026*Z$7</f>
        <v>0</v>
      </c>
      <c r="AA60" s="29">
        <f>Option4!AA$67*conv_2026*AA$7</f>
        <v>0</v>
      </c>
      <c r="AB60" s="29">
        <f>Option4!AB$67*conv_2026*AB$7</f>
        <v>0</v>
      </c>
      <c r="AC60" s="29">
        <f>Option4!AC$67*conv_2026*AC$7</f>
        <v>0</v>
      </c>
      <c r="AD60" s="29">
        <f>Option4!AD$67*conv_2026*AD$7</f>
        <v>0</v>
      </c>
      <c r="AE60" s="29">
        <f>Option4!AE$67*conv_2026*AE$7</f>
        <v>0</v>
      </c>
      <c r="AF60" s="29">
        <f>Option4!AF$67*conv_2026*AF$7</f>
        <v>0</v>
      </c>
      <c r="AG60" s="29">
        <f>Option4!AG$67*conv_2026*AG$7</f>
        <v>0</v>
      </c>
    </row>
    <row r="61" spans="1:33" s="2" customFormat="1" ht="13" x14ac:dyDescent="0.3">
      <c r="A61" s="113" t="str">
        <f t="shared" si="30"/>
        <v>Option 4</v>
      </c>
      <c r="B61" s="113"/>
      <c r="C61" s="105" t="s">
        <v>163</v>
      </c>
      <c r="D61" s="35" t="str">
        <f t="shared" si="29"/>
        <v>Option 4Incremental operating expenditure</v>
      </c>
      <c r="E61" s="1"/>
      <c r="F61" s="88" cm="1">
        <f t="array" ref="F61">SUMPRODUCT(($H61:$AG61)*($H$5:$AG$5)*($H$7:$AG$7))</f>
        <v>-23808702.653980389</v>
      </c>
      <c r="G61" s="175">
        <f t="shared" si="31"/>
        <v>46203</v>
      </c>
      <c r="H61" s="29"/>
      <c r="I61" s="29">
        <f>Option4!I$68*conv_2026*I$7</f>
        <v>-4586277.1861823946</v>
      </c>
      <c r="J61" s="29">
        <f>Option4!J$68*conv_2026*J$7</f>
        <v>-5430562.5019568726</v>
      </c>
      <c r="K61" s="29">
        <f>Option4!K$68*conv_2026*K$7</f>
        <v>-4840914.2706139227</v>
      </c>
      <c r="L61" s="29">
        <f>Option4!L$68*conv_2026*L$7</f>
        <v>-5403105.1031161593</v>
      </c>
      <c r="M61" s="29">
        <f>Option4!M$68*conv_2026*M$7</f>
        <v>-5733297.6722847121</v>
      </c>
      <c r="N61" s="29">
        <f>Option4!N$68*conv_2026*N$7</f>
        <v>0</v>
      </c>
      <c r="O61" s="29">
        <f>Option4!O$68*conv_2026*O$7</f>
        <v>0</v>
      </c>
      <c r="P61" s="29">
        <f>Option4!P$68*conv_2026*P$7</f>
        <v>0</v>
      </c>
      <c r="Q61" s="29">
        <f>Option4!Q$68*conv_2026*Q$7</f>
        <v>0</v>
      </c>
      <c r="R61" s="29">
        <f>Option4!R$68*conv_2026*R$7</f>
        <v>0</v>
      </c>
      <c r="S61" s="29">
        <f>Option4!S$68*conv_2026*S$7</f>
        <v>0</v>
      </c>
      <c r="T61" s="29">
        <f>Option4!T$68*conv_2026*T$7</f>
        <v>0</v>
      </c>
      <c r="U61" s="29">
        <f>Option4!U$68*conv_2026*U$7</f>
        <v>0</v>
      </c>
      <c r="V61" s="29">
        <f>Option4!V$68*conv_2026*V$7</f>
        <v>0</v>
      </c>
      <c r="W61" s="29">
        <f>Option4!W$68*conv_2026*W$7</f>
        <v>0</v>
      </c>
      <c r="X61" s="29">
        <f>Option4!X$68*conv_2026*X$7</f>
        <v>0</v>
      </c>
      <c r="Y61" s="29">
        <f>Option4!Y$68*conv_2026*Y$7</f>
        <v>0</v>
      </c>
      <c r="Z61" s="29">
        <f>Option4!Z$68*conv_2026*Z$7</f>
        <v>0</v>
      </c>
      <c r="AA61" s="29">
        <f>Option4!AA$68*conv_2026*AA$7</f>
        <v>0</v>
      </c>
      <c r="AB61" s="29">
        <f>Option4!AB$68*conv_2026*AB$7</f>
        <v>0</v>
      </c>
      <c r="AC61" s="29">
        <f>Option4!AC$68*conv_2026*AC$7</f>
        <v>0</v>
      </c>
      <c r="AD61" s="29">
        <f>Option4!AD$68*conv_2026*AD$7</f>
        <v>0</v>
      </c>
      <c r="AE61" s="29">
        <f>Option4!AE$68*conv_2026*AE$7</f>
        <v>0</v>
      </c>
      <c r="AF61" s="29">
        <f>Option4!AF$68*conv_2026*AF$7</f>
        <v>0</v>
      </c>
      <c r="AG61" s="29">
        <f>Option4!AG$68*conv_2026*AG$7</f>
        <v>0</v>
      </c>
    </row>
    <row r="62" spans="1:33" s="2" customFormat="1" ht="13" x14ac:dyDescent="0.3">
      <c r="A62" s="113" t="str">
        <f t="shared" si="30"/>
        <v>Option 4</v>
      </c>
      <c r="B62" s="113"/>
      <c r="C62" s="105" t="s">
        <v>100</v>
      </c>
      <c r="D62" s="35" t="str">
        <f t="shared" si="29"/>
        <v>Option 4Risk mitigated</v>
      </c>
      <c r="E62" s="1"/>
      <c r="F62" s="88" cm="1">
        <f t="array" ref="F62">SUMPRODUCT(($H62:$AG62)*($H$5:$AG$5)*($H$7:$AG$7))</f>
        <v>87513534.993291497</v>
      </c>
      <c r="G62" s="175">
        <f t="shared" si="31"/>
        <v>46203</v>
      </c>
      <c r="H62" s="29"/>
      <c r="I62" s="29">
        <f>Option4!I$69*conv_2026*I$7</f>
        <v>19052073.990755763</v>
      </c>
      <c r="J62" s="29">
        <f>Option4!J$69*conv_2026*J$7</f>
        <v>19052073.990755763</v>
      </c>
      <c r="K62" s="29">
        <f>Option4!K$69*conv_2026*K$7</f>
        <v>19052073.990755763</v>
      </c>
      <c r="L62" s="29">
        <f>Option4!L$69*conv_2026*L$7</f>
        <v>19052073.990755763</v>
      </c>
      <c r="M62" s="29">
        <f>Option4!M$69*conv_2026*M$7</f>
        <v>19052073.990755763</v>
      </c>
      <c r="N62" s="29">
        <f>Option4!N$69*conv_2026*N$7</f>
        <v>0</v>
      </c>
      <c r="O62" s="29">
        <f>Option4!O$69*conv_2026*O$7</f>
        <v>0</v>
      </c>
      <c r="P62" s="29">
        <f>Option4!P$69*conv_2026*P$7</f>
        <v>0</v>
      </c>
      <c r="Q62" s="29">
        <f>Option4!Q$69*conv_2026*Q$7</f>
        <v>0</v>
      </c>
      <c r="R62" s="29">
        <f>Option4!R$69*conv_2026*R$7</f>
        <v>0</v>
      </c>
      <c r="S62" s="29">
        <f>Option4!S$69*conv_2026*S$7</f>
        <v>0</v>
      </c>
      <c r="T62" s="29">
        <f>Option4!T$69*conv_2026*T$7</f>
        <v>0</v>
      </c>
      <c r="U62" s="29">
        <f>Option4!U$69*conv_2026*U$7</f>
        <v>0</v>
      </c>
      <c r="V62" s="29">
        <f>Option4!V$69*conv_2026*V$7</f>
        <v>0</v>
      </c>
      <c r="W62" s="29">
        <f>Option4!W$69*conv_2026*W$7</f>
        <v>0</v>
      </c>
      <c r="X62" s="29">
        <f>Option4!X$69*conv_2026*X$7</f>
        <v>0</v>
      </c>
      <c r="Y62" s="29">
        <f>Option4!Y$69*conv_2026*Y$7</f>
        <v>0</v>
      </c>
      <c r="Z62" s="29">
        <f>Option4!Z$69*conv_2026*Z$7</f>
        <v>0</v>
      </c>
      <c r="AA62" s="29">
        <f>Option4!AA$69*conv_2026*AA$7</f>
        <v>0</v>
      </c>
      <c r="AB62" s="29">
        <f>Option4!AB$69*conv_2026*AB$7</f>
        <v>0</v>
      </c>
      <c r="AC62" s="29">
        <f>Option4!AC$69*conv_2026*AC$7</f>
        <v>0</v>
      </c>
      <c r="AD62" s="29">
        <f>Option4!AD$69*conv_2026*AD$7</f>
        <v>0</v>
      </c>
      <c r="AE62" s="29">
        <f>Option4!AE$69*conv_2026*AE$7</f>
        <v>0</v>
      </c>
      <c r="AF62" s="29">
        <f>Option4!AF$69*conv_2026*AF$7</f>
        <v>0</v>
      </c>
      <c r="AG62" s="29">
        <f>Option4!AG$69*conv_2026*AG$7</f>
        <v>0</v>
      </c>
    </row>
    <row r="63" spans="1:33" s="2" customFormat="1" ht="13" x14ac:dyDescent="0.3">
      <c r="A63" s="113" t="str">
        <f t="shared" si="30"/>
        <v>Option 4</v>
      </c>
      <c r="B63" s="113"/>
      <c r="C63" s="105" t="s">
        <v>88</v>
      </c>
      <c r="D63" s="35" t="str">
        <f t="shared" si="29"/>
        <v>Option 4Other benefits value</v>
      </c>
      <c r="E63" s="1"/>
      <c r="F63" s="88" cm="1">
        <f t="array" ref="F63">SUMPRODUCT(($H63:$AG63)*($H$5:$AG$5)*($H$7:$AG$7))</f>
        <v>0</v>
      </c>
      <c r="G63" s="175">
        <f t="shared" si="31"/>
        <v>46203</v>
      </c>
      <c r="H63" s="29"/>
      <c r="I63" s="29">
        <f>Option4!I$70*conv_2026*I$7</f>
        <v>0</v>
      </c>
      <c r="J63" s="29">
        <f>Option4!J$70*conv_2026*J$7</f>
        <v>0</v>
      </c>
      <c r="K63" s="29">
        <f>Option4!K$70*conv_2026*K$7</f>
        <v>0</v>
      </c>
      <c r="L63" s="29">
        <f>Option4!L$70*conv_2026*L$7</f>
        <v>0</v>
      </c>
      <c r="M63" s="29">
        <f>Option4!M$70*conv_2026*M$7</f>
        <v>0</v>
      </c>
      <c r="N63" s="29">
        <f>Option4!N$70*conv_2026*N$7</f>
        <v>0</v>
      </c>
      <c r="O63" s="29">
        <f>Option4!O$70*conv_2026*O$7</f>
        <v>0</v>
      </c>
      <c r="P63" s="29">
        <f>Option4!P$70*conv_2026*P$7</f>
        <v>0</v>
      </c>
      <c r="Q63" s="29">
        <f>Option4!Q$70*conv_2026*Q$7</f>
        <v>0</v>
      </c>
      <c r="R63" s="29">
        <f>Option4!R$70*conv_2026*R$7</f>
        <v>0</v>
      </c>
      <c r="S63" s="29">
        <f>Option4!S$70*conv_2026*S$7</f>
        <v>0</v>
      </c>
      <c r="T63" s="29">
        <f>Option4!T$70*conv_2026*T$7</f>
        <v>0</v>
      </c>
      <c r="U63" s="29">
        <f>Option4!U$70*conv_2026*U$7</f>
        <v>0</v>
      </c>
      <c r="V63" s="29">
        <f>Option4!V$70*conv_2026*V$7</f>
        <v>0</v>
      </c>
      <c r="W63" s="29">
        <f>Option4!W$70*conv_2026*W$7</f>
        <v>0</v>
      </c>
      <c r="X63" s="29">
        <f>Option4!X$70*conv_2026*X$7</f>
        <v>0</v>
      </c>
      <c r="Y63" s="29">
        <f>Option4!Y$70*conv_2026*Y$7</f>
        <v>0</v>
      </c>
      <c r="Z63" s="29">
        <f>Option4!Z$70*conv_2026*Z$7</f>
        <v>0</v>
      </c>
      <c r="AA63" s="29">
        <f>Option4!AA$70*conv_2026*AA$7</f>
        <v>0</v>
      </c>
      <c r="AB63" s="29">
        <f>Option4!AB$70*conv_2026*AB$7</f>
        <v>0</v>
      </c>
      <c r="AC63" s="29">
        <f>Option4!AC$70*conv_2026*AC$7</f>
        <v>0</v>
      </c>
      <c r="AD63" s="29">
        <f>Option4!AD$70*conv_2026*AD$7</f>
        <v>0</v>
      </c>
      <c r="AE63" s="29">
        <f>Option4!AE$70*conv_2026*AE$7</f>
        <v>0</v>
      </c>
      <c r="AF63" s="29">
        <f>Option4!AF$70*conv_2026*AF$7</f>
        <v>0</v>
      </c>
      <c r="AG63" s="29">
        <f>Option4!AG$70*conv_2026*AG$7</f>
        <v>0</v>
      </c>
    </row>
    <row r="64" spans="1:33" s="2" customFormat="1" ht="13" x14ac:dyDescent="0.3">
      <c r="A64" s="113" t="str">
        <f t="shared" si="30"/>
        <v>Option 4</v>
      </c>
      <c r="B64" s="113"/>
      <c r="C64" s="197" t="s">
        <v>127</v>
      </c>
      <c r="D64" s="100" t="str">
        <f t="shared" si="29"/>
        <v>Option 4Net benefits</v>
      </c>
      <c r="E64" s="101"/>
      <c r="F64" s="121"/>
      <c r="G64" s="177">
        <f t="shared" si="31"/>
        <v>46203</v>
      </c>
      <c r="H64" s="48"/>
      <c r="I64" s="48">
        <f>SUM(I60:I63)</f>
        <v>14225491.418236211</v>
      </c>
      <c r="J64" s="48">
        <f t="shared" ref="J64:R64" si="32">SUM(J60:J63)</f>
        <v>13145023.981973303</v>
      </c>
      <c r="K64" s="48">
        <f t="shared" si="32"/>
        <v>14303929.285217224</v>
      </c>
      <c r="L64" s="48">
        <f t="shared" si="32"/>
        <v>14064604.101990653</v>
      </c>
      <c r="M64" s="48">
        <f t="shared" si="32"/>
        <v>14037559.991132574</v>
      </c>
      <c r="N64" s="48">
        <f t="shared" si="32"/>
        <v>0</v>
      </c>
      <c r="O64" s="48">
        <f t="shared" si="32"/>
        <v>0</v>
      </c>
      <c r="P64" s="48">
        <f t="shared" si="32"/>
        <v>0</v>
      </c>
      <c r="Q64" s="48">
        <f t="shared" si="32"/>
        <v>0</v>
      </c>
      <c r="R64" s="48">
        <f t="shared" si="32"/>
        <v>0</v>
      </c>
      <c r="S64" s="48">
        <f t="shared" ref="S64" si="33">SUM(S60:S63)</f>
        <v>0</v>
      </c>
      <c r="T64" s="48">
        <f t="shared" ref="T64" si="34">SUM(T60:T63)</f>
        <v>0</v>
      </c>
      <c r="U64" s="48">
        <f t="shared" ref="U64" si="35">SUM(U60:U63)</f>
        <v>0</v>
      </c>
      <c r="V64" s="48">
        <f t="shared" ref="V64" si="36">SUM(V60:V63)</f>
        <v>0</v>
      </c>
      <c r="W64" s="48">
        <f t="shared" ref="W64" si="37">SUM(W60:W63)</f>
        <v>0</v>
      </c>
      <c r="X64" s="48">
        <f t="shared" ref="X64" si="38">SUM(X60:X63)</f>
        <v>0</v>
      </c>
      <c r="Y64" s="48">
        <f t="shared" ref="Y64" si="39">SUM(Y60:Y63)</f>
        <v>0</v>
      </c>
      <c r="Z64" s="48">
        <f t="shared" ref="Z64" si="40">SUM(Z60:Z63)</f>
        <v>0</v>
      </c>
      <c r="AA64" s="48">
        <f t="shared" ref="AA64" si="41">SUM(AA60:AA63)</f>
        <v>0</v>
      </c>
      <c r="AB64" s="48">
        <f t="shared" ref="AB64" si="42">SUM(AB60:AB63)</f>
        <v>0</v>
      </c>
      <c r="AC64" s="48">
        <f t="shared" ref="AC64" si="43">SUM(AC60:AC63)</f>
        <v>0</v>
      </c>
      <c r="AD64" s="48">
        <f t="shared" ref="AD64" si="44">SUM(AD60:AD63)</f>
        <v>0</v>
      </c>
      <c r="AE64" s="48">
        <f t="shared" ref="AE64" si="45">SUM(AE60:AE63)</f>
        <v>0</v>
      </c>
      <c r="AF64" s="48">
        <f t="shared" ref="AF64" si="46">SUM(AF60:AF63)</f>
        <v>0</v>
      </c>
      <c r="AG64" s="48">
        <f t="shared" ref="AG64" si="47">SUM(AG60:AG63)</f>
        <v>0</v>
      </c>
    </row>
    <row r="65" spans="1:33" s="2" customFormat="1" ht="13" x14ac:dyDescent="0.3">
      <c r="A65" s="113" t="str">
        <f t="shared" si="30"/>
        <v>Option 4</v>
      </c>
      <c r="B65" s="113"/>
      <c r="C65" s="7" t="s">
        <v>85</v>
      </c>
      <c r="D65" s="35" t="str">
        <f t="shared" si="29"/>
        <v>Option 4NPV</v>
      </c>
      <c r="E65" s="1"/>
      <c r="F65" s="99" cm="1">
        <f t="array" ref="F65">SUMPRODUCT(($H64:$AG64)*($H$5:$AG$5)*($H$7:$AG$7))</f>
        <v>64085408.71773617</v>
      </c>
      <c r="G65" s="175">
        <f t="shared" si="31"/>
        <v>46203</v>
      </c>
      <c r="H65" s="7"/>
      <c r="I65" s="7"/>
      <c r="J65" s="7"/>
      <c r="K65" s="7"/>
      <c r="L65" s="7"/>
      <c r="M65" s="7"/>
      <c r="N65" s="7"/>
      <c r="O65" s="7"/>
      <c r="P65" s="7"/>
      <c r="Q65" s="7"/>
      <c r="R65" s="7"/>
      <c r="S65" s="7"/>
      <c r="T65" s="7"/>
      <c r="U65" s="7"/>
      <c r="V65" s="7"/>
      <c r="W65" s="7"/>
      <c r="X65" s="7"/>
      <c r="Y65" s="7"/>
      <c r="Z65" s="7"/>
      <c r="AA65" s="7"/>
      <c r="AB65" s="7"/>
      <c r="AC65" s="7"/>
      <c r="AD65" s="7"/>
      <c r="AE65" s="7"/>
      <c r="AF65" s="7"/>
      <c r="AG65" s="7"/>
    </row>
    <row r="66" spans="1:33" s="2" customFormat="1" ht="13" x14ac:dyDescent="0.3">
      <c r="A66" s="113" t="str">
        <f t="shared" si="30"/>
        <v>Option 4</v>
      </c>
      <c r="B66" s="113"/>
      <c r="C66" s="7" t="s">
        <v>158</v>
      </c>
      <c r="D66" s="35" t="str">
        <f t="shared" si="29"/>
        <v>Option 4PV of incremental costs</v>
      </c>
      <c r="E66" s="1"/>
      <c r="F66" s="99">
        <f>SUM(F60:F61)</f>
        <v>-23428126.275555328</v>
      </c>
      <c r="G66" s="175">
        <f t="shared" si="31"/>
        <v>46203</v>
      </c>
      <c r="H66" s="7"/>
      <c r="I66" s="7"/>
      <c r="J66" s="7"/>
      <c r="K66" s="7"/>
      <c r="L66" s="7"/>
      <c r="M66" s="7"/>
      <c r="N66" s="7"/>
      <c r="O66" s="7"/>
      <c r="P66" s="7"/>
      <c r="Q66" s="7"/>
      <c r="R66" s="7"/>
      <c r="S66" s="7"/>
      <c r="T66" s="7"/>
      <c r="U66" s="7"/>
      <c r="V66" s="7"/>
      <c r="W66" s="7"/>
      <c r="X66" s="7"/>
      <c r="Y66" s="7"/>
      <c r="Z66" s="7"/>
      <c r="AA66" s="7"/>
      <c r="AB66" s="7"/>
      <c r="AC66" s="7"/>
      <c r="AD66" s="7"/>
      <c r="AE66" s="7"/>
      <c r="AF66" s="7"/>
      <c r="AG66" s="7"/>
    </row>
    <row r="67" spans="1:33" s="2" customFormat="1" ht="13" x14ac:dyDescent="0.3">
      <c r="A67" s="113" t="str">
        <f t="shared" si="30"/>
        <v>Option 4</v>
      </c>
      <c r="B67" s="113"/>
      <c r="C67" s="7" t="s">
        <v>159</v>
      </c>
      <c r="D67" s="35" t="str">
        <f t="shared" si="29"/>
        <v>Option 4PV of incremental benefits</v>
      </c>
      <c r="E67" s="1"/>
      <c r="F67" s="99">
        <f>SUM(F62:F63)</f>
        <v>87513534.993291497</v>
      </c>
      <c r="G67" s="175">
        <f t="shared" si="31"/>
        <v>46203</v>
      </c>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3" s="2" customFormat="1" ht="13" x14ac:dyDescent="0.3">
      <c r="A68" s="106"/>
      <c r="B68" s="106"/>
      <c r="C68" s="106"/>
      <c r="D68" s="35" t="str">
        <f>A68&amp;C68</f>
        <v/>
      </c>
      <c r="F68" s="8"/>
      <c r="G68" s="171"/>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row>
    <row r="69" spans="1:33" ht="12" x14ac:dyDescent="0.3">
      <c r="E69" s="76"/>
      <c r="G69" s="179"/>
    </row>
    <row r="70" spans="1:33" ht="12" x14ac:dyDescent="0.3">
      <c r="E70" s="76"/>
      <c r="G70" s="179"/>
    </row>
    <row r="71" spans="1:33" ht="12" x14ac:dyDescent="0.3">
      <c r="E71" s="76"/>
      <c r="G71" s="179"/>
    </row>
    <row r="72" spans="1:33" ht="12" x14ac:dyDescent="0.3">
      <c r="E72" s="76"/>
      <c r="G72" s="179"/>
    </row>
    <row r="73" spans="1:33" ht="12" x14ac:dyDescent="0.3">
      <c r="E73" s="9"/>
      <c r="G73" s="179"/>
    </row>
    <row r="74" spans="1:33" ht="14.5" x14ac:dyDescent="0.35">
      <c r="A74" s="162" t="s">
        <v>140</v>
      </c>
      <c r="B74" s="52"/>
      <c r="C74" s="18"/>
      <c r="D74" s="18"/>
      <c r="E74" s="75"/>
      <c r="F74" s="18"/>
      <c r="G74" s="173"/>
      <c r="H74" s="173"/>
      <c r="I74" s="160" t="str">
        <f>"FY"&amp;RIGHT(I$9,2)</f>
        <v>FY27</v>
      </c>
      <c r="J74" s="160" t="str">
        <f t="shared" ref="J74:AG74" si="48">"FY"&amp;RIGHT(J$9,2)</f>
        <v>FY28</v>
      </c>
      <c r="K74" s="160" t="str">
        <f t="shared" si="48"/>
        <v>FY29</v>
      </c>
      <c r="L74" s="160" t="str">
        <f t="shared" si="48"/>
        <v>FY30</v>
      </c>
      <c r="M74" s="160" t="str">
        <f t="shared" si="48"/>
        <v>FY31</v>
      </c>
      <c r="N74" s="160" t="str">
        <f t="shared" si="48"/>
        <v>FY32</v>
      </c>
      <c r="O74" s="160" t="str">
        <f t="shared" si="48"/>
        <v>FY33</v>
      </c>
      <c r="P74" s="160" t="str">
        <f t="shared" si="48"/>
        <v>FY34</v>
      </c>
      <c r="Q74" s="160" t="str">
        <f t="shared" si="48"/>
        <v>FY35</v>
      </c>
      <c r="R74" s="160" t="str">
        <f t="shared" si="48"/>
        <v>FY36</v>
      </c>
      <c r="S74" s="160" t="str">
        <f t="shared" si="48"/>
        <v>FY37</v>
      </c>
      <c r="T74" s="160" t="str">
        <f t="shared" si="48"/>
        <v>FY38</v>
      </c>
      <c r="U74" s="160" t="str">
        <f t="shared" si="48"/>
        <v>FY39</v>
      </c>
      <c r="V74" s="160" t="str">
        <f t="shared" si="48"/>
        <v>FY40</v>
      </c>
      <c r="W74" s="160" t="str">
        <f t="shared" si="48"/>
        <v>FY41</v>
      </c>
      <c r="X74" s="160" t="str">
        <f t="shared" si="48"/>
        <v>FY42</v>
      </c>
      <c r="Y74" s="160" t="str">
        <f t="shared" si="48"/>
        <v>FY43</v>
      </c>
      <c r="Z74" s="160" t="str">
        <f t="shared" si="48"/>
        <v>FY44</v>
      </c>
      <c r="AA74" s="160" t="str">
        <f t="shared" si="48"/>
        <v>FY45</v>
      </c>
      <c r="AB74" s="160" t="str">
        <f t="shared" si="48"/>
        <v>FY46</v>
      </c>
      <c r="AC74" s="160" t="str">
        <f t="shared" si="48"/>
        <v>FY47</v>
      </c>
      <c r="AD74" s="160" t="str">
        <f t="shared" si="48"/>
        <v>FY48</v>
      </c>
      <c r="AE74" s="160" t="str">
        <f t="shared" si="48"/>
        <v>FY49</v>
      </c>
      <c r="AF74" s="160" t="str">
        <f t="shared" si="48"/>
        <v>FY50</v>
      </c>
      <c r="AG74" s="160" t="str">
        <f t="shared" si="48"/>
        <v>FY51</v>
      </c>
    </row>
    <row r="75" spans="1:33" ht="12" x14ac:dyDescent="0.3">
      <c r="E75" s="76"/>
      <c r="G75" s="179"/>
    </row>
    <row r="76" spans="1:33" ht="12" x14ac:dyDescent="0.3">
      <c r="E76" s="76"/>
    </row>
    <row r="77" spans="1:33" ht="13" x14ac:dyDescent="0.3">
      <c r="A77" s="159" t="str">
        <f>Summary!$C$25</f>
        <v>Option 3</v>
      </c>
      <c r="B77" s="117"/>
      <c r="C77" s="157" t="s">
        <v>164</v>
      </c>
      <c r="D77" s="8">
        <f>-1</f>
        <v>-1</v>
      </c>
      <c r="E77" s="2"/>
      <c r="F77" s="8"/>
      <c r="G77" s="29"/>
      <c r="H77" s="29" t="str">
        <f>A77&amp;" "&amp;LOWER(C77)</f>
        <v>Option 3 capex</v>
      </c>
      <c r="I77" s="29">
        <f>($D77*INDEX(I$15:I$67, MATCH($A77&amp;"Annualised Incremental capex", $D$15:$D$67,0))+$D$77*I18)/mill_conv</f>
        <v>2.381932421599807</v>
      </c>
      <c r="J77" s="29">
        <f>($D77*INDEX(J$15:J$67, MATCH($A77&amp;"Annualised Incremental capex", $D$15:$D$67,0))+$D$77*J18)/mill_conv</f>
        <v>4.3623084537455572</v>
      </c>
      <c r="K77" s="29">
        <f>($D77*INDEX(K$15:K$67, MATCH($A77&amp;"Annualised Incremental capex", $D$15:$D$67,0))+$D$77*K18)/mill_conv</f>
        <v>6.1727801076214925</v>
      </c>
      <c r="L77" s="29">
        <f>($D77*INDEX(L$15:L$67, MATCH($A77&amp;"Annualised Incremental capex", $D$15:$D$67,0))+$D$77*L18)/mill_conv</f>
        <v>6.4259409401103573</v>
      </c>
      <c r="M77" s="29">
        <f>($D77*INDEX(M$15:M$67, MATCH($A77&amp;"Annualised Incremental capex", $D$15:$D$67,0))+$D$77*M18)/mill_conv</f>
        <v>6.6864700541302931</v>
      </c>
      <c r="N77" s="29">
        <f>($D77*INDEX(N$15:N$67, MATCH($A77&amp;"Annualised Incremental capex", $D$15:$D$67,0))+$D$77*N18)/mill_conv</f>
        <v>0</v>
      </c>
      <c r="O77" s="29">
        <f>($D77*INDEX(O$15:O$67, MATCH($A77&amp;"Annualised Incremental capex", $D$15:$D$67,0))+$D$77*O18)/mill_conv</f>
        <v>0</v>
      </c>
      <c r="P77" s="29">
        <f>($D77*INDEX(P$15:P$67, MATCH($A77&amp;"Annualised Incremental capex", $D$15:$D$67,0))+$D$77*P18)/mill_conv</f>
        <v>0</v>
      </c>
      <c r="Q77" s="29">
        <f>($D77*INDEX(Q$15:Q$67, MATCH($A77&amp;"Annualised Incremental capex", $D$15:$D$67,0))+$D$77*Q18)/mill_conv</f>
        <v>0</v>
      </c>
      <c r="R77" s="29">
        <f>($D77*INDEX(R$15:R$67, MATCH($A77&amp;"Annualised Incremental capex", $D$15:$D$67,0))+$D$77*R18)/mill_conv</f>
        <v>0</v>
      </c>
      <c r="S77" s="29">
        <f>($D77*INDEX(S$15:S$67, MATCH($A77&amp;"Annualised Incremental capex", $D$15:$D$67,0))+$D$77*S18)/mill_conv</f>
        <v>0</v>
      </c>
      <c r="T77" s="29">
        <f>($D77*INDEX(T$15:T$67, MATCH($A77&amp;"Annualised Incremental capex", $D$15:$D$67,0))+$D$77*T18)/mill_conv</f>
        <v>0</v>
      </c>
      <c r="U77" s="29">
        <f>($D77*INDEX(U$15:U$67, MATCH($A77&amp;"Annualised Incremental capex", $D$15:$D$67,0))+$D$77*U18)/mill_conv</f>
        <v>0</v>
      </c>
      <c r="V77" s="29">
        <f>($D77*INDEX(V$15:V$67, MATCH($A77&amp;"Annualised Incremental capex", $D$15:$D$67,0))+$D$77*V18)/mill_conv</f>
        <v>0</v>
      </c>
      <c r="W77" s="29">
        <f>($D77*INDEX(W$15:W$67, MATCH($A77&amp;"Annualised Incremental capex", $D$15:$D$67,0))+$D$77*W18)/mill_conv</f>
        <v>0</v>
      </c>
      <c r="X77" s="29">
        <f>($D77*INDEX(X$15:X$67, MATCH($A77&amp;"Annualised Incremental capex", $D$15:$D$67,0))+$D$77*X18)/mill_conv</f>
        <v>0</v>
      </c>
      <c r="Y77" s="29">
        <f>($D77*INDEX(Y$15:Y$67, MATCH($A77&amp;"Annualised Incremental capex", $D$15:$D$67,0))+$D$77*Y18)/mill_conv</f>
        <v>0</v>
      </c>
      <c r="Z77" s="29">
        <f>($D77*INDEX(Z$15:Z$67, MATCH($A77&amp;"Annualised Incremental capex", $D$15:$D$67,0))+$D$77*Z18)/mill_conv</f>
        <v>0</v>
      </c>
      <c r="AA77" s="29">
        <f>($D77*INDEX(AA$15:AA$67, MATCH($A77&amp;"Annualised Incremental capex", $D$15:$D$67,0))+$D$77*AA18)/mill_conv</f>
        <v>0</v>
      </c>
      <c r="AB77" s="29">
        <f>($D77*INDEX(AB$15:AB$67, MATCH($A77&amp;"Annualised Incremental capex", $D$15:$D$67,0))+$D$77*AB18)/mill_conv</f>
        <v>0</v>
      </c>
      <c r="AC77" s="29">
        <f>($D77*INDEX(AC$15:AC$67, MATCH($A77&amp;"Annualised Incremental capex", $D$15:$D$67,0))+$D$77*AC18)/mill_conv</f>
        <v>0</v>
      </c>
      <c r="AD77" s="29">
        <f>($D77*INDEX(AD$15:AD$67, MATCH($A77&amp;"Annualised Incremental capex", $D$15:$D$67,0))+$D$77*AD18)/mill_conv</f>
        <v>0</v>
      </c>
      <c r="AE77" s="29">
        <f>($D77*INDEX(AE$15:AE$67, MATCH($A77&amp;"Annualised Incremental capex", $D$15:$D$67,0))+$D$77*AE18)/mill_conv</f>
        <v>0</v>
      </c>
      <c r="AF77" s="29">
        <f>($D77*INDEX(AF$15:AF$67, MATCH($A77&amp;"Annualised Incremental capex", $D$15:$D$67,0))+$D$77*AF18)/mill_conv</f>
        <v>0</v>
      </c>
      <c r="AG77" s="29">
        <f>($D77*INDEX(AG$15:AG$67, MATCH($A77&amp;"Annualised Incremental capex", $D$15:$D$67,0))+$D$77*AG18)/mill_conv</f>
        <v>0</v>
      </c>
    </row>
    <row r="78" spans="1:33" ht="13" x14ac:dyDescent="0.3">
      <c r="A78" s="158" t="str">
        <f>A16</f>
        <v>Option 1 (base case)</v>
      </c>
      <c r="B78" s="117"/>
      <c r="C78" s="158" t="s">
        <v>120</v>
      </c>
      <c r="D78" s="8">
        <f>INDEX(Data!$C$25:$C$31, MATCH(C78, Data!$B$25:$B$31,0))</f>
        <v>1</v>
      </c>
      <c r="E78" s="76"/>
      <c r="H78" s="29" t="str">
        <f>A78&amp;" risk cost"</f>
        <v>Option 1 (base case) risk cost</v>
      </c>
      <c r="I78" s="29">
        <f>$D78*INDEX(I$15:I$67, MATCH($A78&amp;$C78, $D$15:$D$67,0))/mill_conv</f>
        <v>26.61906904801041</v>
      </c>
      <c r="J78" s="29">
        <f>$D78*INDEX(J$15:J$67, MATCH($A78&amp;$C78, $D$15:$D$67,0))/mill_conv</f>
        <v>26.61906904801041</v>
      </c>
      <c r="K78" s="29">
        <f>$D78*INDEX(K$15:K$67, MATCH($A78&amp;$C78, $D$15:$D$67,0))/mill_conv</f>
        <v>26.61906904801041</v>
      </c>
      <c r="L78" s="29">
        <f>$D78*INDEX(L$15:L$67, MATCH($A78&amp;$C78, $D$15:$D$67,0))/mill_conv</f>
        <v>26.61906904801041</v>
      </c>
      <c r="M78" s="29">
        <f>$D78*INDEX(M$15:M$67, MATCH($A78&amp;$C78, $D$15:$D$67,0))/mill_conv</f>
        <v>26.61906904801041</v>
      </c>
      <c r="N78" s="29">
        <f>$D78*INDEX(N$15:N$67, MATCH($A78&amp;$C78, $D$15:$D$67,0))/mill_conv</f>
        <v>0</v>
      </c>
      <c r="O78" s="29">
        <f>$D78*INDEX(O$15:O$67, MATCH($A78&amp;$C78, $D$15:$D$67,0))/mill_conv</f>
        <v>0</v>
      </c>
      <c r="P78" s="29">
        <f>$D78*INDEX(P$15:P$67, MATCH($A78&amp;$C78, $D$15:$D$67,0))/mill_conv</f>
        <v>0</v>
      </c>
      <c r="Q78" s="29">
        <f>$D78*INDEX(Q$15:Q$67, MATCH($A78&amp;$C78, $D$15:$D$67,0))/mill_conv</f>
        <v>0</v>
      </c>
      <c r="R78" s="29">
        <f>$D78*INDEX(R$15:R$67, MATCH($A78&amp;$C78, $D$15:$D$67,0))/mill_conv</f>
        <v>0</v>
      </c>
      <c r="S78" s="29">
        <f>$D78*INDEX(S$15:S$67, MATCH($A78&amp;$C78, $D$15:$D$67,0))/mill_conv</f>
        <v>0</v>
      </c>
      <c r="T78" s="29">
        <f>$D78*INDEX(T$15:T$67, MATCH($A78&amp;$C78, $D$15:$D$67,0))/mill_conv</f>
        <v>0</v>
      </c>
      <c r="U78" s="29">
        <f>$D78*INDEX(U$15:U$67, MATCH($A78&amp;$C78, $D$15:$D$67,0))/mill_conv</f>
        <v>0</v>
      </c>
      <c r="V78" s="29">
        <f>$D78*INDEX(V$15:V$67, MATCH($A78&amp;$C78, $D$15:$D$67,0))/mill_conv</f>
        <v>0</v>
      </c>
      <c r="W78" s="29">
        <f>$D78*INDEX(W$15:W$67, MATCH($A78&amp;$C78, $D$15:$D$67,0))/mill_conv</f>
        <v>0</v>
      </c>
      <c r="X78" s="29">
        <f>$D78*INDEX(X$15:X$67, MATCH($A78&amp;$C78, $D$15:$D$67,0))/mill_conv</f>
        <v>0</v>
      </c>
      <c r="Y78" s="29">
        <f>$D78*INDEX(Y$15:Y$67, MATCH($A78&amp;$C78, $D$15:$D$67,0))/mill_conv</f>
        <v>0</v>
      </c>
      <c r="Z78" s="29">
        <f>$D78*INDEX(Z$15:Z$67, MATCH($A78&amp;$C78, $D$15:$D$67,0))/mill_conv</f>
        <v>0</v>
      </c>
      <c r="AA78" s="29">
        <f>$D78*INDEX(AA$15:AA$67, MATCH($A78&amp;$C78, $D$15:$D$67,0))/mill_conv</f>
        <v>0</v>
      </c>
      <c r="AB78" s="29">
        <f>$D78*INDEX(AB$15:AB$67, MATCH($A78&amp;$C78, $D$15:$D$67,0))/mill_conv</f>
        <v>0</v>
      </c>
      <c r="AC78" s="29">
        <f>$D78*INDEX(AC$15:AC$67, MATCH($A78&amp;$C78, $D$15:$D$67,0))/mill_conv</f>
        <v>0</v>
      </c>
      <c r="AD78" s="29">
        <f>$D78*INDEX(AD$15:AD$67, MATCH($A78&amp;$C78, $D$15:$D$67,0))/mill_conv</f>
        <v>0</v>
      </c>
      <c r="AE78" s="29">
        <f>$D78*INDEX(AE$15:AE$67, MATCH($A78&amp;$C78, $D$15:$D$67,0))/mill_conv</f>
        <v>0</v>
      </c>
      <c r="AF78" s="29">
        <f>$D78*INDEX(AF$15:AF$67, MATCH($A78&amp;$C78, $D$15:$D$67,0))/mill_conv</f>
        <v>0</v>
      </c>
      <c r="AG78" s="29">
        <f>$D78*INDEX(AG$15:AG$67, MATCH($A78&amp;$C78, $D$15:$D$67,0))/mill_conv</f>
        <v>0</v>
      </c>
    </row>
    <row r="79" spans="1:33" ht="12" x14ac:dyDescent="0.3">
      <c r="E79" s="7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row>
    <row r="80" spans="1:33" ht="12" x14ac:dyDescent="0.3">
      <c r="E80" s="76"/>
    </row>
    <row r="81" spans="3:5" ht="12" x14ac:dyDescent="0.3">
      <c r="E81" s="76"/>
    </row>
    <row r="82" spans="3:5" ht="12" x14ac:dyDescent="0.3">
      <c r="E82" s="76"/>
    </row>
    <row r="83" spans="3:5" ht="12" x14ac:dyDescent="0.3">
      <c r="E83" s="76"/>
    </row>
    <row r="84" spans="3:5" ht="12" x14ac:dyDescent="0.3">
      <c r="E84" s="9"/>
    </row>
    <row r="85" spans="3:5" ht="12" x14ac:dyDescent="0.3">
      <c r="E85" s="9"/>
    </row>
    <row r="86" spans="3:5" ht="12" x14ac:dyDescent="0.3">
      <c r="E86" s="9"/>
    </row>
    <row r="87" spans="3:5" ht="12" x14ac:dyDescent="0.3">
      <c r="E87" s="9"/>
    </row>
    <row r="88" spans="3:5" ht="12" x14ac:dyDescent="0.3">
      <c r="E88" s="9"/>
    </row>
    <row r="89" spans="3:5" ht="12" x14ac:dyDescent="0.3">
      <c r="E89" s="9"/>
    </row>
    <row r="90" spans="3:5" ht="12" x14ac:dyDescent="0.3">
      <c r="E90" s="9"/>
    </row>
    <row r="91" spans="3:5" ht="12" x14ac:dyDescent="0.3">
      <c r="E91" s="9"/>
    </row>
    <row r="92" spans="3:5" ht="12" x14ac:dyDescent="0.3">
      <c r="E92" s="9"/>
    </row>
    <row r="93" spans="3:5" ht="12" x14ac:dyDescent="0.3">
      <c r="E93" s="9"/>
    </row>
    <row r="94" spans="3:5" ht="12" x14ac:dyDescent="0.3">
      <c r="E94" s="76"/>
    </row>
    <row r="95" spans="3:5" ht="12" x14ac:dyDescent="0.3">
      <c r="C95" s="106"/>
      <c r="E95" s="151"/>
    </row>
    <row r="96" spans="3:5" ht="12" x14ac:dyDescent="0.3">
      <c r="E96" s="76"/>
    </row>
    <row r="97" spans="5:5" ht="12" x14ac:dyDescent="0.3">
      <c r="E97" s="76"/>
    </row>
    <row r="98" spans="5:5" ht="12" x14ac:dyDescent="0.3">
      <c r="E98" s="76"/>
    </row>
    <row r="99" spans="5:5" ht="12" x14ac:dyDescent="0.3">
      <c r="E99" s="76"/>
    </row>
    <row r="100" spans="5:5" ht="12" x14ac:dyDescent="0.3">
      <c r="E100" s="76"/>
    </row>
    <row r="101" spans="5:5" ht="12" x14ac:dyDescent="0.3">
      <c r="E101" s="76"/>
    </row>
    <row r="102" spans="5:5" ht="12" x14ac:dyDescent="0.3">
      <c r="E102" s="76"/>
    </row>
    <row r="103" spans="5:5" ht="12" x14ac:dyDescent="0.3">
      <c r="E103" s="76"/>
    </row>
    <row r="104" spans="5:5" ht="12" x14ac:dyDescent="0.3">
      <c r="E104" s="76"/>
    </row>
    <row r="105" spans="5:5" ht="12" x14ac:dyDescent="0.3">
      <c r="E105" s="76"/>
    </row>
    <row r="106" spans="5:5" ht="12" x14ac:dyDescent="0.3">
      <c r="E106" s="76"/>
    </row>
    <row r="107" spans="5:5" ht="12" x14ac:dyDescent="0.3">
      <c r="E107" s="76"/>
    </row>
    <row r="108" spans="5:5" ht="12" x14ac:dyDescent="0.3">
      <c r="E108" s="76"/>
    </row>
    <row r="109" spans="5:5" ht="12" x14ac:dyDescent="0.3">
      <c r="E109" s="76"/>
    </row>
    <row r="110" spans="5:5" ht="12" x14ac:dyDescent="0.3">
      <c r="E110" s="76"/>
    </row>
    <row r="111" spans="5:5" ht="12" x14ac:dyDescent="0.3">
      <c r="E111" s="76"/>
    </row>
    <row r="112" spans="5:5" ht="12" x14ac:dyDescent="0.3">
      <c r="E112" s="76"/>
    </row>
    <row r="113" spans="5:5" ht="12" x14ac:dyDescent="0.3">
      <c r="E113" s="76"/>
    </row>
    <row r="114" spans="5:5" ht="12" x14ac:dyDescent="0.3">
      <c r="E114" s="76"/>
    </row>
    <row r="115" spans="5:5" ht="12" x14ac:dyDescent="0.3">
      <c r="E115" s="76"/>
    </row>
    <row r="116" spans="5:5" ht="12" x14ac:dyDescent="0.3">
      <c r="E116" s="76"/>
    </row>
    <row r="117" spans="5:5" ht="12" x14ac:dyDescent="0.3">
      <c r="E117" s="76"/>
    </row>
    <row r="118" spans="5:5" ht="12" x14ac:dyDescent="0.3">
      <c r="E118" s="76"/>
    </row>
    <row r="119" spans="5:5" ht="12" x14ac:dyDescent="0.3">
      <c r="E119" s="76"/>
    </row>
    <row r="120" spans="5:5" ht="12" x14ac:dyDescent="0.3">
      <c r="E120" s="76"/>
    </row>
    <row r="121" spans="5:5" ht="12" x14ac:dyDescent="0.3">
      <c r="E121" s="76"/>
    </row>
    <row r="122" spans="5:5" ht="12" x14ac:dyDescent="0.3">
      <c r="E122" s="76"/>
    </row>
    <row r="123" spans="5:5" ht="12" x14ac:dyDescent="0.3">
      <c r="E123" s="76"/>
    </row>
    <row r="124" spans="5:5" ht="12" x14ac:dyDescent="0.3">
      <c r="E124" s="76"/>
    </row>
    <row r="125" spans="5:5" ht="12" x14ac:dyDescent="0.3">
      <c r="E125" s="76"/>
    </row>
    <row r="126" spans="5:5" ht="12" x14ac:dyDescent="0.3">
      <c r="E126" s="76"/>
    </row>
    <row r="127" spans="5:5" ht="12" x14ac:dyDescent="0.3">
      <c r="E127" s="76"/>
    </row>
    <row r="128" spans="5:5" ht="12" x14ac:dyDescent="0.3">
      <c r="E128" s="76"/>
    </row>
    <row r="129" spans="5:5" ht="12" x14ac:dyDescent="0.3">
      <c r="E129" s="76"/>
    </row>
    <row r="130" spans="5:5" ht="12" x14ac:dyDescent="0.3">
      <c r="E130" s="76"/>
    </row>
    <row r="131" spans="5:5" ht="12" x14ac:dyDescent="0.3">
      <c r="E131" s="76"/>
    </row>
    <row r="132" spans="5:5" ht="12" x14ac:dyDescent="0.3">
      <c r="E132" s="76"/>
    </row>
    <row r="133" spans="5:5" ht="12" x14ac:dyDescent="0.3">
      <c r="E133" s="76"/>
    </row>
    <row r="134" spans="5:5" ht="12" x14ac:dyDescent="0.3">
      <c r="E134" s="76"/>
    </row>
    <row r="135" spans="5:5" ht="12" x14ac:dyDescent="0.3">
      <c r="E135" s="76"/>
    </row>
    <row r="136" spans="5:5" ht="12" x14ac:dyDescent="0.3">
      <c r="E136" s="76"/>
    </row>
    <row r="137" spans="5:5" ht="12" x14ac:dyDescent="0.3">
      <c r="E137" s="76"/>
    </row>
    <row r="138" spans="5:5" ht="12" x14ac:dyDescent="0.3">
      <c r="E138" s="76"/>
    </row>
    <row r="139" spans="5:5" ht="12" x14ac:dyDescent="0.3">
      <c r="E139" s="76"/>
    </row>
    <row r="140" spans="5:5" ht="12" x14ac:dyDescent="0.3">
      <c r="E140" s="76"/>
    </row>
    <row r="141" spans="5:5" ht="12" x14ac:dyDescent="0.3">
      <c r="E141" s="76"/>
    </row>
    <row r="142" spans="5:5" ht="12" x14ac:dyDescent="0.3">
      <c r="E142" s="76"/>
    </row>
    <row r="143" spans="5:5" ht="12" x14ac:dyDescent="0.3">
      <c r="E143" s="76"/>
    </row>
    <row r="144" spans="5:5" ht="12" x14ac:dyDescent="0.3">
      <c r="E144" s="76"/>
    </row>
    <row r="145" spans="5:5" ht="12" x14ac:dyDescent="0.3">
      <c r="E145" s="76"/>
    </row>
    <row r="146" spans="5:5" ht="12" x14ac:dyDescent="0.3">
      <c r="E146" s="76"/>
    </row>
    <row r="147" spans="5:5" ht="12" x14ac:dyDescent="0.3">
      <c r="E147" s="76"/>
    </row>
    <row r="148" spans="5:5" ht="12" x14ac:dyDescent="0.3">
      <c r="E148" s="76"/>
    </row>
    <row r="149" spans="5:5" ht="12" x14ac:dyDescent="0.3">
      <c r="E149" s="76"/>
    </row>
    <row r="150" spans="5:5" ht="12" x14ac:dyDescent="0.3">
      <c r="E150" s="76"/>
    </row>
    <row r="151" spans="5:5" ht="12" x14ac:dyDescent="0.3">
      <c r="E151" s="76"/>
    </row>
    <row r="152" spans="5:5" ht="12" x14ac:dyDescent="0.3">
      <c r="E152" s="76"/>
    </row>
    <row r="153" spans="5:5" ht="12" x14ac:dyDescent="0.3">
      <c r="E153" s="76"/>
    </row>
    <row r="154" spans="5:5" ht="12" x14ac:dyDescent="0.3">
      <c r="E154" s="76"/>
    </row>
    <row r="155" spans="5:5" ht="12" x14ac:dyDescent="0.3">
      <c r="E155" s="76"/>
    </row>
    <row r="156" spans="5:5" ht="12" x14ac:dyDescent="0.3">
      <c r="E156" s="76"/>
    </row>
    <row r="157" spans="5:5" ht="12" x14ac:dyDescent="0.3">
      <c r="E157" s="76"/>
    </row>
    <row r="158" spans="5:5" ht="12" x14ac:dyDescent="0.3">
      <c r="E158" s="76"/>
    </row>
    <row r="159" spans="5:5" ht="12" x14ac:dyDescent="0.3">
      <c r="E159" s="76"/>
    </row>
    <row r="160" spans="5:5" ht="12" x14ac:dyDescent="0.3">
      <c r="E160" s="76"/>
    </row>
    <row r="161" spans="5:5" ht="12" x14ac:dyDescent="0.3">
      <c r="E161" s="76"/>
    </row>
    <row r="162" spans="5:5" ht="12" x14ac:dyDescent="0.3">
      <c r="E162" s="76"/>
    </row>
    <row r="163" spans="5:5" ht="12" x14ac:dyDescent="0.3">
      <c r="E163" s="76"/>
    </row>
    <row r="164" spans="5:5" ht="12" x14ac:dyDescent="0.3">
      <c r="E164" s="76"/>
    </row>
    <row r="165" spans="5:5" ht="12" x14ac:dyDescent="0.3">
      <c r="E165" s="76"/>
    </row>
    <row r="166" spans="5:5" ht="12" x14ac:dyDescent="0.3">
      <c r="E166" s="76"/>
    </row>
    <row r="167" spans="5:5" ht="12" x14ac:dyDescent="0.3">
      <c r="E167" s="76"/>
    </row>
    <row r="168" spans="5:5" ht="12" x14ac:dyDescent="0.3">
      <c r="E168" s="76"/>
    </row>
    <row r="169" spans="5:5" ht="12" x14ac:dyDescent="0.3">
      <c r="E169" s="76"/>
    </row>
    <row r="170" spans="5:5" ht="12" x14ac:dyDescent="0.3">
      <c r="E170" s="76"/>
    </row>
    <row r="171" spans="5:5" ht="12" x14ac:dyDescent="0.3">
      <c r="E171" s="76"/>
    </row>
    <row r="172" spans="5:5" ht="12" x14ac:dyDescent="0.3">
      <c r="E172" s="76"/>
    </row>
    <row r="173" spans="5:5" ht="12" x14ac:dyDescent="0.3">
      <c r="E173" s="76"/>
    </row>
    <row r="174" spans="5:5" ht="12" x14ac:dyDescent="0.3">
      <c r="E174" s="76"/>
    </row>
    <row r="175" spans="5:5" ht="12" x14ac:dyDescent="0.3">
      <c r="E175" s="76"/>
    </row>
    <row r="176" spans="5:5" ht="12" x14ac:dyDescent="0.3">
      <c r="E176" s="76"/>
    </row>
    <row r="177" spans="5:5" ht="12" x14ac:dyDescent="0.3">
      <c r="E177" s="76"/>
    </row>
    <row r="178" spans="5:5" ht="12" x14ac:dyDescent="0.3">
      <c r="E178" s="76"/>
    </row>
    <row r="179" spans="5:5" ht="12" x14ac:dyDescent="0.3">
      <c r="E179" s="76"/>
    </row>
    <row r="180" spans="5:5" ht="12" x14ac:dyDescent="0.3">
      <c r="E180" s="76"/>
    </row>
    <row r="181" spans="5:5" ht="12" x14ac:dyDescent="0.3">
      <c r="E181" s="76"/>
    </row>
    <row r="182" spans="5:5" ht="12" x14ac:dyDescent="0.3">
      <c r="E182" s="76"/>
    </row>
    <row r="183" spans="5:5" ht="12" x14ac:dyDescent="0.3">
      <c r="E183" s="76"/>
    </row>
    <row r="184" spans="5:5" ht="12" x14ac:dyDescent="0.3">
      <c r="E184" s="76"/>
    </row>
    <row r="185" spans="5:5" ht="12" x14ac:dyDescent="0.3">
      <c r="E185" s="76"/>
    </row>
    <row r="186" spans="5:5" ht="12" x14ac:dyDescent="0.3">
      <c r="E186" s="76"/>
    </row>
    <row r="187" spans="5:5" ht="12" x14ac:dyDescent="0.3">
      <c r="E187" s="76"/>
    </row>
    <row r="188" spans="5:5" ht="12" x14ac:dyDescent="0.3">
      <c r="E188" s="76"/>
    </row>
    <row r="189" spans="5:5" ht="12" x14ac:dyDescent="0.3">
      <c r="E189" s="76"/>
    </row>
    <row r="190" spans="5:5" ht="12" x14ac:dyDescent="0.3">
      <c r="E190" s="76"/>
    </row>
    <row r="191" spans="5:5" ht="12" x14ac:dyDescent="0.3">
      <c r="E191" s="76"/>
    </row>
    <row r="192" spans="5:5" ht="12" x14ac:dyDescent="0.3">
      <c r="E192" s="76"/>
    </row>
    <row r="193" spans="5:5" ht="12" x14ac:dyDescent="0.3">
      <c r="E193" s="76"/>
    </row>
    <row r="194" spans="5:5" ht="12" x14ac:dyDescent="0.3">
      <c r="E194" s="76"/>
    </row>
    <row r="195" spans="5:5" ht="12" x14ac:dyDescent="0.3">
      <c r="E195" s="76"/>
    </row>
    <row r="196" spans="5:5" ht="12" x14ac:dyDescent="0.3">
      <c r="E196" s="76"/>
    </row>
    <row r="197" spans="5:5" ht="12" x14ac:dyDescent="0.3">
      <c r="E197" s="76"/>
    </row>
    <row r="198" spans="5:5" ht="12" x14ac:dyDescent="0.3">
      <c r="E198" s="76"/>
    </row>
    <row r="199" spans="5:5" ht="12" x14ac:dyDescent="0.3">
      <c r="E199" s="76"/>
    </row>
    <row r="200" spans="5:5" ht="12" x14ac:dyDescent="0.3">
      <c r="E200" s="76"/>
    </row>
    <row r="201" spans="5:5" ht="12" x14ac:dyDescent="0.3">
      <c r="E201" s="76"/>
    </row>
    <row r="202" spans="5:5" ht="12" x14ac:dyDescent="0.3">
      <c r="E202" s="76"/>
    </row>
    <row r="203" spans="5:5" ht="12" x14ac:dyDescent="0.3">
      <c r="E203" s="76"/>
    </row>
    <row r="204" spans="5:5" ht="12" x14ac:dyDescent="0.3">
      <c r="E204" s="76"/>
    </row>
    <row r="205" spans="5:5" ht="12" x14ac:dyDescent="0.3">
      <c r="E205" s="76"/>
    </row>
    <row r="206" spans="5:5" ht="12" x14ac:dyDescent="0.3">
      <c r="E206" s="76"/>
    </row>
    <row r="207" spans="5:5" ht="12" x14ac:dyDescent="0.3">
      <c r="E207" s="76"/>
    </row>
    <row r="208" spans="5:5" ht="12" x14ac:dyDescent="0.3">
      <c r="E208" s="76"/>
    </row>
    <row r="209" spans="5:5" ht="12" x14ac:dyDescent="0.3">
      <c r="E209" s="76"/>
    </row>
    <row r="210" spans="5:5" ht="12" x14ac:dyDescent="0.3">
      <c r="E210" s="76"/>
    </row>
    <row r="211" spans="5:5" ht="12" x14ac:dyDescent="0.3">
      <c r="E211" s="76"/>
    </row>
    <row r="212" spans="5:5" ht="12" x14ac:dyDescent="0.3">
      <c r="E212" s="76"/>
    </row>
    <row r="213" spans="5:5" ht="12" x14ac:dyDescent="0.3">
      <c r="E213" s="76"/>
    </row>
    <row r="214" spans="5:5" ht="12" x14ac:dyDescent="0.3">
      <c r="E214" s="76"/>
    </row>
    <row r="215" spans="5:5" ht="12" x14ac:dyDescent="0.3">
      <c r="E215" s="76"/>
    </row>
    <row r="216" spans="5:5" ht="12" x14ac:dyDescent="0.3">
      <c r="E216" s="76"/>
    </row>
    <row r="217" spans="5:5" ht="12" x14ac:dyDescent="0.3">
      <c r="E217" s="76"/>
    </row>
    <row r="218" spans="5:5" ht="12" x14ac:dyDescent="0.3">
      <c r="E218" s="76"/>
    </row>
    <row r="219" spans="5:5" ht="12" x14ac:dyDescent="0.3">
      <c r="E219" s="76"/>
    </row>
    <row r="220" spans="5:5" ht="12" x14ac:dyDescent="0.3">
      <c r="E220" s="76"/>
    </row>
    <row r="221" spans="5:5" ht="12" x14ac:dyDescent="0.3">
      <c r="E221" s="76"/>
    </row>
    <row r="222" spans="5:5" ht="12" x14ac:dyDescent="0.3">
      <c r="E222" s="76"/>
    </row>
    <row r="223" spans="5:5" ht="12" x14ac:dyDescent="0.3">
      <c r="E223" s="76"/>
    </row>
    <row r="224" spans="5:5" ht="12" x14ac:dyDescent="0.3">
      <c r="E224" s="76"/>
    </row>
    <row r="225" spans="5:5" ht="12" x14ac:dyDescent="0.3">
      <c r="E225" s="76"/>
    </row>
    <row r="226" spans="5:5" ht="12" x14ac:dyDescent="0.3">
      <c r="E226" s="76"/>
    </row>
    <row r="227" spans="5:5" ht="12" x14ac:dyDescent="0.3">
      <c r="E227" s="76"/>
    </row>
    <row r="228" spans="5:5" ht="12" x14ac:dyDescent="0.3">
      <c r="E228" s="76"/>
    </row>
    <row r="229" spans="5:5" ht="12" x14ac:dyDescent="0.3">
      <c r="E229" s="76"/>
    </row>
    <row r="230" spans="5:5" ht="12" x14ac:dyDescent="0.3">
      <c r="E230" s="76"/>
    </row>
    <row r="231" spans="5:5" ht="12" x14ac:dyDescent="0.3">
      <c r="E231" s="76"/>
    </row>
    <row r="232" spans="5:5" ht="12" x14ac:dyDescent="0.3">
      <c r="E232" s="76"/>
    </row>
    <row r="233" spans="5:5" ht="12" x14ac:dyDescent="0.3">
      <c r="E233" s="76"/>
    </row>
    <row r="234" spans="5:5" ht="12" x14ac:dyDescent="0.3">
      <c r="E234" s="76"/>
    </row>
    <row r="235" spans="5:5" ht="12" x14ac:dyDescent="0.3">
      <c r="E235" s="76"/>
    </row>
    <row r="236" spans="5:5" ht="12" x14ac:dyDescent="0.3">
      <c r="E236" s="76"/>
    </row>
    <row r="237" spans="5:5" ht="12" x14ac:dyDescent="0.3">
      <c r="E237" s="76"/>
    </row>
    <row r="238" spans="5:5" x14ac:dyDescent="0.3"/>
    <row r="239" spans="5:5" x14ac:dyDescent="0.3"/>
    <row r="240" spans="5:5"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sheetData>
  <pageMargins left="0.25" right="0.25" top="0.75" bottom="0.75" header="0.3" footer="0.3"/>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5C536-D565-4FF5-98FB-590CD0BD6E4D}">
  <sheetPr codeName="Sheet10">
    <tabColor rgb="FFFFFF00"/>
  </sheetPr>
  <dimension ref="A1:AB23"/>
  <sheetViews>
    <sheetView showGridLines="0" zoomScale="80" zoomScaleNormal="80" workbookViewId="0">
      <pane xSplit="4" ySplit="5" topLeftCell="E6" activePane="bottomRight" state="frozen"/>
      <selection pane="topRight" activeCell="E1" sqref="E1"/>
      <selection pane="bottomLeft" activeCell="A6" sqref="A6"/>
      <selection pane="bottomRight" activeCell="E9" sqref="E9"/>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60.4609375" style="1" customWidth="1"/>
    <col min="8" max="8" width="14.765625" style="1" customWidth="1"/>
    <col min="9" max="14" width="15.15234375" style="1" customWidth="1"/>
    <col min="15" max="15" width="8.61328125" style="1" customWidth="1"/>
    <col min="16" max="16" width="10.4609375" style="1" customWidth="1"/>
    <col min="17" max="28" width="8.61328125" style="1" customWidth="1"/>
    <col min="29" max="16384" width="8" style="1"/>
  </cols>
  <sheetData>
    <row r="1" spans="1:28"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8.5" x14ac:dyDescent="0.45">
      <c r="A2" s="54" t="str">
        <f>proj</f>
        <v>Infrastructure refresh risk</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18.5" x14ac:dyDescent="0.45">
      <c r="A3" s="5" t="s">
        <v>358</v>
      </c>
      <c r="B3" s="6"/>
      <c r="C3" s="5"/>
      <c r="D3" s="5"/>
    </row>
    <row r="5" spans="1:28" ht="14.5" x14ac:dyDescent="0.3">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row>
    <row r="6" spans="1:28" x14ac:dyDescent="0.3">
      <c r="C6" s="3"/>
      <c r="D6" s="3"/>
    </row>
    <row r="7" spans="1:28" x14ac:dyDescent="0.3">
      <c r="J7" s="217"/>
      <c r="K7" s="217"/>
      <c r="L7" s="217"/>
      <c r="M7" s="217"/>
      <c r="N7" s="217"/>
    </row>
    <row r="8" spans="1:28" x14ac:dyDescent="0.3">
      <c r="H8" s="193"/>
      <c r="J8" s="217"/>
      <c r="K8" s="217"/>
      <c r="L8" s="217"/>
      <c r="M8" s="217"/>
      <c r="N8" s="217"/>
    </row>
    <row r="9" spans="1:28" ht="28.5" customHeight="1" x14ac:dyDescent="0.3">
      <c r="G9" s="219" t="s">
        <v>429</v>
      </c>
      <c r="H9" s="218"/>
      <c r="J9" s="217"/>
      <c r="K9" s="217"/>
      <c r="L9" s="217"/>
      <c r="M9" s="217"/>
      <c r="N9" s="217"/>
    </row>
    <row r="10" spans="1:28" x14ac:dyDescent="0.3">
      <c r="J10" s="217"/>
      <c r="K10" s="217"/>
      <c r="L10" s="217"/>
      <c r="M10" s="217"/>
      <c r="N10" s="217"/>
    </row>
    <row r="11" spans="1:28" ht="13.5" x14ac:dyDescent="0.3">
      <c r="G11" s="98" t="s">
        <v>238</v>
      </c>
    </row>
    <row r="12" spans="1:28" ht="13.5" x14ac:dyDescent="0.3">
      <c r="G12" s="212"/>
      <c r="H12"/>
      <c r="I12" s="224" t="s">
        <v>101</v>
      </c>
      <c r="J12" s="213" t="s">
        <v>232</v>
      </c>
      <c r="K12" s="214" t="s">
        <v>233</v>
      </c>
      <c r="L12" s="214" t="s">
        <v>234</v>
      </c>
      <c r="M12" s="214" t="s">
        <v>235</v>
      </c>
      <c r="N12" s="214" t="s">
        <v>236</v>
      </c>
      <c r="O12" s="214"/>
      <c r="P12" s="214"/>
      <c r="Q12" s="214"/>
      <c r="R12" s="214"/>
      <c r="S12" s="214"/>
    </row>
    <row r="13" spans="1:28" ht="13.5" x14ac:dyDescent="0.3">
      <c r="G13" t="str">
        <f>"Option 1 - "&amp;Summary!D$9</f>
        <v>Option 1 - Maintain status quo</v>
      </c>
      <c r="H13" s="215" t="s">
        <v>237</v>
      </c>
      <c r="I13" s="216">
        <f>SUM(J13:N13)</f>
        <v>19226076</v>
      </c>
      <c r="J13" s="222">
        <v>7782654</v>
      </c>
      <c r="K13" s="222">
        <v>3079294</v>
      </c>
      <c r="L13" s="222">
        <v>4346932</v>
      </c>
      <c r="M13" s="222">
        <v>2008598</v>
      </c>
      <c r="N13" s="222">
        <v>2008598</v>
      </c>
      <c r="O13" s="221"/>
      <c r="P13" s="222"/>
      <c r="Q13" s="221"/>
      <c r="R13" s="221"/>
      <c r="S13" s="221"/>
    </row>
    <row r="14" spans="1:28" ht="13.5" x14ac:dyDescent="0.3">
      <c r="G14" t="str">
        <f>"Option 2 - "&amp;Summary!D$10</f>
        <v>Option 2 - Maintain existing infrastructure with more frequent upgrades</v>
      </c>
      <c r="H14" s="215" t="s">
        <v>237</v>
      </c>
      <c r="I14" s="216">
        <f t="shared" ref="I14:I16" si="0">SUM(J14:N14)</f>
        <v>35121069</v>
      </c>
      <c r="J14" s="222">
        <v>10676148</v>
      </c>
      <c r="K14" s="222">
        <v>6058223</v>
      </c>
      <c r="L14" s="222">
        <v>8340179</v>
      </c>
      <c r="M14" s="222">
        <v>6179345</v>
      </c>
      <c r="N14" s="222">
        <v>3867174</v>
      </c>
      <c r="O14" s="221"/>
      <c r="P14" s="222"/>
      <c r="Q14" s="221"/>
      <c r="R14" s="221"/>
      <c r="S14" s="221"/>
    </row>
    <row r="15" spans="1:28" ht="13.5" x14ac:dyDescent="0.3">
      <c r="G15" t="str">
        <f>"Option 3 - "&amp;Summary!D$11</f>
        <v>Option 3 - Criteria-based IT infrastructure refresh</v>
      </c>
      <c r="H15" s="215" t="s">
        <v>237</v>
      </c>
      <c r="I15" s="216">
        <f t="shared" si="0"/>
        <v>28169581</v>
      </c>
      <c r="J15" s="222">
        <v>10034897</v>
      </c>
      <c r="K15" s="222">
        <v>8343171</v>
      </c>
      <c r="L15" s="222">
        <v>7627377</v>
      </c>
      <c r="M15" s="222">
        <v>1066547</v>
      </c>
      <c r="N15" s="222">
        <v>1097589</v>
      </c>
      <c r="O15" s="221"/>
      <c r="P15" s="222"/>
      <c r="Q15" s="221"/>
      <c r="R15" s="221"/>
      <c r="S15" s="221"/>
    </row>
    <row r="16" spans="1:28" ht="13.5" x14ac:dyDescent="0.3">
      <c r="G16" t="str">
        <f>"Option 4 - "&amp;Summary!D$12</f>
        <v>Option 4 - Public cloud infrastructure refresh</v>
      </c>
      <c r="H16" s="215" t="s">
        <v>237</v>
      </c>
      <c r="I16" s="216">
        <f t="shared" si="0"/>
        <v>16197896</v>
      </c>
      <c r="J16" s="222">
        <v>8795042</v>
      </c>
      <c r="K16" s="222">
        <v>4074311</v>
      </c>
      <c r="L16" s="222">
        <v>1948696</v>
      </c>
      <c r="M16" s="222">
        <v>648390</v>
      </c>
      <c r="N16" s="222">
        <v>731457</v>
      </c>
      <c r="O16" s="221"/>
      <c r="P16" s="222"/>
      <c r="Q16" s="221"/>
      <c r="R16" s="221"/>
      <c r="S16" s="221"/>
    </row>
    <row r="17" spans="7:19" ht="13.5" x14ac:dyDescent="0.3">
      <c r="G17"/>
      <c r="H17"/>
      <c r="I17"/>
      <c r="J17"/>
      <c r="K17"/>
      <c r="L17"/>
      <c r="M17"/>
      <c r="N17"/>
      <c r="O17"/>
      <c r="P17"/>
      <c r="Q17"/>
      <c r="R17"/>
      <c r="S17"/>
    </row>
    <row r="18" spans="7:19" ht="13.5" x14ac:dyDescent="0.3">
      <c r="G18" s="98" t="s">
        <v>239</v>
      </c>
      <c r="H18"/>
      <c r="J18"/>
      <c r="K18"/>
      <c r="L18"/>
      <c r="M18"/>
      <c r="N18"/>
      <c r="O18"/>
      <c r="P18"/>
      <c r="Q18"/>
      <c r="R18"/>
      <c r="S18"/>
    </row>
    <row r="19" spans="7:19" ht="13.5" x14ac:dyDescent="0.3">
      <c r="G19"/>
      <c r="H19"/>
      <c r="I19" s="224" t="s">
        <v>101</v>
      </c>
      <c r="J19" s="214" t="s">
        <v>232</v>
      </c>
      <c r="K19" s="214" t="s">
        <v>233</v>
      </c>
      <c r="L19" s="214" t="s">
        <v>234</v>
      </c>
      <c r="M19" s="214" t="s">
        <v>235</v>
      </c>
      <c r="N19" s="214" t="s">
        <v>236</v>
      </c>
      <c r="O19" s="214"/>
      <c r="P19" s="214"/>
      <c r="Q19" s="214"/>
      <c r="R19" s="214"/>
      <c r="S19" s="214"/>
    </row>
    <row r="20" spans="7:19" ht="13.5" x14ac:dyDescent="0.3">
      <c r="G20" t="str">
        <f>"Option 1 - "&amp;Summary!D$9</f>
        <v>Option 1 - Maintain status quo</v>
      </c>
      <c r="H20" s="215" t="s">
        <v>237</v>
      </c>
      <c r="I20" s="216">
        <f>SUM(J20:N20)</f>
        <v>0</v>
      </c>
      <c r="J20" s="222">
        <v>0</v>
      </c>
      <c r="K20" s="222">
        <v>0</v>
      </c>
      <c r="L20" s="222">
        <v>0</v>
      </c>
      <c r="M20" s="222">
        <v>0</v>
      </c>
      <c r="N20" s="222">
        <v>0</v>
      </c>
      <c r="O20" s="221"/>
      <c r="P20" s="222"/>
      <c r="Q20" s="221"/>
      <c r="R20" s="221"/>
      <c r="S20" s="221"/>
    </row>
    <row r="21" spans="7:19" ht="13.5" x14ac:dyDescent="0.3">
      <c r="G21" t="str">
        <f>"Option 2 - "&amp;Summary!D$10</f>
        <v>Option 2 - Maintain existing infrastructure with more frequent upgrades</v>
      </c>
      <c r="H21" s="215" t="s">
        <v>237</v>
      </c>
      <c r="I21" s="216">
        <f t="shared" ref="I21:I23" si="1">SUM(J21:N21)</f>
        <v>1660469.35</v>
      </c>
      <c r="J21" s="222">
        <v>-1367236.95</v>
      </c>
      <c r="K21" s="222">
        <v>-395086.92500000005</v>
      </c>
      <c r="L21" s="222">
        <v>458269.97500000009</v>
      </c>
      <c r="M21" s="222">
        <v>1266246.375</v>
      </c>
      <c r="N21" s="222">
        <v>1698276.875</v>
      </c>
      <c r="O21" s="221"/>
      <c r="P21" s="222"/>
      <c r="Q21" s="221"/>
      <c r="R21" s="221"/>
      <c r="S21" s="221"/>
    </row>
    <row r="22" spans="7:19" ht="13.5" x14ac:dyDescent="0.3">
      <c r="G22" t="str">
        <f>"Option 3 - "&amp;Summary!D$11</f>
        <v>Option 3 - Criteria-based IT infrastructure refresh</v>
      </c>
      <c r="H22" s="215" t="s">
        <v>237</v>
      </c>
      <c r="I22" s="216">
        <f t="shared" si="1"/>
        <v>9220149.7701073997</v>
      </c>
      <c r="J22" s="222">
        <v>1250839.4060365853</v>
      </c>
      <c r="K22" s="222">
        <v>2171495.3398406352</v>
      </c>
      <c r="L22" s="222">
        <v>2312987.5466694469</v>
      </c>
      <c r="M22" s="222">
        <v>1599430.3029505187</v>
      </c>
      <c r="N22" s="222">
        <v>1885397.1746102148</v>
      </c>
      <c r="O22" s="221"/>
      <c r="P22" s="222"/>
      <c r="Q22" s="221"/>
      <c r="R22" s="221"/>
      <c r="S22" s="221"/>
    </row>
    <row r="23" spans="7:19" ht="13.5" x14ac:dyDescent="0.3">
      <c r="G23" t="str">
        <f>"Option 4 - "&amp;Summary!D$12</f>
        <v>Option 4 - Public cloud infrastructure refresh</v>
      </c>
      <c r="H23" s="215" t="s">
        <v>237</v>
      </c>
      <c r="I23" s="216">
        <f t="shared" si="1"/>
        <v>24254728.854363389</v>
      </c>
      <c r="J23" s="222">
        <v>4279381.3524886696</v>
      </c>
      <c r="K23" s="222">
        <v>5067170.3782786215</v>
      </c>
      <c r="L23" s="222">
        <v>4516979.1134899883</v>
      </c>
      <c r="M23" s="222">
        <v>5041550.321789057</v>
      </c>
      <c r="N23" s="222">
        <v>5349647.6883170549</v>
      </c>
      <c r="O23" s="221"/>
      <c r="P23" s="222"/>
      <c r="Q23" s="221"/>
      <c r="R23" s="221"/>
      <c r="S23" s="221"/>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0CB6-08F3-4662-9651-1DAD13F8D43C}">
  <sheetPr codeName="Sheet12">
    <tabColor rgb="FFFFFF00"/>
  </sheetPr>
  <dimension ref="A1:AA47"/>
  <sheetViews>
    <sheetView showGridLines="0" zoomScale="70" zoomScaleNormal="70" workbookViewId="0">
      <pane xSplit="4" ySplit="5" topLeftCell="E6" activePane="bottomRight" state="frozen"/>
      <selection pane="topRight" activeCell="E1" sqref="E1"/>
      <selection pane="bottomLeft" activeCell="A6" sqref="A6"/>
      <selection pane="bottomRight" activeCell="G11" sqref="G11"/>
    </sheetView>
  </sheetViews>
  <sheetFormatPr defaultColWidth="8" defaultRowHeight="13" x14ac:dyDescent="0.3"/>
  <cols>
    <col min="1" max="1" width="2.61328125" style="1" customWidth="1"/>
    <col min="2" max="2" width="5.23046875" style="1" customWidth="1"/>
    <col min="3" max="3" width="10.765625" style="1" customWidth="1"/>
    <col min="4" max="4" width="7.61328125" style="1" customWidth="1"/>
    <col min="5" max="5" width="25" style="1" customWidth="1"/>
    <col min="6" max="6" width="15.15234375" style="1" customWidth="1"/>
    <col min="7" max="7" width="14" style="1" customWidth="1"/>
    <col min="8" max="8" width="69.765625" style="1" customWidth="1"/>
    <col min="9" max="12" width="12.765625" style="1" customWidth="1"/>
    <col min="13" max="27" width="8.61328125" style="1" customWidth="1"/>
    <col min="28" max="16384" width="8" style="1"/>
  </cols>
  <sheetData>
    <row r="1" spans="1:27" ht="18.5" x14ac:dyDescent="0.45">
      <c r="A1" s="14" t="str">
        <f>bus</f>
        <v>United Energy</v>
      </c>
      <c r="B1" s="10"/>
      <c r="C1" s="10"/>
      <c r="D1" s="10"/>
      <c r="E1" s="10"/>
      <c r="F1" s="10"/>
      <c r="G1" s="10"/>
      <c r="H1" s="10"/>
      <c r="I1" s="10"/>
      <c r="J1" s="10"/>
      <c r="K1" s="10"/>
      <c r="L1" s="10"/>
      <c r="M1" s="10"/>
      <c r="N1" s="10"/>
      <c r="O1" s="10"/>
      <c r="P1" s="10"/>
      <c r="Q1" s="10"/>
      <c r="R1" s="10"/>
      <c r="S1" s="10"/>
      <c r="T1" s="10"/>
      <c r="U1" s="10"/>
      <c r="V1" s="10"/>
      <c r="W1" s="10"/>
      <c r="X1" s="10"/>
      <c r="Y1" s="10"/>
      <c r="Z1" s="10"/>
      <c r="AA1" s="10"/>
    </row>
    <row r="2" spans="1:27" ht="18.5" x14ac:dyDescent="0.45">
      <c r="A2" s="54" t="str">
        <f>proj</f>
        <v>Infrastructure refresh risk</v>
      </c>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7" ht="18.5" x14ac:dyDescent="0.45">
      <c r="A3" s="5" t="s">
        <v>357</v>
      </c>
      <c r="B3" s="6"/>
      <c r="C3" s="5"/>
      <c r="D3" s="5"/>
    </row>
    <row r="5" spans="1:27" ht="14.5" x14ac:dyDescent="0.3">
      <c r="A5" s="87"/>
      <c r="B5" s="87"/>
      <c r="C5" s="87"/>
      <c r="D5" s="87"/>
      <c r="E5" s="87"/>
      <c r="F5" s="87"/>
      <c r="G5" s="87"/>
      <c r="H5" s="87"/>
      <c r="I5" s="87"/>
      <c r="J5" s="87"/>
      <c r="K5" s="87"/>
      <c r="L5" s="87"/>
      <c r="M5" s="87"/>
      <c r="N5" s="87"/>
      <c r="O5" s="87"/>
      <c r="P5" s="87"/>
      <c r="Q5" s="87"/>
      <c r="R5" s="87"/>
      <c r="S5" s="87"/>
      <c r="T5" s="87"/>
      <c r="U5" s="87"/>
      <c r="V5" s="87"/>
      <c r="W5" s="87"/>
      <c r="X5" s="87"/>
      <c r="Y5" s="87"/>
      <c r="Z5" s="87"/>
      <c r="AA5" s="87"/>
    </row>
    <row r="6" spans="1:27" x14ac:dyDescent="0.3">
      <c r="C6" s="3"/>
      <c r="D6" s="3"/>
    </row>
    <row r="8" spans="1:27" x14ac:dyDescent="0.3">
      <c r="E8" s="3" t="s">
        <v>169</v>
      </c>
    </row>
    <row r="10" spans="1:27" x14ac:dyDescent="0.3">
      <c r="I10" s="202" t="s">
        <v>231</v>
      </c>
      <c r="J10" s="203"/>
      <c r="K10" s="203"/>
      <c r="L10" s="203"/>
    </row>
    <row r="11" spans="1:27" ht="37.5" x14ac:dyDescent="0.3">
      <c r="F11" s="204" t="s">
        <v>170</v>
      </c>
      <c r="G11" s="205"/>
      <c r="H11" s="205"/>
      <c r="I11" s="205" t="s">
        <v>243</v>
      </c>
      <c r="J11" s="205" t="s">
        <v>244</v>
      </c>
      <c r="K11" s="205" t="s">
        <v>245</v>
      </c>
      <c r="L11" s="205" t="s">
        <v>246</v>
      </c>
    </row>
    <row r="12" spans="1:27" x14ac:dyDescent="0.3">
      <c r="F12" s="412" t="s">
        <v>171</v>
      </c>
      <c r="G12" s="206" t="s">
        <v>172</v>
      </c>
      <c r="H12" s="207" t="s">
        <v>173</v>
      </c>
      <c r="I12" s="234"/>
      <c r="J12" s="235"/>
      <c r="K12" s="236"/>
      <c r="L12" s="235"/>
    </row>
    <row r="13" spans="1:27" x14ac:dyDescent="0.3">
      <c r="F13" s="412"/>
      <c r="G13" s="208" t="s">
        <v>174</v>
      </c>
      <c r="H13" s="207" t="s">
        <v>175</v>
      </c>
      <c r="I13" s="234"/>
      <c r="J13" s="235"/>
      <c r="K13" s="236"/>
      <c r="L13" s="235"/>
    </row>
    <row r="14" spans="1:27" x14ac:dyDescent="0.3">
      <c r="F14" s="412"/>
      <c r="G14" s="209" t="s">
        <v>176</v>
      </c>
      <c r="H14" s="210" t="s">
        <v>177</v>
      </c>
      <c r="I14" s="198">
        <f>'Benefit BR3'!D79</f>
        <v>9488.3671325925134</v>
      </c>
      <c r="J14" s="198">
        <f>'Benefit BR3'!D80</f>
        <v>9488.3671325925134</v>
      </c>
      <c r="K14" s="198">
        <f>'Benefit BR3'!D81</f>
        <v>1897.6734265185028</v>
      </c>
      <c r="L14" s="198">
        <f>'Benefit BR3'!D82</f>
        <v>1897.6734265185028</v>
      </c>
    </row>
    <row r="15" spans="1:27" x14ac:dyDescent="0.3">
      <c r="F15" s="412"/>
      <c r="G15" s="208" t="s">
        <v>178</v>
      </c>
      <c r="H15" s="207" t="s">
        <v>179</v>
      </c>
      <c r="I15" s="234"/>
      <c r="J15" s="235"/>
      <c r="K15" s="236"/>
      <c r="L15" s="235"/>
    </row>
    <row r="16" spans="1:27" x14ac:dyDescent="0.3">
      <c r="F16" s="412"/>
      <c r="G16" s="209" t="s">
        <v>180</v>
      </c>
      <c r="H16" s="210" t="s">
        <v>181</v>
      </c>
      <c r="I16" s="198">
        <f>'Benefit BR5'!D99</f>
        <v>2327823.5848703347</v>
      </c>
      <c r="J16" s="198">
        <f>'Benefit BR5'!D100</f>
        <v>2327823.5848703347</v>
      </c>
      <c r="K16" s="198">
        <f>'Benefit BR5'!D101</f>
        <v>465564.71697406698</v>
      </c>
      <c r="L16" s="198">
        <f>'Benefit BR5'!D102</f>
        <v>465564.71697406698</v>
      </c>
    </row>
    <row r="17" spans="6:12" x14ac:dyDescent="0.3">
      <c r="F17" s="412"/>
      <c r="G17" s="208" t="s">
        <v>182</v>
      </c>
      <c r="H17" s="207" t="s">
        <v>183</v>
      </c>
      <c r="I17" s="234"/>
      <c r="J17" s="235"/>
      <c r="K17" s="236"/>
      <c r="L17" s="235"/>
    </row>
    <row r="18" spans="6:12" x14ac:dyDescent="0.3">
      <c r="F18" s="411" t="s">
        <v>184</v>
      </c>
      <c r="G18" s="211" t="s">
        <v>185</v>
      </c>
      <c r="H18" s="210" t="s">
        <v>186</v>
      </c>
      <c r="I18" s="198">
        <f>'Benefit BC1'!D87</f>
        <v>772532.99381510413</v>
      </c>
      <c r="J18" s="199">
        <f>'Benefit BC1'!D88</f>
        <v>309013.19752604165</v>
      </c>
      <c r="K18" s="200">
        <f>'Benefit BC1'!D89</f>
        <v>298006.59876302088</v>
      </c>
      <c r="L18" s="199">
        <f>'Benefit BC1'!D90</f>
        <v>745016.49690755212</v>
      </c>
    </row>
    <row r="19" spans="6:12" x14ac:dyDescent="0.3">
      <c r="F19" s="411"/>
      <c r="G19" s="208" t="s">
        <v>187</v>
      </c>
      <c r="H19" s="207" t="s">
        <v>188</v>
      </c>
      <c r="I19" s="234"/>
      <c r="J19" s="235"/>
      <c r="K19" s="236"/>
      <c r="L19" s="235"/>
    </row>
    <row r="20" spans="6:12" x14ac:dyDescent="0.3">
      <c r="F20" s="411"/>
      <c r="G20" s="208" t="s">
        <v>189</v>
      </c>
      <c r="H20" s="207" t="s">
        <v>190</v>
      </c>
      <c r="I20" s="234"/>
      <c r="J20" s="235"/>
      <c r="K20" s="236"/>
      <c r="L20" s="235"/>
    </row>
    <row r="21" spans="6:12" x14ac:dyDescent="0.3">
      <c r="F21" s="411"/>
      <c r="G21" s="208" t="s">
        <v>191</v>
      </c>
      <c r="H21" s="207" t="s">
        <v>192</v>
      </c>
      <c r="I21" s="234"/>
      <c r="J21" s="235"/>
      <c r="K21" s="236"/>
      <c r="L21" s="235"/>
    </row>
    <row r="22" spans="6:12" x14ac:dyDescent="0.3">
      <c r="F22" s="411"/>
      <c r="G22" s="208" t="s">
        <v>193</v>
      </c>
      <c r="H22" s="207" t="s">
        <v>194</v>
      </c>
      <c r="I22" s="234"/>
      <c r="J22" s="235"/>
      <c r="K22" s="236"/>
      <c r="L22" s="235"/>
    </row>
    <row r="23" spans="6:12" x14ac:dyDescent="0.3">
      <c r="F23" s="411"/>
      <c r="G23" s="208" t="s">
        <v>195</v>
      </c>
      <c r="H23" s="207" t="s">
        <v>196</v>
      </c>
      <c r="I23" s="234"/>
      <c r="J23" s="235"/>
      <c r="K23" s="236"/>
      <c r="L23" s="235"/>
    </row>
    <row r="24" spans="6:12" x14ac:dyDescent="0.3">
      <c r="F24" s="411"/>
      <c r="G24" s="208" t="s">
        <v>197</v>
      </c>
      <c r="H24" s="207" t="s">
        <v>198</v>
      </c>
      <c r="I24" s="234"/>
      <c r="J24" s="235"/>
      <c r="K24" s="236"/>
      <c r="L24" s="235"/>
    </row>
    <row r="25" spans="6:12" x14ac:dyDescent="0.3">
      <c r="F25" s="411"/>
      <c r="G25" s="208" t="s">
        <v>199</v>
      </c>
      <c r="H25" s="207" t="s">
        <v>200</v>
      </c>
      <c r="I25" s="234"/>
      <c r="J25" s="235"/>
      <c r="K25" s="236"/>
      <c r="L25" s="235"/>
    </row>
    <row r="26" spans="6:12" x14ac:dyDescent="0.3">
      <c r="F26" s="411" t="s">
        <v>82</v>
      </c>
      <c r="G26" s="206" t="s">
        <v>201</v>
      </c>
      <c r="H26" s="207" t="s">
        <v>202</v>
      </c>
      <c r="I26" s="234"/>
      <c r="J26" s="235"/>
      <c r="K26" s="236"/>
      <c r="L26" s="235"/>
    </row>
    <row r="27" spans="6:12" x14ac:dyDescent="0.3">
      <c r="F27" s="411"/>
      <c r="G27" s="206" t="s">
        <v>203</v>
      </c>
      <c r="H27" s="207" t="s">
        <v>204</v>
      </c>
      <c r="I27" s="234"/>
      <c r="J27" s="235"/>
      <c r="K27" s="236"/>
      <c r="L27" s="235"/>
    </row>
    <row r="28" spans="6:12" x14ac:dyDescent="0.3">
      <c r="F28" s="411" t="s">
        <v>74</v>
      </c>
      <c r="G28" s="208" t="s">
        <v>205</v>
      </c>
      <c r="H28" s="207" t="s">
        <v>206</v>
      </c>
      <c r="I28" s="234"/>
      <c r="J28" s="235"/>
      <c r="K28" s="236"/>
      <c r="L28" s="235"/>
    </row>
    <row r="29" spans="6:12" x14ac:dyDescent="0.3">
      <c r="F29" s="411"/>
      <c r="G29" s="206" t="s">
        <v>207</v>
      </c>
      <c r="H29" s="207" t="s">
        <v>208</v>
      </c>
      <c r="I29" s="234"/>
      <c r="J29" s="235"/>
      <c r="K29" s="236"/>
      <c r="L29" s="235"/>
    </row>
    <row r="30" spans="6:12" ht="37.5" x14ac:dyDescent="0.3">
      <c r="F30" s="411"/>
      <c r="G30" s="206" t="s">
        <v>209</v>
      </c>
      <c r="H30" s="206" t="s">
        <v>210</v>
      </c>
      <c r="I30" s="234"/>
      <c r="J30" s="235"/>
      <c r="K30" s="236"/>
      <c r="L30" s="235"/>
    </row>
    <row r="31" spans="6:12" ht="38.25" customHeight="1" x14ac:dyDescent="0.3">
      <c r="F31" s="411" t="s">
        <v>211</v>
      </c>
      <c r="G31" s="206" t="s">
        <v>212</v>
      </c>
      <c r="H31" s="207" t="s">
        <v>213</v>
      </c>
      <c r="I31" s="234"/>
      <c r="J31" s="235"/>
      <c r="K31" s="236"/>
      <c r="L31" s="235"/>
    </row>
    <row r="32" spans="6:12" ht="12.75" customHeight="1" x14ac:dyDescent="0.3">
      <c r="F32" s="411"/>
      <c r="G32" s="206" t="s">
        <v>214</v>
      </c>
      <c r="H32" s="207" t="s">
        <v>215</v>
      </c>
      <c r="I32" s="237"/>
      <c r="J32" s="238"/>
      <c r="K32" s="239"/>
      <c r="L32" s="238"/>
    </row>
    <row r="33" spans="6:12" x14ac:dyDescent="0.3">
      <c r="F33" s="204" t="s">
        <v>216</v>
      </c>
      <c r="G33" s="205"/>
      <c r="H33" s="205"/>
      <c r="I33" s="234"/>
      <c r="J33" s="235"/>
      <c r="K33" s="236"/>
      <c r="L33" s="235"/>
    </row>
    <row r="34" spans="6:12" x14ac:dyDescent="0.3">
      <c r="F34" s="408" t="s">
        <v>217</v>
      </c>
      <c r="G34" s="229" t="s">
        <v>218</v>
      </c>
      <c r="H34" s="229" t="s">
        <v>219</v>
      </c>
      <c r="I34" s="198">
        <f>'Benefit ITO1'!C99</f>
        <v>18575933.10746</v>
      </c>
      <c r="J34" s="198">
        <f>'Benefit ITO1'!C100</f>
        <v>6191977.7024866669</v>
      </c>
      <c r="K34" s="198">
        <f>'Benefit ITO1'!C101</f>
        <v>5651977.7024866669</v>
      </c>
      <c r="L34" s="198">
        <f>'Benefit ITO1'!C102</f>
        <v>5651977.7024866669</v>
      </c>
    </row>
    <row r="35" spans="6:12" x14ac:dyDescent="0.3">
      <c r="F35" s="409"/>
      <c r="G35" s="243" t="s">
        <v>220</v>
      </c>
      <c r="H35" s="228" t="s">
        <v>221</v>
      </c>
      <c r="I35" s="237"/>
      <c r="J35" s="238"/>
      <c r="K35" s="239"/>
      <c r="L35" s="238"/>
    </row>
    <row r="36" spans="6:12" x14ac:dyDescent="0.3">
      <c r="F36" s="409"/>
      <c r="G36" s="208" t="s">
        <v>222</v>
      </c>
      <c r="H36" s="207" t="s">
        <v>242</v>
      </c>
      <c r="I36" s="234"/>
      <c r="J36" s="235"/>
      <c r="K36" s="236"/>
      <c r="L36" s="235"/>
    </row>
    <row r="37" spans="6:12" x14ac:dyDescent="0.3">
      <c r="F37" s="410"/>
      <c r="G37" s="206" t="s">
        <v>223</v>
      </c>
      <c r="H37" s="207" t="s">
        <v>224</v>
      </c>
      <c r="I37" s="234"/>
      <c r="J37" s="235"/>
      <c r="K37" s="236"/>
      <c r="L37" s="235"/>
    </row>
    <row r="38" spans="6:12" ht="12.75" customHeight="1" x14ac:dyDescent="0.3">
      <c r="F38" s="411" t="s">
        <v>155</v>
      </c>
      <c r="G38" s="211" t="s">
        <v>225</v>
      </c>
      <c r="H38" s="210" t="s">
        <v>226</v>
      </c>
      <c r="I38" s="198">
        <f>'Benefit ITS2'!C99</f>
        <v>1573598.8851243334</v>
      </c>
      <c r="J38" s="198">
        <f>'Benefit ITS2'!C100</f>
        <v>393399.72128108336</v>
      </c>
      <c r="K38" s="198">
        <f>'Benefit ITS2'!C101</f>
        <v>51119.777024866671</v>
      </c>
      <c r="L38" s="198">
        <f>'Benefit ITS2'!C102</f>
        <v>38339.832768649998</v>
      </c>
    </row>
    <row r="39" spans="6:12" ht="12.75" customHeight="1" x14ac:dyDescent="0.3">
      <c r="F39" s="411"/>
      <c r="G39" s="211" t="s">
        <v>227</v>
      </c>
      <c r="H39" s="210" t="s">
        <v>228</v>
      </c>
      <c r="I39" s="198">
        <f>'Benefit ITS3'!C95</f>
        <v>1578447.5279999999</v>
      </c>
      <c r="J39" s="198">
        <f>'Benefit ITS3'!C96</f>
        <v>789223.76399999997</v>
      </c>
      <c r="K39" s="198">
        <f>'Benefit ITS3'!C97</f>
        <v>315689.50560000003</v>
      </c>
      <c r="L39" s="198">
        <f>'Benefit ITS3'!C98</f>
        <v>157844.75280000002</v>
      </c>
    </row>
    <row r="40" spans="6:12" x14ac:dyDescent="0.3">
      <c r="F40" s="411"/>
      <c r="G40" s="231" t="s">
        <v>229</v>
      </c>
      <c r="H40" s="230" t="s">
        <v>230</v>
      </c>
      <c r="I40" s="240"/>
      <c r="J40" s="241"/>
      <c r="K40" s="242"/>
      <c r="L40" s="241"/>
    </row>
    <row r="41" spans="6:12" x14ac:dyDescent="0.3">
      <c r="F41" s="411"/>
      <c r="G41" s="231" t="s">
        <v>229</v>
      </c>
      <c r="H41" s="230" t="s">
        <v>230</v>
      </c>
      <c r="I41" s="234"/>
      <c r="J41" s="235"/>
      <c r="K41" s="236"/>
      <c r="L41" s="235"/>
    </row>
    <row r="42" spans="6:12" x14ac:dyDescent="0.3">
      <c r="F42" s="204" t="s">
        <v>42</v>
      </c>
      <c r="G42" s="205"/>
      <c r="H42" s="205"/>
      <c r="I42" s="225"/>
      <c r="J42" s="226"/>
      <c r="K42" s="227"/>
      <c r="L42" s="227"/>
    </row>
    <row r="43" spans="6:12" x14ac:dyDescent="0.3">
      <c r="F43" s="408" t="s">
        <v>42</v>
      </c>
      <c r="G43" s="206"/>
      <c r="H43" s="207"/>
      <c r="I43" s="198"/>
      <c r="J43" s="199"/>
      <c r="K43" s="200"/>
      <c r="L43" s="200"/>
    </row>
    <row r="44" spans="6:12" x14ac:dyDescent="0.3">
      <c r="F44" s="409"/>
      <c r="G44" s="206"/>
      <c r="H44" s="206"/>
      <c r="I44" s="198"/>
      <c r="J44" s="199"/>
      <c r="K44" s="200"/>
      <c r="L44" s="200"/>
    </row>
    <row r="45" spans="6:12" x14ac:dyDescent="0.3">
      <c r="F45" s="409"/>
      <c r="G45" s="208"/>
      <c r="H45" s="207"/>
      <c r="I45" s="198"/>
      <c r="J45" s="199"/>
      <c r="K45" s="200"/>
      <c r="L45" s="200"/>
    </row>
    <row r="46" spans="6:12" x14ac:dyDescent="0.3">
      <c r="F46" s="223"/>
    </row>
    <row r="47" spans="6:12" x14ac:dyDescent="0.3">
      <c r="H47" s="3" t="s">
        <v>356</v>
      </c>
      <c r="I47" s="201">
        <f>SUM(I12:I45)</f>
        <v>24837824.466402363</v>
      </c>
      <c r="J47" s="201">
        <f>SUM(J12:J45)</f>
        <v>10020926.337296721</v>
      </c>
      <c r="K47" s="201">
        <f>SUM(K12:K45)</f>
        <v>6784255.9742751401</v>
      </c>
      <c r="L47" s="201">
        <f>SUM(L12:L45)</f>
        <v>7060641.175363454</v>
      </c>
    </row>
  </sheetData>
  <mergeCells count="8">
    <mergeCell ref="F34:F37"/>
    <mergeCell ref="F38:F41"/>
    <mergeCell ref="F43:F45"/>
    <mergeCell ref="F12:F17"/>
    <mergeCell ref="F18:F25"/>
    <mergeCell ref="F26:F27"/>
    <mergeCell ref="F28:F30"/>
    <mergeCell ref="F31:F32"/>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AFEDD-479D-40D0-A7D1-2B54D5BC5E67}">
  <sheetPr codeName="Sheet19"/>
  <dimension ref="A1:P59"/>
  <sheetViews>
    <sheetView showGridLines="0" zoomScale="70" zoomScaleNormal="70" workbookViewId="0">
      <selection sqref="A1:XFD2"/>
    </sheetView>
  </sheetViews>
  <sheetFormatPr defaultColWidth="8" defaultRowHeight="12.5" x14ac:dyDescent="0.25"/>
  <cols>
    <col min="1" max="1" width="8" style="345"/>
    <col min="2" max="2" width="37.15234375" style="345" customWidth="1"/>
    <col min="3" max="3" width="8" style="345"/>
    <col min="4" max="4" width="10.23046875" style="345" bestFit="1" customWidth="1"/>
    <col min="5" max="5" width="73.765625" style="345" bestFit="1" customWidth="1"/>
    <col min="6" max="6" width="15.3828125" style="345" customWidth="1"/>
    <col min="7" max="7" width="49.15234375" style="345" bestFit="1" customWidth="1"/>
    <col min="8" max="8" width="20.3828125" style="345" customWidth="1"/>
    <col min="9" max="9" width="14" style="345" customWidth="1"/>
    <col min="10" max="10" width="20.765625" style="345" customWidth="1"/>
    <col min="11" max="11" width="11.4609375" style="345" bestFit="1" customWidth="1"/>
    <col min="12" max="16384" width="8" style="345"/>
  </cols>
  <sheetData>
    <row r="1" spans="1:16" customFormat="1" ht="18.5" x14ac:dyDescent="0.45">
      <c r="A1" s="14" t="str">
        <f>bus</f>
        <v>United Energy</v>
      </c>
      <c r="B1" s="14"/>
      <c r="C1" s="14"/>
      <c r="D1" s="42"/>
      <c r="E1" s="14"/>
      <c r="F1" s="14"/>
      <c r="G1" s="14"/>
      <c r="H1" s="14"/>
      <c r="I1" s="14"/>
      <c r="J1" s="14"/>
      <c r="K1" s="14"/>
      <c r="L1" s="14"/>
      <c r="M1" s="14"/>
      <c r="N1" s="14"/>
      <c r="O1" s="14"/>
      <c r="P1" s="14"/>
    </row>
    <row r="2" spans="1:16" customFormat="1" ht="18.5" x14ac:dyDescent="0.45">
      <c r="A2" s="54" t="str">
        <f>proj</f>
        <v>Infrastructure refresh risk</v>
      </c>
      <c r="B2" s="14"/>
      <c r="C2" s="14"/>
      <c r="D2" s="42"/>
      <c r="E2" s="14"/>
      <c r="F2" s="14"/>
      <c r="G2" s="14"/>
      <c r="H2" s="14"/>
      <c r="I2" s="14"/>
      <c r="J2" s="14"/>
      <c r="K2" s="14"/>
      <c r="L2" s="14"/>
      <c r="M2" s="14"/>
      <c r="N2" s="14"/>
      <c r="O2" s="14"/>
      <c r="P2" s="14"/>
    </row>
    <row r="4" spans="1:16" s="344" customFormat="1" ht="13" x14ac:dyDescent="0.3">
      <c r="A4" s="344" t="s">
        <v>359</v>
      </c>
    </row>
    <row r="6" spans="1:16" ht="13" x14ac:dyDescent="0.3">
      <c r="B6" s="346" t="s">
        <v>275</v>
      </c>
      <c r="C6" s="346" t="s">
        <v>274</v>
      </c>
      <c r="D6" s="346" t="s">
        <v>276</v>
      </c>
      <c r="E6" s="346" t="s">
        <v>360</v>
      </c>
    </row>
    <row r="7" spans="1:16" ht="37.5" x14ac:dyDescent="0.25">
      <c r="B7" s="347" t="s">
        <v>5</v>
      </c>
      <c r="C7" s="348" t="s">
        <v>45</v>
      </c>
      <c r="D7" s="349">
        <v>42.86</v>
      </c>
      <c r="E7" s="350" t="s">
        <v>418</v>
      </c>
    </row>
    <row r="8" spans="1:16" ht="37.5" x14ac:dyDescent="0.25">
      <c r="B8" s="347" t="s">
        <v>263</v>
      </c>
      <c r="C8" s="351" t="s">
        <v>45</v>
      </c>
      <c r="D8" s="352">
        <v>2.1999999999999999E-2</v>
      </c>
      <c r="E8" s="355" t="s">
        <v>417</v>
      </c>
    </row>
    <row r="9" spans="1:16" x14ac:dyDescent="0.25">
      <c r="B9" s="347" t="s">
        <v>312</v>
      </c>
      <c r="C9" s="348" t="s">
        <v>307</v>
      </c>
      <c r="D9" s="353">
        <v>145.78</v>
      </c>
      <c r="E9" s="353" t="s">
        <v>312</v>
      </c>
    </row>
    <row r="10" spans="1:16" ht="13" x14ac:dyDescent="0.3">
      <c r="B10" s="347" t="s">
        <v>361</v>
      </c>
      <c r="C10" s="348" t="s">
        <v>81</v>
      </c>
      <c r="D10" s="354">
        <v>50000000</v>
      </c>
      <c r="E10" s="355" t="s">
        <v>362</v>
      </c>
    </row>
    <row r="11" spans="1:16" x14ac:dyDescent="0.25">
      <c r="B11" s="347" t="s">
        <v>283</v>
      </c>
      <c r="C11" s="348" t="s">
        <v>264</v>
      </c>
      <c r="D11" s="356">
        <v>1.21</v>
      </c>
      <c r="E11" s="350" t="s">
        <v>411</v>
      </c>
    </row>
    <row r="12" spans="1:16" x14ac:dyDescent="0.25">
      <c r="B12" s="347" t="s">
        <v>363</v>
      </c>
      <c r="C12" s="348" t="s">
        <v>81</v>
      </c>
      <c r="D12" s="354">
        <v>1435000</v>
      </c>
      <c r="E12" s="355" t="s">
        <v>364</v>
      </c>
    </row>
    <row r="13" spans="1:16" ht="25" x14ac:dyDescent="0.25">
      <c r="B13" s="347" t="s">
        <v>365</v>
      </c>
      <c r="C13" s="348" t="s">
        <v>366</v>
      </c>
      <c r="D13" s="354">
        <v>71800</v>
      </c>
      <c r="E13" s="355" t="s">
        <v>367</v>
      </c>
    </row>
    <row r="14" spans="1:16" x14ac:dyDescent="0.25">
      <c r="B14" s="347" t="s">
        <v>308</v>
      </c>
      <c r="C14" s="348" t="s">
        <v>307</v>
      </c>
      <c r="D14" s="357">
        <v>225</v>
      </c>
      <c r="E14" s="358" t="s">
        <v>387</v>
      </c>
    </row>
    <row r="15" spans="1:16" x14ac:dyDescent="0.25">
      <c r="B15" s="347" t="s">
        <v>265</v>
      </c>
      <c r="C15" s="348" t="s">
        <v>264</v>
      </c>
      <c r="D15" s="359">
        <v>0.60502283105022836</v>
      </c>
      <c r="E15" s="350" t="s">
        <v>388</v>
      </c>
    </row>
    <row r="16" spans="1:16" x14ac:dyDescent="0.25">
      <c r="B16" s="355" t="s">
        <v>368</v>
      </c>
      <c r="C16" s="353" t="s">
        <v>266</v>
      </c>
      <c r="D16" s="360">
        <v>780700</v>
      </c>
      <c r="E16" s="355" t="s">
        <v>412</v>
      </c>
    </row>
    <row r="17" spans="2:9" ht="37.5" x14ac:dyDescent="0.25">
      <c r="B17" s="355" t="s">
        <v>318</v>
      </c>
      <c r="C17" s="353" t="s">
        <v>266</v>
      </c>
      <c r="D17" s="360">
        <v>1289</v>
      </c>
      <c r="E17" s="355" t="s">
        <v>413</v>
      </c>
    </row>
    <row r="18" spans="2:9" x14ac:dyDescent="0.25">
      <c r="B18" s="355" t="s">
        <v>369</v>
      </c>
      <c r="C18" s="353" t="s">
        <v>266</v>
      </c>
      <c r="D18" s="360">
        <v>263500</v>
      </c>
      <c r="E18" s="355" t="s">
        <v>414</v>
      </c>
    </row>
    <row r="19" spans="2:9" ht="25" x14ac:dyDescent="0.25">
      <c r="B19" s="355" t="s">
        <v>370</v>
      </c>
      <c r="C19" s="353" t="s">
        <v>288</v>
      </c>
      <c r="D19" s="361">
        <v>12.144791666666666</v>
      </c>
      <c r="E19" s="355" t="s">
        <v>426</v>
      </c>
    </row>
    <row r="20" spans="2:9" ht="25" x14ac:dyDescent="0.25">
      <c r="B20" s="355" t="s">
        <v>371</v>
      </c>
      <c r="C20" s="353" t="s">
        <v>288</v>
      </c>
      <c r="D20" s="361">
        <v>2.6666666666666665</v>
      </c>
      <c r="E20" s="355" t="s">
        <v>391</v>
      </c>
    </row>
    <row r="21" spans="2:9" ht="25" x14ac:dyDescent="0.25">
      <c r="B21" s="355" t="s">
        <v>372</v>
      </c>
      <c r="C21" s="353" t="s">
        <v>288</v>
      </c>
      <c r="D21" s="360">
        <v>3</v>
      </c>
      <c r="E21" s="350" t="s">
        <v>415</v>
      </c>
    </row>
    <row r="22" spans="2:9" x14ac:dyDescent="0.25">
      <c r="B22" s="355" t="s">
        <v>373</v>
      </c>
      <c r="C22" s="353" t="s">
        <v>266</v>
      </c>
      <c r="D22" s="360">
        <v>111700</v>
      </c>
      <c r="E22" s="355" t="s">
        <v>416</v>
      </c>
    </row>
    <row r="23" spans="2:9" x14ac:dyDescent="0.25">
      <c r="B23" s="355" t="s">
        <v>287</v>
      </c>
      <c r="C23" s="353" t="s">
        <v>266</v>
      </c>
      <c r="D23" s="362">
        <v>0.77287183273047</v>
      </c>
      <c r="E23" s="363" t="s">
        <v>374</v>
      </c>
    </row>
    <row r="24" spans="2:9" x14ac:dyDescent="0.25">
      <c r="B24" s="364"/>
      <c r="D24" s="365"/>
      <c r="E24" s="366"/>
    </row>
    <row r="25" spans="2:9" ht="13" x14ac:dyDescent="0.3">
      <c r="B25" s="367" t="s">
        <v>375</v>
      </c>
      <c r="D25" s="261"/>
    </row>
    <row r="26" spans="2:9" ht="13" x14ac:dyDescent="0.3">
      <c r="B26" s="261"/>
      <c r="C26" s="368" t="s">
        <v>274</v>
      </c>
      <c r="D26" s="369" t="s">
        <v>255</v>
      </c>
      <c r="E26" s="368" t="s">
        <v>376</v>
      </c>
    </row>
    <row r="27" spans="2:9" ht="13" x14ac:dyDescent="0.3">
      <c r="B27" s="370" t="s">
        <v>377</v>
      </c>
      <c r="C27" s="368"/>
      <c r="D27" s="368"/>
      <c r="E27" s="368"/>
    </row>
    <row r="28" spans="2:9" x14ac:dyDescent="0.25">
      <c r="B28" s="261" t="s">
        <v>419</v>
      </c>
      <c r="C28" s="371" t="s">
        <v>266</v>
      </c>
      <c r="D28" s="372">
        <v>0.69</v>
      </c>
      <c r="E28" s="413" t="s">
        <v>378</v>
      </c>
    </row>
    <row r="29" spans="2:9" x14ac:dyDescent="0.25">
      <c r="B29" s="261" t="s">
        <v>420</v>
      </c>
      <c r="C29" s="371" t="s">
        <v>266</v>
      </c>
      <c r="D29" s="372">
        <v>1.92</v>
      </c>
      <c r="E29" s="413"/>
    </row>
    <row r="30" spans="2:9" x14ac:dyDescent="0.25">
      <c r="B30" s="261"/>
      <c r="C30" s="371"/>
      <c r="D30" s="372"/>
    </row>
    <row r="31" spans="2:9" x14ac:dyDescent="0.25">
      <c r="B31" s="370" t="s">
        <v>379</v>
      </c>
      <c r="C31" s="371"/>
      <c r="D31" s="372"/>
      <c r="F31" s="293"/>
      <c r="G31" s="293"/>
      <c r="H31" s="293"/>
      <c r="I31" s="293"/>
    </row>
    <row r="32" spans="2:9" x14ac:dyDescent="0.25">
      <c r="B32" s="261" t="s">
        <v>421</v>
      </c>
      <c r="C32" s="371" t="s">
        <v>266</v>
      </c>
      <c r="D32" s="365">
        <v>650772.08992163488</v>
      </c>
      <c r="E32" s="414" t="s">
        <v>389</v>
      </c>
      <c r="F32" s="293"/>
      <c r="G32" s="293"/>
      <c r="H32" s="293"/>
      <c r="I32" s="293"/>
    </row>
    <row r="33" spans="1:9" x14ac:dyDescent="0.25">
      <c r="B33" s="261" t="s">
        <v>422</v>
      </c>
      <c r="C33" s="371" t="s">
        <v>266</v>
      </c>
      <c r="D33" s="365">
        <v>62331.910078365108</v>
      </c>
      <c r="E33" s="414" t="s">
        <v>380</v>
      </c>
      <c r="F33" s="293"/>
      <c r="G33" s="293"/>
      <c r="H33" s="293"/>
      <c r="I33" s="293"/>
    </row>
    <row r="34" spans="1:9" ht="13" x14ac:dyDescent="0.3">
      <c r="B34" s="373" t="s">
        <v>381</v>
      </c>
      <c r="C34" s="373" t="s">
        <v>266</v>
      </c>
      <c r="D34" s="374">
        <f>SUMPRODUCT(D28:D29,D32:D33)</f>
        <v>568710.00939638901</v>
      </c>
      <c r="E34" s="375"/>
      <c r="F34" s="293"/>
      <c r="G34" s="293"/>
      <c r="H34" s="293"/>
      <c r="I34" s="293"/>
    </row>
    <row r="35" spans="1:9" x14ac:dyDescent="0.25">
      <c r="B35" s="371"/>
      <c r="C35" s="371"/>
      <c r="D35" s="376"/>
      <c r="E35" s="366"/>
      <c r="F35" s="293"/>
      <c r="G35" s="293"/>
      <c r="H35" s="293"/>
      <c r="I35" s="293"/>
    </row>
    <row r="36" spans="1:9" ht="13" x14ac:dyDescent="0.3">
      <c r="B36" s="377" t="s">
        <v>382</v>
      </c>
      <c r="C36" s="377" t="s">
        <v>266</v>
      </c>
      <c r="D36" s="378">
        <v>84</v>
      </c>
      <c r="E36" s="379" t="s">
        <v>390</v>
      </c>
      <c r="F36" s="293"/>
      <c r="G36" s="293"/>
      <c r="H36" s="293"/>
      <c r="I36" s="293"/>
    </row>
    <row r="37" spans="1:9" ht="13" x14ac:dyDescent="0.3">
      <c r="B37" s="373" t="s">
        <v>383</v>
      </c>
      <c r="C37" s="373" t="s">
        <v>266</v>
      </c>
      <c r="D37" s="374">
        <f>D34/D36</f>
        <v>6770.3572547189169</v>
      </c>
      <c r="E37" s="380"/>
      <c r="F37" s="293"/>
      <c r="G37" s="293"/>
      <c r="H37" s="293"/>
      <c r="I37" s="293"/>
    </row>
    <row r="38" spans="1:9" ht="13" x14ac:dyDescent="0.3">
      <c r="B38" s="373"/>
      <c r="C38" s="373"/>
      <c r="D38" s="374"/>
      <c r="E38" s="380"/>
      <c r="F38" s="293"/>
      <c r="G38" s="293"/>
      <c r="H38" s="293"/>
      <c r="I38" s="293"/>
    </row>
    <row r="39" spans="1:9" ht="13" x14ac:dyDescent="0.3">
      <c r="B39" s="377" t="s">
        <v>287</v>
      </c>
      <c r="C39" s="377" t="s">
        <v>266</v>
      </c>
      <c r="D39" s="381">
        <f>D37/(365*24)</f>
        <v>0.77287183273047</v>
      </c>
      <c r="E39" s="382"/>
      <c r="F39" s="293"/>
      <c r="G39" s="293"/>
      <c r="H39" s="293"/>
      <c r="I39" s="293"/>
    </row>
    <row r="40" spans="1:9" ht="13" x14ac:dyDescent="0.3">
      <c r="B40" s="367"/>
      <c r="D40" s="261"/>
    </row>
    <row r="42" spans="1:9" s="384" customFormat="1" ht="13" x14ac:dyDescent="0.3">
      <c r="A42" s="344" t="s">
        <v>384</v>
      </c>
    </row>
    <row r="44" spans="1:9" ht="13" x14ac:dyDescent="0.3">
      <c r="B44" s="346" t="s">
        <v>275</v>
      </c>
      <c r="C44" s="346" t="s">
        <v>274</v>
      </c>
      <c r="D44" s="346" t="s">
        <v>255</v>
      </c>
      <c r="E44" s="346" t="s">
        <v>273</v>
      </c>
      <c r="F44" s="346" t="s">
        <v>253</v>
      </c>
    </row>
    <row r="45" spans="1:9" x14ac:dyDescent="0.25">
      <c r="B45" s="348" t="s">
        <v>385</v>
      </c>
      <c r="C45" s="348" t="s">
        <v>266</v>
      </c>
      <c r="D45" s="385">
        <v>1</v>
      </c>
      <c r="E45" s="385">
        <v>84</v>
      </c>
      <c r="F45" s="349">
        <v>8148</v>
      </c>
    </row>
    <row r="46" spans="1:9" x14ac:dyDescent="0.25">
      <c r="B46" s="348" t="s">
        <v>386</v>
      </c>
      <c r="C46" s="348" t="s">
        <v>288</v>
      </c>
      <c r="D46" s="349">
        <v>2.6666666666666665</v>
      </c>
      <c r="E46" s="349">
        <v>12.144791666666666</v>
      </c>
      <c r="F46" s="349">
        <v>24.923333333333336</v>
      </c>
    </row>
    <row r="47" spans="1:9" x14ac:dyDescent="0.25">
      <c r="B47" s="261"/>
      <c r="C47" s="261"/>
      <c r="D47" s="261"/>
      <c r="E47" s="261"/>
      <c r="F47" s="261"/>
      <c r="G47" s="261"/>
    </row>
    <row r="48" spans="1:9" x14ac:dyDescent="0.25">
      <c r="B48" s="261"/>
      <c r="C48" s="261"/>
      <c r="D48" s="261"/>
      <c r="E48" s="261"/>
      <c r="F48" s="261"/>
      <c r="G48" s="261"/>
    </row>
    <row r="49" spans="1:12" x14ac:dyDescent="0.25">
      <c r="B49" s="371"/>
      <c r="C49" s="371"/>
      <c r="D49" s="386"/>
      <c r="E49" s="386"/>
      <c r="F49" s="386"/>
      <c r="G49" s="387"/>
    </row>
    <row r="50" spans="1:12" s="384" customFormat="1" ht="13" x14ac:dyDescent="0.3">
      <c r="A50" s="344" t="s">
        <v>408</v>
      </c>
    </row>
    <row r="51" spans="1:12" x14ac:dyDescent="0.25">
      <c r="H51" s="293"/>
      <c r="I51" s="293"/>
      <c r="J51" s="293"/>
      <c r="K51" s="293"/>
      <c r="L51" s="383"/>
    </row>
    <row r="52" spans="1:12" ht="13" x14ac:dyDescent="0.3">
      <c r="B52" s="346" t="s">
        <v>392</v>
      </c>
      <c r="C52" s="346" t="s">
        <v>393</v>
      </c>
      <c r="D52" s="346" t="s">
        <v>260</v>
      </c>
      <c r="E52" s="346" t="s">
        <v>410</v>
      </c>
      <c r="H52" s="293"/>
      <c r="I52" s="293"/>
      <c r="J52" s="293"/>
      <c r="K52" s="293"/>
      <c r="L52" s="383"/>
    </row>
    <row r="53" spans="1:12" ht="13.5" x14ac:dyDescent="0.3">
      <c r="B53"/>
      <c r="C53" s="215" t="s">
        <v>394</v>
      </c>
      <c r="D53" s="215" t="s">
        <v>395</v>
      </c>
      <c r="E53"/>
      <c r="H53" s="293"/>
      <c r="I53" s="293"/>
      <c r="J53" s="293"/>
      <c r="K53" s="293"/>
      <c r="L53" s="383"/>
    </row>
    <row r="54" spans="1:12" x14ac:dyDescent="0.25">
      <c r="B54" s="348" t="s">
        <v>396</v>
      </c>
      <c r="C54" s="389">
        <f>1/12</f>
        <v>8.3333333333333329E-2</v>
      </c>
      <c r="D54" s="391">
        <f t="shared" ref="D54:D59" si="0">IF(C54=0,0,1/C54)</f>
        <v>12</v>
      </c>
      <c r="E54" s="392" t="s">
        <v>397</v>
      </c>
      <c r="H54" s="293"/>
      <c r="I54" s="293"/>
      <c r="J54" s="293"/>
      <c r="K54" s="293"/>
      <c r="L54" s="383"/>
    </row>
    <row r="55" spans="1:12" x14ac:dyDescent="0.25">
      <c r="B55" s="348" t="s">
        <v>398</v>
      </c>
      <c r="C55" s="390">
        <v>1</v>
      </c>
      <c r="D55" s="390">
        <f t="shared" si="0"/>
        <v>1</v>
      </c>
      <c r="E55" s="393" t="s">
        <v>399</v>
      </c>
      <c r="H55" s="293"/>
      <c r="I55" s="293"/>
      <c r="J55" s="293"/>
      <c r="K55" s="293"/>
    </row>
    <row r="56" spans="1:12" x14ac:dyDescent="0.25">
      <c r="B56" s="348" t="s">
        <v>400</v>
      </c>
      <c r="C56" s="390">
        <v>2</v>
      </c>
      <c r="D56" s="390">
        <f t="shared" si="0"/>
        <v>0.5</v>
      </c>
      <c r="E56" s="392" t="s">
        <v>401</v>
      </c>
    </row>
    <row r="57" spans="1:12" x14ac:dyDescent="0.25">
      <c r="B57" s="348" t="s">
        <v>402</v>
      </c>
      <c r="C57" s="390">
        <v>5</v>
      </c>
      <c r="D57" s="390">
        <f t="shared" si="0"/>
        <v>0.2</v>
      </c>
      <c r="E57" s="393" t="s">
        <v>403</v>
      </c>
    </row>
    <row r="58" spans="1:12" x14ac:dyDescent="0.25">
      <c r="B58" s="348" t="s">
        <v>404</v>
      </c>
      <c r="C58" s="390">
        <v>10</v>
      </c>
      <c r="D58" s="390">
        <f t="shared" si="0"/>
        <v>0.1</v>
      </c>
      <c r="E58" s="392" t="s">
        <v>405</v>
      </c>
    </row>
    <row r="59" spans="1:12" x14ac:dyDescent="0.25">
      <c r="B59" s="348" t="s">
        <v>406</v>
      </c>
      <c r="C59" s="390">
        <v>20</v>
      </c>
      <c r="D59" s="390">
        <f t="shared" si="0"/>
        <v>0.05</v>
      </c>
      <c r="E59" s="393" t="s">
        <v>407</v>
      </c>
    </row>
  </sheetData>
  <mergeCells count="2">
    <mergeCell ref="E28:E29"/>
    <mergeCell ref="E32:E33"/>
  </mergeCells>
  <hyperlinks>
    <hyperlink ref="E23" location="'General inputs'!B24" display="See calculation A below." xr:uid="{040BAB6C-19EC-4BB2-9D94-214198FC3A8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EB20-A1DC-4047-8E5D-96A284DA6BDC}">
  <sheetPr codeName="Sheet20">
    <tabColor theme="3"/>
  </sheetPr>
  <dimension ref="A1"/>
  <sheetViews>
    <sheetView showGridLines="0" topLeftCell="C1" workbookViewId="0">
      <selection activeCell="E39" sqref="E39"/>
    </sheetView>
  </sheetViews>
  <sheetFormatPr defaultColWidth="8" defaultRowHeight="14.5" x14ac:dyDescent="0.35"/>
  <cols>
    <col min="1" max="16384" width="8" style="244"/>
  </cols>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E7D2-5184-46AE-A2A4-454863436315}">
  <sheetPr codeName="Sheet21"/>
  <dimension ref="A1:P89"/>
  <sheetViews>
    <sheetView showGridLines="0" zoomScale="70" zoomScaleNormal="70" workbookViewId="0">
      <selection sqref="A1:XFD2"/>
    </sheetView>
  </sheetViews>
  <sheetFormatPr defaultColWidth="7.84375" defaultRowHeight="14" x14ac:dyDescent="0.3"/>
  <cols>
    <col min="1" max="1" width="2.765625" style="245" customWidth="1"/>
    <col min="2" max="2" width="48.765625" style="245" customWidth="1"/>
    <col min="3" max="3" width="18.3828125" style="245" bestFit="1" customWidth="1"/>
    <col min="4" max="4" width="24.4609375" style="245" bestFit="1" customWidth="1"/>
    <col min="5" max="5" width="10.84375" style="245" bestFit="1" customWidth="1"/>
    <col min="6" max="6" width="14" style="245" customWidth="1"/>
    <col min="7" max="7" width="76.23046875" style="246" bestFit="1" customWidth="1"/>
    <col min="8" max="8" width="7.84375" style="245"/>
    <col min="9" max="9" width="11.3828125" style="245" customWidth="1"/>
    <col min="10" max="16384" width="7.84375" style="245"/>
  </cols>
  <sheetData>
    <row r="1" spans="1:16" customFormat="1" ht="18.5" x14ac:dyDescent="0.45">
      <c r="A1" s="14" t="str">
        <f>bus</f>
        <v>United Energy</v>
      </c>
      <c r="B1" s="14"/>
      <c r="C1" s="14"/>
      <c r="D1" s="42"/>
      <c r="E1" s="14"/>
      <c r="F1" s="14"/>
      <c r="G1" s="14"/>
      <c r="H1" s="14"/>
      <c r="I1" s="14"/>
      <c r="J1" s="14"/>
      <c r="K1" s="14"/>
      <c r="L1" s="14"/>
      <c r="M1" s="14"/>
      <c r="N1" s="14"/>
      <c r="O1" s="14"/>
      <c r="P1" s="14"/>
    </row>
    <row r="2" spans="1:16" customFormat="1" ht="18.5" x14ac:dyDescent="0.45">
      <c r="A2" s="54" t="str">
        <f>proj</f>
        <v>Infrastructure refresh risk</v>
      </c>
      <c r="B2" s="14"/>
      <c r="C2" s="14"/>
      <c r="D2" s="42"/>
      <c r="E2" s="14"/>
      <c r="F2" s="14"/>
      <c r="G2" s="14"/>
      <c r="H2" s="14"/>
      <c r="I2" s="14"/>
      <c r="J2" s="14"/>
      <c r="K2" s="14"/>
      <c r="L2" s="14"/>
      <c r="M2" s="14"/>
      <c r="N2" s="14"/>
      <c r="O2" s="14"/>
      <c r="P2" s="14"/>
    </row>
    <row r="4" spans="1:16" s="285" customFormat="1" x14ac:dyDescent="0.3">
      <c r="A4" s="285" t="s">
        <v>177</v>
      </c>
      <c r="G4" s="286"/>
    </row>
    <row r="6" spans="1:16" ht="14.25" customHeight="1" x14ac:dyDescent="0.35">
      <c r="A6" s="244"/>
      <c r="B6" s="244"/>
      <c r="C6" s="244"/>
      <c r="D6" s="244"/>
      <c r="E6" s="244"/>
      <c r="F6" s="244"/>
      <c r="G6" s="260"/>
    </row>
    <row r="7" spans="1:16" x14ac:dyDescent="0.3">
      <c r="B7" s="279" t="str">
        <f>Assumptions!$C$14&amp;" - "&amp;Assumptions!$E$14</f>
        <v>Option 1 (base case) - Maintain status quo</v>
      </c>
      <c r="C7" s="279"/>
      <c r="D7" s="278"/>
      <c r="E7" s="278"/>
      <c r="F7" s="278"/>
      <c r="G7" s="277"/>
    </row>
    <row r="8" spans="1:16" ht="14.5" x14ac:dyDescent="0.35">
      <c r="I8" s="244"/>
    </row>
    <row r="9" spans="1:16" ht="14.5" x14ac:dyDescent="0.35">
      <c r="D9" s="415" t="s">
        <v>276</v>
      </c>
      <c r="E9" s="416"/>
      <c r="F9" s="417"/>
      <c r="I9" s="244"/>
    </row>
    <row r="10" spans="1:16" ht="14.5" x14ac:dyDescent="0.35">
      <c r="B10" s="276" t="s">
        <v>275</v>
      </c>
      <c r="C10" s="276" t="s">
        <v>274</v>
      </c>
      <c r="D10" s="276" t="s">
        <v>255</v>
      </c>
      <c r="E10" s="276" t="s">
        <v>273</v>
      </c>
      <c r="F10" s="276" t="s">
        <v>253</v>
      </c>
      <c r="G10" s="275" t="s">
        <v>272</v>
      </c>
      <c r="I10" s="244"/>
    </row>
    <row r="11" spans="1:16" ht="14.5" x14ac:dyDescent="0.35">
      <c r="B11" s="269" t="s">
        <v>271</v>
      </c>
      <c r="C11" s="269" t="s">
        <v>266</v>
      </c>
      <c r="D11" s="274">
        <v>12</v>
      </c>
      <c r="E11" s="273"/>
      <c r="F11" s="273"/>
      <c r="G11" s="284" t="s">
        <v>280</v>
      </c>
      <c r="H11" s="272"/>
      <c r="I11" s="244"/>
    </row>
    <row r="12" spans="1:16" ht="51" x14ac:dyDescent="0.35">
      <c r="B12" s="269" t="s">
        <v>269</v>
      </c>
      <c r="C12" s="269" t="s">
        <v>266</v>
      </c>
      <c r="D12" s="274">
        <v>0.5</v>
      </c>
      <c r="E12" s="273"/>
      <c r="F12" s="273"/>
      <c r="G12" s="284" t="s">
        <v>279</v>
      </c>
      <c r="H12" s="272"/>
      <c r="I12" s="244"/>
    </row>
    <row r="13" spans="1:16" ht="14.5" x14ac:dyDescent="0.35">
      <c r="B13" s="269" t="s">
        <v>268</v>
      </c>
      <c r="C13" s="269" t="s">
        <v>288</v>
      </c>
      <c r="D13" s="271">
        <f>'General risk inputs'!$D$46</f>
        <v>2.6666666666666665</v>
      </c>
      <c r="E13" s="271">
        <f>'General risk inputs'!$E$46</f>
        <v>12.144791666666666</v>
      </c>
      <c r="F13" s="271">
        <f>'General risk inputs'!$F$46</f>
        <v>24.923333333333336</v>
      </c>
      <c r="G13" s="267" t="s">
        <v>262</v>
      </c>
      <c r="I13" s="244"/>
    </row>
    <row r="14" spans="1:16" ht="14.5" x14ac:dyDescent="0.35">
      <c r="B14" s="269" t="s">
        <v>267</v>
      </c>
      <c r="C14" s="269" t="s">
        <v>266</v>
      </c>
      <c r="D14" s="271">
        <f>'General risk inputs'!$D$22</f>
        <v>111700</v>
      </c>
      <c r="E14" s="271">
        <f>'General risk inputs'!$D$22</f>
        <v>111700</v>
      </c>
      <c r="F14" s="271">
        <f>'General risk inputs'!$D$22</f>
        <v>111700</v>
      </c>
      <c r="G14" s="267" t="s">
        <v>262</v>
      </c>
      <c r="I14" s="244"/>
    </row>
    <row r="15" spans="1:16" ht="14.5" x14ac:dyDescent="0.35">
      <c r="B15" s="269" t="s">
        <v>265</v>
      </c>
      <c r="C15" s="269" t="s">
        <v>264</v>
      </c>
      <c r="D15" s="271">
        <f>'General risk inputs'!$D$15</f>
        <v>0.60502283105022836</v>
      </c>
      <c r="E15" s="271">
        <f>'General risk inputs'!$D$15</f>
        <v>0.60502283105022836</v>
      </c>
      <c r="F15" s="271">
        <f>'General risk inputs'!$D$15</f>
        <v>0.60502283105022836</v>
      </c>
      <c r="G15" s="267" t="s">
        <v>262</v>
      </c>
      <c r="I15" s="244"/>
    </row>
    <row r="16" spans="1:16" ht="14.5" x14ac:dyDescent="0.35">
      <c r="B16" s="269" t="s">
        <v>263</v>
      </c>
      <c r="C16" s="269" t="s">
        <v>45</v>
      </c>
      <c r="D16" s="268">
        <f>'General risk inputs'!$D$8</f>
        <v>2.1999999999999999E-2</v>
      </c>
      <c r="E16" s="268">
        <f>'General risk inputs'!$D$8</f>
        <v>2.1999999999999999E-2</v>
      </c>
      <c r="F16" s="268">
        <f>'General risk inputs'!$D$8</f>
        <v>2.1999999999999999E-2</v>
      </c>
      <c r="G16" s="267" t="s">
        <v>262</v>
      </c>
      <c r="I16" s="244"/>
    </row>
    <row r="17" spans="2:9" ht="14.5" x14ac:dyDescent="0.35">
      <c r="B17" s="281"/>
      <c r="C17" s="281"/>
      <c r="D17" s="283"/>
      <c r="E17" s="283"/>
      <c r="F17" s="283"/>
      <c r="G17" s="282"/>
      <c r="I17" s="244"/>
    </row>
    <row r="18" spans="2:9" ht="14.5" x14ac:dyDescent="0.35">
      <c r="B18" s="256"/>
      <c r="C18" s="256"/>
      <c r="D18" s="256"/>
      <c r="E18" s="256"/>
      <c r="F18" s="256"/>
      <c r="G18" s="280"/>
      <c r="I18" s="244"/>
    </row>
    <row r="19" spans="2:9" x14ac:dyDescent="0.3">
      <c r="B19" s="279" t="str">
        <f>Assumptions!$C$15&amp;" - "&amp;Assumptions!$E$15</f>
        <v>Option 2 - Maintain existing infrastructure with more frequent upgrades</v>
      </c>
      <c r="C19" s="279"/>
      <c r="D19" s="278"/>
      <c r="E19" s="278"/>
      <c r="F19" s="278"/>
      <c r="G19" s="277"/>
    </row>
    <row r="21" spans="2:9" x14ac:dyDescent="0.3">
      <c r="D21" s="415" t="s">
        <v>276</v>
      </c>
      <c r="E21" s="416"/>
      <c r="F21" s="417"/>
    </row>
    <row r="22" spans="2:9" ht="14.5" x14ac:dyDescent="0.35">
      <c r="B22" s="276" t="s">
        <v>275</v>
      </c>
      <c r="C22" s="276" t="s">
        <v>274</v>
      </c>
      <c r="D22" s="276" t="s">
        <v>255</v>
      </c>
      <c r="E22" s="276" t="s">
        <v>273</v>
      </c>
      <c r="F22" s="276" t="s">
        <v>253</v>
      </c>
      <c r="G22" s="275" t="s">
        <v>272</v>
      </c>
      <c r="I22" s="244"/>
    </row>
    <row r="23" spans="2:9" ht="26.15" customHeight="1" x14ac:dyDescent="0.35">
      <c r="B23" s="269" t="s">
        <v>271</v>
      </c>
      <c r="C23" s="269" t="s">
        <v>266</v>
      </c>
      <c r="D23" s="274">
        <v>12</v>
      </c>
      <c r="E23" s="273"/>
      <c r="F23" s="273"/>
      <c r="G23" s="420" t="s">
        <v>278</v>
      </c>
      <c r="H23" s="272"/>
      <c r="I23" s="244"/>
    </row>
    <row r="24" spans="2:9" ht="14.5" x14ac:dyDescent="0.35">
      <c r="B24" s="269" t="s">
        <v>269</v>
      </c>
      <c r="C24" s="269" t="s">
        <v>266</v>
      </c>
      <c r="D24" s="274">
        <v>0.5</v>
      </c>
      <c r="E24" s="273"/>
      <c r="F24" s="273"/>
      <c r="G24" s="421"/>
      <c r="H24" s="272"/>
      <c r="I24" s="244"/>
    </row>
    <row r="25" spans="2:9" ht="14.5" x14ac:dyDescent="0.35">
      <c r="B25" s="270" t="s">
        <v>268</v>
      </c>
      <c r="C25" s="269" t="s">
        <v>288</v>
      </c>
      <c r="D25" s="271">
        <f>'General risk inputs'!$D$46</f>
        <v>2.6666666666666665</v>
      </c>
      <c r="E25" s="271">
        <f>'General risk inputs'!$E$46</f>
        <v>12.144791666666666</v>
      </c>
      <c r="F25" s="271">
        <f>'General risk inputs'!$F$46</f>
        <v>24.923333333333336</v>
      </c>
      <c r="G25" s="267" t="s">
        <v>262</v>
      </c>
      <c r="I25" s="244"/>
    </row>
    <row r="26" spans="2:9" ht="14.5" x14ac:dyDescent="0.35">
      <c r="B26" s="269" t="s">
        <v>267</v>
      </c>
      <c r="C26" s="269" t="s">
        <v>266</v>
      </c>
      <c r="D26" s="271">
        <f>'General risk inputs'!$D$22</f>
        <v>111700</v>
      </c>
      <c r="E26" s="271">
        <f>'General risk inputs'!$D$22</f>
        <v>111700</v>
      </c>
      <c r="F26" s="271">
        <f>'General risk inputs'!$D$22</f>
        <v>111700</v>
      </c>
      <c r="G26" s="267" t="s">
        <v>262</v>
      </c>
      <c r="I26" s="244"/>
    </row>
    <row r="27" spans="2:9" ht="14.5" x14ac:dyDescent="0.35">
      <c r="B27" s="270" t="s">
        <v>265</v>
      </c>
      <c r="C27" s="269" t="s">
        <v>264</v>
      </c>
      <c r="D27" s="271">
        <f>'General risk inputs'!$D$15</f>
        <v>0.60502283105022836</v>
      </c>
      <c r="E27" s="271">
        <f>'General risk inputs'!$D$15</f>
        <v>0.60502283105022836</v>
      </c>
      <c r="F27" s="271">
        <f>'General risk inputs'!$D$15</f>
        <v>0.60502283105022836</v>
      </c>
      <c r="G27" s="267" t="s">
        <v>262</v>
      </c>
      <c r="I27" s="244"/>
    </row>
    <row r="28" spans="2:9" ht="14.5" x14ac:dyDescent="0.35">
      <c r="B28" s="270" t="s">
        <v>263</v>
      </c>
      <c r="C28" s="269" t="s">
        <v>45</v>
      </c>
      <c r="D28" s="268">
        <f>'General risk inputs'!$D$8</f>
        <v>2.1999999999999999E-2</v>
      </c>
      <c r="E28" s="268">
        <f>'General risk inputs'!$D$8</f>
        <v>2.1999999999999999E-2</v>
      </c>
      <c r="F28" s="268">
        <f>'General risk inputs'!$D$8</f>
        <v>2.1999999999999999E-2</v>
      </c>
      <c r="G28" s="267" t="s">
        <v>262</v>
      </c>
      <c r="I28" s="244"/>
    </row>
    <row r="29" spans="2:9" ht="14.5" x14ac:dyDescent="0.35">
      <c r="B29" s="281"/>
      <c r="C29" s="281"/>
      <c r="D29" s="283"/>
      <c r="E29" s="283"/>
      <c r="F29" s="283"/>
      <c r="G29" s="282"/>
      <c r="I29" s="244"/>
    </row>
    <row r="31" spans="2:9" x14ac:dyDescent="0.3">
      <c r="B31" s="279" t="str">
        <f>Assumptions!$C$16&amp;" - "&amp;Assumptions!$E$16</f>
        <v>Option 3 - Criteria-based IT infrastructure refresh</v>
      </c>
      <c r="C31" s="279"/>
      <c r="D31" s="278"/>
      <c r="E31" s="278"/>
      <c r="F31" s="278"/>
      <c r="G31" s="277"/>
    </row>
    <row r="33" spans="2:9" x14ac:dyDescent="0.3">
      <c r="D33" s="415" t="s">
        <v>276</v>
      </c>
      <c r="E33" s="416"/>
      <c r="F33" s="417"/>
    </row>
    <row r="34" spans="2:9" ht="14.5" x14ac:dyDescent="0.35">
      <c r="B34" s="276" t="s">
        <v>275</v>
      </c>
      <c r="C34" s="276" t="s">
        <v>274</v>
      </c>
      <c r="D34" s="276" t="s">
        <v>255</v>
      </c>
      <c r="E34" s="276" t="s">
        <v>273</v>
      </c>
      <c r="F34" s="276" t="s">
        <v>253</v>
      </c>
      <c r="G34" s="275" t="s">
        <v>272</v>
      </c>
      <c r="I34" s="244"/>
    </row>
    <row r="35" spans="2:9" ht="14.5" x14ac:dyDescent="0.35">
      <c r="B35" s="269" t="s">
        <v>271</v>
      </c>
      <c r="C35" s="269" t="s">
        <v>266</v>
      </c>
      <c r="D35" s="274">
        <v>0.5</v>
      </c>
      <c r="E35" s="273"/>
      <c r="F35" s="273"/>
      <c r="G35" s="420" t="s">
        <v>277</v>
      </c>
      <c r="H35" s="272"/>
      <c r="I35" s="244"/>
    </row>
    <row r="36" spans="2:9" ht="14.5" x14ac:dyDescent="0.35">
      <c r="B36" s="269" t="s">
        <v>269</v>
      </c>
      <c r="C36" s="269" t="s">
        <v>266</v>
      </c>
      <c r="D36" s="274">
        <v>0.1</v>
      </c>
      <c r="E36" s="273"/>
      <c r="F36" s="273"/>
      <c r="G36" s="421"/>
      <c r="H36" s="272"/>
      <c r="I36" s="244"/>
    </row>
    <row r="37" spans="2:9" ht="14.5" x14ac:dyDescent="0.35">
      <c r="B37" s="270" t="s">
        <v>268</v>
      </c>
      <c r="C37" s="269" t="s">
        <v>288</v>
      </c>
      <c r="D37" s="271">
        <f>'General risk inputs'!$D$46</f>
        <v>2.6666666666666665</v>
      </c>
      <c r="E37" s="271">
        <f>'General risk inputs'!$E$46</f>
        <v>12.144791666666666</v>
      </c>
      <c r="F37" s="271">
        <f>'General risk inputs'!$F$46</f>
        <v>24.923333333333336</v>
      </c>
      <c r="G37" s="267" t="s">
        <v>262</v>
      </c>
      <c r="I37" s="244"/>
    </row>
    <row r="38" spans="2:9" ht="14.5" x14ac:dyDescent="0.35">
      <c r="B38" s="269" t="s">
        <v>267</v>
      </c>
      <c r="C38" s="269" t="s">
        <v>266</v>
      </c>
      <c r="D38" s="271">
        <f>'General risk inputs'!$D$22</f>
        <v>111700</v>
      </c>
      <c r="E38" s="271">
        <f>'General risk inputs'!$D$22</f>
        <v>111700</v>
      </c>
      <c r="F38" s="271">
        <f>'General risk inputs'!$D$22</f>
        <v>111700</v>
      </c>
      <c r="G38" s="267" t="s">
        <v>262</v>
      </c>
      <c r="I38" s="244"/>
    </row>
    <row r="39" spans="2:9" ht="14.5" x14ac:dyDescent="0.35">
      <c r="B39" s="270" t="s">
        <v>265</v>
      </c>
      <c r="C39" s="269" t="s">
        <v>264</v>
      </c>
      <c r="D39" s="271">
        <f>'General risk inputs'!$D$15</f>
        <v>0.60502283105022836</v>
      </c>
      <c r="E39" s="271">
        <f>'General risk inputs'!$D$15</f>
        <v>0.60502283105022836</v>
      </c>
      <c r="F39" s="271">
        <f>'General risk inputs'!$D$15</f>
        <v>0.60502283105022836</v>
      </c>
      <c r="G39" s="267" t="s">
        <v>262</v>
      </c>
      <c r="I39" s="244"/>
    </row>
    <row r="40" spans="2:9" ht="14.5" x14ac:dyDescent="0.35">
      <c r="B40" s="270" t="s">
        <v>263</v>
      </c>
      <c r="C40" s="269" t="s">
        <v>45</v>
      </c>
      <c r="D40" s="268">
        <f>'General risk inputs'!$D$8</f>
        <v>2.1999999999999999E-2</v>
      </c>
      <c r="E40" s="268">
        <f>'General risk inputs'!$D$8</f>
        <v>2.1999999999999999E-2</v>
      </c>
      <c r="F40" s="268">
        <f>'General risk inputs'!$D$8</f>
        <v>2.1999999999999999E-2</v>
      </c>
      <c r="G40" s="267" t="s">
        <v>262</v>
      </c>
      <c r="I40" s="244"/>
    </row>
    <row r="41" spans="2:9" x14ac:dyDescent="0.3">
      <c r="B41" s="281"/>
      <c r="C41" s="281"/>
      <c r="D41" s="256"/>
      <c r="E41" s="256"/>
      <c r="F41" s="256"/>
      <c r="G41" s="280"/>
    </row>
    <row r="42" spans="2:9" x14ac:dyDescent="0.3">
      <c r="B42" s="279" t="str">
        <f>Assumptions!$C$17&amp;" - "&amp;Assumptions!$E$17</f>
        <v>Option 4 - Public cloud infrastructure refresh</v>
      </c>
      <c r="C42" s="279"/>
      <c r="D42" s="278"/>
      <c r="E42" s="278"/>
      <c r="F42" s="278"/>
      <c r="G42" s="277"/>
    </row>
    <row r="44" spans="2:9" x14ac:dyDescent="0.3">
      <c r="D44" s="415" t="s">
        <v>276</v>
      </c>
      <c r="E44" s="416"/>
      <c r="F44" s="417"/>
    </row>
    <row r="45" spans="2:9" ht="14.5" x14ac:dyDescent="0.35">
      <c r="B45" s="276" t="s">
        <v>275</v>
      </c>
      <c r="C45" s="276" t="s">
        <v>274</v>
      </c>
      <c r="D45" s="276" t="s">
        <v>255</v>
      </c>
      <c r="E45" s="276" t="s">
        <v>273</v>
      </c>
      <c r="F45" s="276" t="s">
        <v>253</v>
      </c>
      <c r="G45" s="275" t="s">
        <v>272</v>
      </c>
      <c r="I45" s="244"/>
    </row>
    <row r="46" spans="2:9" ht="26.15" customHeight="1" x14ac:dyDescent="0.35">
      <c r="B46" s="269" t="s">
        <v>271</v>
      </c>
      <c r="C46" s="269" t="s">
        <v>266</v>
      </c>
      <c r="D46" s="274">
        <v>0.5</v>
      </c>
      <c r="E46" s="273"/>
      <c r="F46" s="273"/>
      <c r="G46" s="418" t="s">
        <v>270</v>
      </c>
      <c r="H46" s="272"/>
      <c r="I46" s="244"/>
    </row>
    <row r="47" spans="2:9" ht="14.5" x14ac:dyDescent="0.35">
      <c r="B47" s="269" t="s">
        <v>269</v>
      </c>
      <c r="C47" s="269" t="s">
        <v>266</v>
      </c>
      <c r="D47" s="274">
        <v>0.1</v>
      </c>
      <c r="E47" s="273"/>
      <c r="F47" s="273"/>
      <c r="G47" s="419"/>
      <c r="H47" s="272"/>
      <c r="I47" s="244"/>
    </row>
    <row r="48" spans="2:9" ht="14.5" x14ac:dyDescent="0.35">
      <c r="B48" s="270" t="s">
        <v>268</v>
      </c>
      <c r="C48" s="269" t="s">
        <v>288</v>
      </c>
      <c r="D48" s="271">
        <f>'General risk inputs'!$D$46</f>
        <v>2.6666666666666665</v>
      </c>
      <c r="E48" s="271">
        <f>'General risk inputs'!$E$46</f>
        <v>12.144791666666666</v>
      </c>
      <c r="F48" s="271">
        <f>'General risk inputs'!$F$46</f>
        <v>24.923333333333336</v>
      </c>
      <c r="G48" s="267" t="s">
        <v>262</v>
      </c>
      <c r="I48" s="244"/>
    </row>
    <row r="49" spans="1:10" ht="14.5" x14ac:dyDescent="0.35">
      <c r="B49" s="269" t="s">
        <v>267</v>
      </c>
      <c r="C49" s="269" t="s">
        <v>266</v>
      </c>
      <c r="D49" s="271">
        <f>'General risk inputs'!$D$22</f>
        <v>111700</v>
      </c>
      <c r="E49" s="271">
        <f>'General risk inputs'!$D$22</f>
        <v>111700</v>
      </c>
      <c r="F49" s="271">
        <f>'General risk inputs'!$D$22</f>
        <v>111700</v>
      </c>
      <c r="G49" s="267" t="s">
        <v>262</v>
      </c>
      <c r="I49" s="244"/>
    </row>
    <row r="50" spans="1:10" ht="14.5" x14ac:dyDescent="0.35">
      <c r="B50" s="270" t="s">
        <v>265</v>
      </c>
      <c r="C50" s="269" t="s">
        <v>264</v>
      </c>
      <c r="D50" s="271">
        <f>'General risk inputs'!$D$15</f>
        <v>0.60502283105022836</v>
      </c>
      <c r="E50" s="271">
        <f>'General risk inputs'!$D$15</f>
        <v>0.60502283105022836</v>
      </c>
      <c r="F50" s="271">
        <f>'General risk inputs'!$D$15</f>
        <v>0.60502283105022836</v>
      </c>
      <c r="G50" s="267" t="s">
        <v>262</v>
      </c>
      <c r="I50" s="244"/>
    </row>
    <row r="51" spans="1:10" ht="14.5" x14ac:dyDescent="0.35">
      <c r="A51" s="244"/>
      <c r="B51" s="270" t="s">
        <v>263</v>
      </c>
      <c r="C51" s="269" t="s">
        <v>45</v>
      </c>
      <c r="D51" s="268">
        <f>'General risk inputs'!$D$8</f>
        <v>2.1999999999999999E-2</v>
      </c>
      <c r="E51" s="268">
        <f>'General risk inputs'!$D$8</f>
        <v>2.1999999999999999E-2</v>
      </c>
      <c r="F51" s="268">
        <f>'General risk inputs'!$D$8</f>
        <v>2.1999999999999999E-2</v>
      </c>
      <c r="G51" s="267" t="s">
        <v>262</v>
      </c>
      <c r="H51" s="244"/>
      <c r="I51" s="244"/>
      <c r="J51" s="244"/>
    </row>
    <row r="61" spans="1:10" x14ac:dyDescent="0.3">
      <c r="B61" s="266" t="s">
        <v>261</v>
      </c>
      <c r="C61" s="265"/>
      <c r="D61" s="265"/>
      <c r="E61" s="265"/>
      <c r="F61" s="265"/>
      <c r="G61" s="264"/>
    </row>
    <row r="62" spans="1:10" ht="14.5" x14ac:dyDescent="0.35">
      <c r="A62" s="244"/>
      <c r="B62" s="261"/>
      <c r="C62" s="261"/>
      <c r="D62" s="261"/>
      <c r="E62" s="261"/>
      <c r="F62" s="261"/>
      <c r="G62" s="260"/>
    </row>
    <row r="63" spans="1:10" ht="14.5" x14ac:dyDescent="0.35">
      <c r="A63" s="244"/>
      <c r="B63" s="262" t="s">
        <v>260</v>
      </c>
      <c r="C63" s="261"/>
      <c r="D63" s="261"/>
      <c r="E63" s="261"/>
      <c r="F63" s="261"/>
      <c r="G63" s="260"/>
    </row>
    <row r="64" spans="1:10" ht="14.5" x14ac:dyDescent="0.35">
      <c r="A64" s="244"/>
      <c r="B64" s="250" t="s">
        <v>1</v>
      </c>
      <c r="C64" s="250" t="s">
        <v>259</v>
      </c>
      <c r="D64" s="250" t="s">
        <v>258</v>
      </c>
      <c r="E64" s="261"/>
      <c r="F64" s="261"/>
      <c r="G64" s="260"/>
    </row>
    <row r="65" spans="1:7" ht="14.5" x14ac:dyDescent="0.35">
      <c r="A65" s="244"/>
      <c r="B65" s="249" t="s">
        <v>249</v>
      </c>
      <c r="C65" s="263">
        <f>D12</f>
        <v>0.5</v>
      </c>
      <c r="D65" s="249" t="str">
        <f>INDEX(Likelihood,MATCH(C65,'General risk inputs'!$D$54:$D$59,0))</f>
        <v>Every 2 years</v>
      </c>
      <c r="E65" s="261"/>
      <c r="F65" s="261"/>
      <c r="G65" s="260"/>
    </row>
    <row r="66" spans="1:7" ht="14.5" x14ac:dyDescent="0.35">
      <c r="A66" s="244"/>
      <c r="B66" s="249" t="s">
        <v>92</v>
      </c>
      <c r="C66" s="263">
        <f>D24</f>
        <v>0.5</v>
      </c>
      <c r="D66" s="249" t="str">
        <f>INDEX(Likelihood,MATCH(C66,'General risk inputs'!$D$54:$D$59,0))</f>
        <v>Every 2 years</v>
      </c>
      <c r="E66" s="261"/>
      <c r="F66" s="261"/>
    </row>
    <row r="67" spans="1:7" ht="14.5" x14ac:dyDescent="0.35">
      <c r="A67" s="244"/>
      <c r="B67" s="249" t="s">
        <v>93</v>
      </c>
      <c r="C67" s="263">
        <f>D36</f>
        <v>0.1</v>
      </c>
      <c r="D67" s="249" t="str">
        <f>INDEX(Likelihood,MATCH(C67,'General risk inputs'!$D$54:$D$59,0))</f>
        <v>Every 10 years</v>
      </c>
      <c r="E67" s="261"/>
      <c r="F67" s="261"/>
      <c r="G67" s="260"/>
    </row>
    <row r="68" spans="1:7" ht="14.5" x14ac:dyDescent="0.35">
      <c r="A68" s="244"/>
      <c r="B68" s="249" t="s">
        <v>94</v>
      </c>
      <c r="C68" s="263">
        <f>D47</f>
        <v>0.1</v>
      </c>
      <c r="D68" s="249" t="str">
        <f>INDEX(Likelihood,MATCH(C68,'General risk inputs'!$D$54:$D$59,0))</f>
        <v>Every 10 years</v>
      </c>
      <c r="E68" s="261"/>
      <c r="F68" s="261"/>
      <c r="G68" s="260"/>
    </row>
    <row r="69" spans="1:7" ht="14.5" x14ac:dyDescent="0.35">
      <c r="A69" s="244"/>
      <c r="B69" s="261"/>
      <c r="C69" s="261"/>
      <c r="D69" s="261"/>
      <c r="E69" s="261"/>
      <c r="F69" s="261"/>
      <c r="G69" s="260"/>
    </row>
    <row r="70" spans="1:7" ht="14.5" x14ac:dyDescent="0.35">
      <c r="A70" s="244"/>
      <c r="B70" s="262" t="s">
        <v>257</v>
      </c>
      <c r="C70" s="261"/>
      <c r="D70" s="261"/>
      <c r="E70" s="261"/>
      <c r="F70" s="261"/>
      <c r="G70" s="260"/>
    </row>
    <row r="71" spans="1:7" ht="14.5" x14ac:dyDescent="0.35">
      <c r="A71" s="244"/>
      <c r="B71" s="250" t="s">
        <v>1</v>
      </c>
      <c r="C71" s="250" t="s">
        <v>256</v>
      </c>
      <c r="D71" s="250" t="s">
        <v>255</v>
      </c>
      <c r="E71" s="250" t="s">
        <v>254</v>
      </c>
      <c r="F71" s="250" t="s">
        <v>253</v>
      </c>
      <c r="G71" s="259"/>
    </row>
    <row r="72" spans="1:7" x14ac:dyDescent="0.3">
      <c r="B72" s="249" t="s">
        <v>249</v>
      </c>
      <c r="C72" s="258"/>
      <c r="D72" s="257">
        <f>(D13*D14*D15*D16)</f>
        <v>3964.7549467275494</v>
      </c>
      <c r="E72" s="257">
        <f>(E13*E14*E15*E16)</f>
        <v>18056.67106402207</v>
      </c>
      <c r="F72" s="257">
        <f>(F13*F14*F15*F16)</f>
        <v>37055.590920852366</v>
      </c>
    </row>
    <row r="73" spans="1:7" x14ac:dyDescent="0.3">
      <c r="B73" s="249" t="s">
        <v>92</v>
      </c>
      <c r="C73" s="258"/>
      <c r="D73" s="257">
        <f>(D25*D26*D27*D28)</f>
        <v>3964.7549467275494</v>
      </c>
      <c r="E73" s="257">
        <f>(E25*E26*E27*E28)</f>
        <v>18056.67106402207</v>
      </c>
      <c r="F73" s="257">
        <f>(F25*F26*F27*F28)</f>
        <v>37055.590920852366</v>
      </c>
    </row>
    <row r="74" spans="1:7" x14ac:dyDescent="0.3">
      <c r="B74" s="249" t="s">
        <v>93</v>
      </c>
      <c r="C74" s="258"/>
      <c r="D74" s="257">
        <f>(D37*D38*D39*D40)</f>
        <v>3964.7549467275494</v>
      </c>
      <c r="E74" s="257">
        <f>(E37*E38*E39*E40)</f>
        <v>18056.67106402207</v>
      </c>
      <c r="F74" s="257">
        <f>(F37*F38*F39*F40)</f>
        <v>37055.590920852366</v>
      </c>
    </row>
    <row r="75" spans="1:7" x14ac:dyDescent="0.3">
      <c r="B75" s="249" t="s">
        <v>94</v>
      </c>
      <c r="C75" s="258"/>
      <c r="D75" s="257">
        <f>(D48*D49*D50*D51)</f>
        <v>3964.7549467275494</v>
      </c>
      <c r="E75" s="257">
        <f>(E48*E49*E50*E51)</f>
        <v>18056.67106402207</v>
      </c>
      <c r="F75" s="257">
        <f>(F48*F49*F50*F51)</f>
        <v>37055.590920852366</v>
      </c>
    </row>
    <row r="76" spans="1:7" x14ac:dyDescent="0.3">
      <c r="B76" s="256"/>
      <c r="C76" s="256"/>
      <c r="D76" s="256"/>
      <c r="E76" s="256"/>
      <c r="F76" s="256"/>
    </row>
    <row r="77" spans="1:7" x14ac:dyDescent="0.3">
      <c r="B77" s="251" t="s">
        <v>252</v>
      </c>
      <c r="C77" s="256"/>
      <c r="D77" s="256"/>
      <c r="E77" s="256"/>
      <c r="F77" s="256"/>
    </row>
    <row r="78" spans="1:7" x14ac:dyDescent="0.3">
      <c r="B78" s="250" t="s">
        <v>1</v>
      </c>
      <c r="C78" s="250" t="s">
        <v>251</v>
      </c>
      <c r="D78" s="388" t="s">
        <v>409</v>
      </c>
      <c r="E78" s="255"/>
    </row>
    <row r="79" spans="1:7" x14ac:dyDescent="0.3">
      <c r="B79" s="249" t="s">
        <v>249</v>
      </c>
      <c r="C79" s="248">
        <f>(D72*3+10*E72+3*F72)/16</f>
        <v>18976.734265185027</v>
      </c>
      <c r="D79" s="248">
        <f>C79*C65</f>
        <v>9488.3671325925134</v>
      </c>
      <c r="E79" s="254"/>
      <c r="F79" s="247"/>
    </row>
    <row r="80" spans="1:7" x14ac:dyDescent="0.3">
      <c r="B80" s="249" t="s">
        <v>92</v>
      </c>
      <c r="C80" s="248">
        <f>(D73*3+10*E73+3*F73)/16</f>
        <v>18976.734265185027</v>
      </c>
      <c r="D80" s="248">
        <f>C80*C66</f>
        <v>9488.3671325925134</v>
      </c>
      <c r="E80" s="253"/>
      <c r="F80" s="247"/>
    </row>
    <row r="81" spans="2:6" x14ac:dyDescent="0.3">
      <c r="B81" s="249" t="s">
        <v>93</v>
      </c>
      <c r="C81" s="248">
        <f>(D74*3+10*E74+3*F74)/16</f>
        <v>18976.734265185027</v>
      </c>
      <c r="D81" s="248">
        <f>C81*C67</f>
        <v>1897.6734265185028</v>
      </c>
      <c r="E81" s="253"/>
      <c r="F81" s="252"/>
    </row>
    <row r="82" spans="2:6" x14ac:dyDescent="0.3">
      <c r="B82" s="249" t="s">
        <v>94</v>
      </c>
      <c r="C82" s="248">
        <f>(D75*3+10*E75+3*F75)/16</f>
        <v>18976.734265185027</v>
      </c>
      <c r="D82" s="248">
        <f>C82*C68</f>
        <v>1897.6734265185028</v>
      </c>
      <c r="E82" s="253"/>
      <c r="F82" s="252"/>
    </row>
    <row r="83" spans="2:6" x14ac:dyDescent="0.3">
      <c r="F83" s="247"/>
    </row>
    <row r="84" spans="2:6" x14ac:dyDescent="0.3">
      <c r="B84" s="251" t="s">
        <v>250</v>
      </c>
      <c r="F84" s="247"/>
    </row>
    <row r="85" spans="2:6" x14ac:dyDescent="0.3">
      <c r="B85" s="250" t="s">
        <v>1</v>
      </c>
      <c r="C85" s="250" t="s">
        <v>250</v>
      </c>
      <c r="F85" s="247"/>
    </row>
    <row r="86" spans="2:6" x14ac:dyDescent="0.3">
      <c r="B86" s="249" t="s">
        <v>249</v>
      </c>
      <c r="C86" s="248" t="s">
        <v>248</v>
      </c>
      <c r="F86" s="247"/>
    </row>
    <row r="87" spans="2:6" x14ac:dyDescent="0.3">
      <c r="B87" s="249" t="s">
        <v>92</v>
      </c>
      <c r="C87" s="248">
        <f>$D$79-D80</f>
        <v>0</v>
      </c>
      <c r="F87" s="247"/>
    </row>
    <row r="88" spans="2:6" x14ac:dyDescent="0.3">
      <c r="B88" s="249" t="s">
        <v>93</v>
      </c>
      <c r="C88" s="248">
        <f>$D$79-D81</f>
        <v>7590.6937060740111</v>
      </c>
      <c r="F88" s="247"/>
    </row>
    <row r="89" spans="2:6" x14ac:dyDescent="0.3">
      <c r="B89" s="249" t="s">
        <v>94</v>
      </c>
      <c r="C89" s="248">
        <f>$D$79-D82</f>
        <v>7590.6937060740111</v>
      </c>
      <c r="F89" s="247"/>
    </row>
  </sheetData>
  <mergeCells count="7">
    <mergeCell ref="D9:F9"/>
    <mergeCell ref="D21:F21"/>
    <mergeCell ref="D33:F33"/>
    <mergeCell ref="D44:F44"/>
    <mergeCell ref="G46:G47"/>
    <mergeCell ref="G35:G36"/>
    <mergeCell ref="G23:G2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57DAE-245D-411D-9EB8-127FD4ED6B9E}">
  <sheetPr codeName="Sheet22"/>
  <dimension ref="A1:P109"/>
  <sheetViews>
    <sheetView showGridLines="0" zoomScale="85" zoomScaleNormal="85" workbookViewId="0">
      <selection sqref="A1:XFD2"/>
    </sheetView>
  </sheetViews>
  <sheetFormatPr defaultColWidth="7.84375" defaultRowHeight="14" x14ac:dyDescent="0.3"/>
  <cols>
    <col min="1" max="1" width="2.765625" style="245" customWidth="1"/>
    <col min="2" max="2" width="48.765625" style="245" customWidth="1"/>
    <col min="3" max="3" width="13.23046875" style="245" bestFit="1" customWidth="1"/>
    <col min="4" max="4" width="26.23046875" style="245" bestFit="1" customWidth="1"/>
    <col min="5" max="5" width="12.3828125" style="245" customWidth="1"/>
    <col min="6" max="6" width="14.84375" style="245" customWidth="1"/>
    <col min="7" max="7" width="75" style="246" bestFit="1" customWidth="1"/>
    <col min="8" max="16384" width="7.84375" style="245"/>
  </cols>
  <sheetData>
    <row r="1" spans="1:16" customFormat="1" ht="18.5" x14ac:dyDescent="0.45">
      <c r="A1" s="14" t="str">
        <f>bus</f>
        <v>United Energy</v>
      </c>
      <c r="B1" s="14"/>
      <c r="C1" s="14"/>
      <c r="D1" s="42"/>
      <c r="E1" s="14"/>
      <c r="F1" s="14"/>
      <c r="G1" s="14"/>
      <c r="H1" s="14"/>
      <c r="I1" s="14"/>
      <c r="J1" s="14"/>
      <c r="K1" s="14"/>
      <c r="L1" s="14"/>
      <c r="M1" s="14"/>
      <c r="N1" s="14"/>
      <c r="O1" s="14"/>
      <c r="P1" s="14"/>
    </row>
    <row r="2" spans="1:16" customFormat="1" ht="18.5" x14ac:dyDescent="0.45">
      <c r="A2" s="54" t="str">
        <f>proj</f>
        <v>Infrastructure refresh risk</v>
      </c>
      <c r="B2" s="14"/>
      <c r="C2" s="14"/>
      <c r="D2" s="42"/>
      <c r="E2" s="14"/>
      <c r="F2" s="14"/>
      <c r="G2" s="14"/>
      <c r="H2" s="14"/>
      <c r="I2" s="14"/>
      <c r="J2" s="14"/>
      <c r="K2" s="14"/>
      <c r="L2" s="14"/>
      <c r="M2" s="14"/>
      <c r="N2" s="14"/>
      <c r="O2" s="14"/>
      <c r="P2" s="14"/>
    </row>
    <row r="4" spans="1:16" s="285" customFormat="1" x14ac:dyDescent="0.3">
      <c r="A4" s="285" t="s">
        <v>181</v>
      </c>
      <c r="G4" s="286"/>
    </row>
    <row r="5" spans="1:16" ht="14.5" x14ac:dyDescent="0.35">
      <c r="A5" s="244"/>
      <c r="B5" s="244"/>
      <c r="C5" s="244"/>
      <c r="D5" s="244"/>
      <c r="E5" s="244"/>
      <c r="F5" s="244"/>
      <c r="G5" s="260"/>
    </row>
    <row r="6" spans="1:16" x14ac:dyDescent="0.3">
      <c r="B6" s="279" t="str">
        <f>Assumptions!$C$14&amp;" - "&amp;Assumptions!$E$14</f>
        <v>Option 1 (base case) - Maintain status quo</v>
      </c>
      <c r="C6" s="279"/>
      <c r="D6" s="278"/>
      <c r="E6" s="278"/>
      <c r="F6" s="278"/>
      <c r="G6" s="277"/>
    </row>
    <row r="7" spans="1:16" ht="14.5" x14ac:dyDescent="0.35">
      <c r="I7" s="244"/>
    </row>
    <row r="8" spans="1:16" ht="14.5" x14ac:dyDescent="0.35">
      <c r="D8" s="296" t="s">
        <v>276</v>
      </c>
      <c r="E8" s="295"/>
      <c r="F8" s="294"/>
      <c r="I8" s="244"/>
    </row>
    <row r="9" spans="1:16" ht="14.5" x14ac:dyDescent="0.35">
      <c r="B9" s="276" t="s">
        <v>275</v>
      </c>
      <c r="C9" s="276" t="s">
        <v>274</v>
      </c>
      <c r="D9" s="276" t="s">
        <v>255</v>
      </c>
      <c r="E9" s="276" t="s">
        <v>273</v>
      </c>
      <c r="F9" s="276" t="s">
        <v>253</v>
      </c>
      <c r="G9" s="275" t="s">
        <v>272</v>
      </c>
      <c r="I9" s="244"/>
    </row>
    <row r="10" spans="1:16" ht="14.5" x14ac:dyDescent="0.35">
      <c r="B10" s="269" t="s">
        <v>271</v>
      </c>
      <c r="C10" s="269" t="s">
        <v>266</v>
      </c>
      <c r="D10" s="274">
        <v>12</v>
      </c>
      <c r="E10" s="273"/>
      <c r="F10" s="273"/>
      <c r="G10" s="284" t="s">
        <v>280</v>
      </c>
      <c r="H10" s="272"/>
      <c r="I10" s="244"/>
    </row>
    <row r="11" spans="1:16" ht="51" x14ac:dyDescent="0.35">
      <c r="B11" s="269" t="s">
        <v>290</v>
      </c>
      <c r="C11" s="269" t="s">
        <v>266</v>
      </c>
      <c r="D11" s="274">
        <v>0.5</v>
      </c>
      <c r="E11" s="273"/>
      <c r="F11" s="273"/>
      <c r="G11" s="284" t="s">
        <v>423</v>
      </c>
      <c r="H11" s="272"/>
      <c r="I11" s="244"/>
    </row>
    <row r="12" spans="1:16" x14ac:dyDescent="0.3">
      <c r="B12" s="270" t="s">
        <v>289</v>
      </c>
      <c r="C12" s="269" t="s">
        <v>288</v>
      </c>
      <c r="D12" s="292">
        <f>'General risk inputs'!$D$21</f>
        <v>3</v>
      </c>
      <c r="E12" s="292">
        <f>'General risk inputs'!$D$21</f>
        <v>3</v>
      </c>
      <c r="F12" s="292">
        <f>'General risk inputs'!$D$21</f>
        <v>3</v>
      </c>
      <c r="G12" s="284" t="s">
        <v>262</v>
      </c>
      <c r="I12" s="293"/>
    </row>
    <row r="13" spans="1:16" x14ac:dyDescent="0.3">
      <c r="B13" s="269" t="s">
        <v>268</v>
      </c>
      <c r="C13" s="269" t="s">
        <v>266</v>
      </c>
      <c r="D13" s="291">
        <f>'General risk inputs'!$D$46</f>
        <v>2.6666666666666665</v>
      </c>
      <c r="E13" s="291">
        <f>'General risk inputs'!$E$46</f>
        <v>12.144791666666666</v>
      </c>
      <c r="F13" s="291">
        <f>'General risk inputs'!$F$46</f>
        <v>24.923333333333336</v>
      </c>
      <c r="G13" s="284" t="s">
        <v>280</v>
      </c>
    </row>
    <row r="14" spans="1:16" x14ac:dyDescent="0.3">
      <c r="B14" s="269" t="s">
        <v>287</v>
      </c>
      <c r="C14" s="269" t="s">
        <v>266</v>
      </c>
      <c r="D14" s="271">
        <f>'General risk inputs'!$D$23</f>
        <v>0.77287183273047</v>
      </c>
      <c r="E14" s="271">
        <f>'General risk inputs'!$D$23</f>
        <v>0.77287183273047</v>
      </c>
      <c r="F14" s="271">
        <f>'General risk inputs'!$D$23</f>
        <v>0.77287183273047</v>
      </c>
      <c r="G14" s="284" t="s">
        <v>262</v>
      </c>
    </row>
    <row r="15" spans="1:16" x14ac:dyDescent="0.3">
      <c r="B15" s="269" t="s">
        <v>286</v>
      </c>
      <c r="C15" s="269" t="s">
        <v>266</v>
      </c>
      <c r="D15" s="291">
        <f>D13*D14</f>
        <v>2.06099155394792</v>
      </c>
      <c r="E15" s="291">
        <f>E13*E14</f>
        <v>9.386367393546406</v>
      </c>
      <c r="F15" s="291">
        <f>F13*F14</f>
        <v>19.262542311085749</v>
      </c>
      <c r="G15" s="284" t="s">
        <v>52</v>
      </c>
    </row>
    <row r="16" spans="1:16" ht="14.5" x14ac:dyDescent="0.35">
      <c r="B16" s="269" t="s">
        <v>285</v>
      </c>
      <c r="C16" s="269" t="s">
        <v>266</v>
      </c>
      <c r="D16" s="271">
        <f>'General risk inputs'!D45</f>
        <v>1</v>
      </c>
      <c r="E16" s="271">
        <f>'General risk inputs'!E45</f>
        <v>84</v>
      </c>
      <c r="F16" s="271">
        <f>'General risk inputs'!F45</f>
        <v>8148</v>
      </c>
      <c r="G16" s="284" t="s">
        <v>262</v>
      </c>
      <c r="I16" s="244"/>
    </row>
    <row r="17" spans="2:9" ht="25" x14ac:dyDescent="0.3">
      <c r="B17" s="269" t="s">
        <v>284</v>
      </c>
      <c r="C17" s="269" t="s">
        <v>266</v>
      </c>
      <c r="D17" s="290">
        <f>D15*D16</f>
        <v>2.06099155394792</v>
      </c>
      <c r="E17" s="290">
        <f>E15*E16</f>
        <v>788.45486105789814</v>
      </c>
      <c r="F17" s="290">
        <f>F15*F16</f>
        <v>156951.19475072669</v>
      </c>
      <c r="G17" s="284" t="s">
        <v>52</v>
      </c>
    </row>
    <row r="18" spans="2:9" ht="14.5" x14ac:dyDescent="0.35">
      <c r="B18" s="270" t="s">
        <v>283</v>
      </c>
      <c r="C18" s="269" t="s">
        <v>266</v>
      </c>
      <c r="D18" s="271">
        <f>'General risk inputs'!$D$11</f>
        <v>1.21</v>
      </c>
      <c r="E18" s="271">
        <f>'General risk inputs'!$D$11</f>
        <v>1.21</v>
      </c>
      <c r="F18" s="271">
        <f>'General risk inputs'!$D$11</f>
        <v>1.21</v>
      </c>
      <c r="G18" s="284" t="s">
        <v>262</v>
      </c>
      <c r="I18" s="244"/>
    </row>
    <row r="19" spans="2:9" ht="14.5" x14ac:dyDescent="0.35">
      <c r="B19" s="270" t="s">
        <v>5</v>
      </c>
      <c r="C19" s="269" t="s">
        <v>45</v>
      </c>
      <c r="D19" s="271">
        <f>'General risk inputs'!$D$7</f>
        <v>42.86</v>
      </c>
      <c r="E19" s="271">
        <f>'General risk inputs'!$D$7</f>
        <v>42.86</v>
      </c>
      <c r="F19" s="271">
        <f>'General risk inputs'!$D$7</f>
        <v>42.86</v>
      </c>
      <c r="G19" s="284" t="s">
        <v>262</v>
      </c>
      <c r="I19" s="244"/>
    </row>
    <row r="20" spans="2:9" ht="15" customHeight="1" x14ac:dyDescent="0.3">
      <c r="B20" s="269" t="s">
        <v>282</v>
      </c>
      <c r="C20" s="269" t="s">
        <v>266</v>
      </c>
      <c r="D20" s="289">
        <f>(D17/customers_total)*solarcustomers_total</f>
        <v>0.6956209484632726</v>
      </c>
      <c r="E20" s="289">
        <f>(E17/customers_total)*solarcustomers_total</f>
        <v>266.11740218874871</v>
      </c>
      <c r="F20" s="289">
        <f>(F17/customers_total)*solarcustomers_total</f>
        <v>52973.792515455978</v>
      </c>
      <c r="G20" s="267" t="s">
        <v>281</v>
      </c>
    </row>
    <row r="21" spans="2:9" x14ac:dyDescent="0.3">
      <c r="B21" s="269" t="s">
        <v>265</v>
      </c>
      <c r="C21" s="269" t="s">
        <v>264</v>
      </c>
      <c r="D21" s="271">
        <f>'General risk inputs'!$D$15</f>
        <v>0.60502283105022836</v>
      </c>
      <c r="E21" s="271">
        <f>'General risk inputs'!$D$15</f>
        <v>0.60502283105022836</v>
      </c>
      <c r="F21" s="271">
        <f>'General risk inputs'!$D$15</f>
        <v>0.60502283105022836</v>
      </c>
      <c r="G21" s="284" t="s">
        <v>262</v>
      </c>
    </row>
    <row r="22" spans="2:9" x14ac:dyDescent="0.3">
      <c r="B22" s="269" t="s">
        <v>263</v>
      </c>
      <c r="C22" s="269" t="s">
        <v>45</v>
      </c>
      <c r="D22" s="268">
        <f>'General risk inputs'!$D$8</f>
        <v>2.1999999999999999E-2</v>
      </c>
      <c r="E22" s="268">
        <f>'General risk inputs'!$D$8</f>
        <v>2.1999999999999999E-2</v>
      </c>
      <c r="F22" s="268">
        <f>'General risk inputs'!$D$8</f>
        <v>2.1999999999999999E-2</v>
      </c>
      <c r="G22" s="284" t="s">
        <v>262</v>
      </c>
    </row>
    <row r="23" spans="2:9" ht="14.5" x14ac:dyDescent="0.35">
      <c r="B23" s="281"/>
      <c r="C23" s="281"/>
      <c r="D23" s="283"/>
      <c r="E23" s="283"/>
      <c r="F23" s="283"/>
      <c r="G23" s="282"/>
      <c r="I23" s="244"/>
    </row>
    <row r="24" spans="2:9" ht="14.5" x14ac:dyDescent="0.35">
      <c r="B24" s="256"/>
      <c r="C24" s="256"/>
      <c r="D24" s="256"/>
      <c r="E24" s="256"/>
      <c r="F24" s="256"/>
      <c r="G24" s="280"/>
      <c r="I24" s="244"/>
    </row>
    <row r="25" spans="2:9" x14ac:dyDescent="0.3">
      <c r="B25" s="279" t="str">
        <f>Assumptions!$C$15&amp;" - "&amp;Assumptions!$E$15</f>
        <v>Option 2 - Maintain existing infrastructure with more frequent upgrades</v>
      </c>
      <c r="C25" s="279"/>
      <c r="D25" s="278"/>
      <c r="E25" s="278"/>
      <c r="F25" s="278"/>
      <c r="G25" s="277"/>
    </row>
    <row r="27" spans="2:9" x14ac:dyDescent="0.3">
      <c r="D27" s="415" t="s">
        <v>276</v>
      </c>
      <c r="E27" s="416"/>
      <c r="F27" s="417"/>
    </row>
    <row r="28" spans="2:9" ht="14.5" x14ac:dyDescent="0.35">
      <c r="B28" s="276" t="s">
        <v>275</v>
      </c>
      <c r="C28" s="276" t="s">
        <v>274</v>
      </c>
      <c r="D28" s="276" t="s">
        <v>255</v>
      </c>
      <c r="E28" s="276" t="s">
        <v>273</v>
      </c>
      <c r="F28" s="276" t="s">
        <v>253</v>
      </c>
      <c r="G28" s="275" t="s">
        <v>272</v>
      </c>
      <c r="I28" s="244"/>
    </row>
    <row r="29" spans="2:9" ht="14.5" x14ac:dyDescent="0.35">
      <c r="B29" s="269" t="s">
        <v>271</v>
      </c>
      <c r="C29" s="269" t="s">
        <v>266</v>
      </c>
      <c r="D29" s="274">
        <v>12</v>
      </c>
      <c r="E29" s="273"/>
      <c r="F29" s="273"/>
      <c r="G29" s="284" t="s">
        <v>280</v>
      </c>
      <c r="H29" s="272"/>
      <c r="I29" s="244"/>
    </row>
    <row r="30" spans="2:9" ht="26" x14ac:dyDescent="0.35">
      <c r="B30" s="269" t="s">
        <v>290</v>
      </c>
      <c r="C30" s="269" t="s">
        <v>266</v>
      </c>
      <c r="D30" s="274">
        <v>0.5</v>
      </c>
      <c r="E30" s="273"/>
      <c r="F30" s="273"/>
      <c r="G30" s="284" t="s">
        <v>291</v>
      </c>
      <c r="H30" s="272"/>
      <c r="I30" s="244"/>
    </row>
    <row r="31" spans="2:9" ht="14.5" x14ac:dyDescent="0.35">
      <c r="B31" s="270" t="s">
        <v>289</v>
      </c>
      <c r="C31" s="269" t="s">
        <v>288</v>
      </c>
      <c r="D31" s="292">
        <f>'General risk inputs'!$D$21</f>
        <v>3</v>
      </c>
      <c r="E31" s="292">
        <f>'General risk inputs'!$D$21</f>
        <v>3</v>
      </c>
      <c r="F31" s="292">
        <f>'General risk inputs'!$D$21</f>
        <v>3</v>
      </c>
      <c r="G31" s="284" t="s">
        <v>262</v>
      </c>
      <c r="I31" s="244"/>
    </row>
    <row r="32" spans="2:9" x14ac:dyDescent="0.3">
      <c r="B32" s="269" t="s">
        <v>268</v>
      </c>
      <c r="C32" s="269" t="s">
        <v>266</v>
      </c>
      <c r="D32" s="291">
        <f>'General risk inputs'!$D$46</f>
        <v>2.6666666666666665</v>
      </c>
      <c r="E32" s="291">
        <f>'General risk inputs'!$E$46</f>
        <v>12.144791666666666</v>
      </c>
      <c r="F32" s="291">
        <f>'General risk inputs'!$F$46</f>
        <v>24.923333333333336</v>
      </c>
      <c r="G32" s="284" t="s">
        <v>280</v>
      </c>
    </row>
    <row r="33" spans="2:9" x14ac:dyDescent="0.3">
      <c r="B33" s="269" t="s">
        <v>287</v>
      </c>
      <c r="C33" s="269" t="s">
        <v>266</v>
      </c>
      <c r="D33" s="271">
        <f>'General risk inputs'!$D$23</f>
        <v>0.77287183273047</v>
      </c>
      <c r="E33" s="271">
        <f>'General risk inputs'!$D$23</f>
        <v>0.77287183273047</v>
      </c>
      <c r="F33" s="271">
        <f>'General risk inputs'!$D$23</f>
        <v>0.77287183273047</v>
      </c>
      <c r="G33" s="284" t="s">
        <v>262</v>
      </c>
    </row>
    <row r="34" spans="2:9" x14ac:dyDescent="0.3">
      <c r="B34" s="269" t="s">
        <v>286</v>
      </c>
      <c r="C34" s="269" t="s">
        <v>266</v>
      </c>
      <c r="D34" s="291">
        <f>D32*D33</f>
        <v>2.06099155394792</v>
      </c>
      <c r="E34" s="291">
        <f>E32*E33</f>
        <v>9.386367393546406</v>
      </c>
      <c r="F34" s="291">
        <f>F32*F33</f>
        <v>19.262542311085749</v>
      </c>
      <c r="G34" s="284" t="s">
        <v>52</v>
      </c>
    </row>
    <row r="35" spans="2:9" ht="14.5" x14ac:dyDescent="0.35">
      <c r="B35" s="269" t="s">
        <v>285</v>
      </c>
      <c r="C35" s="269" t="s">
        <v>266</v>
      </c>
      <c r="D35" s="271">
        <f>'General risk inputs'!$D$45</f>
        <v>1</v>
      </c>
      <c r="E35" s="271">
        <f>'General risk inputs'!$E$45</f>
        <v>84</v>
      </c>
      <c r="F35" s="271">
        <f>'General risk inputs'!$F$45</f>
        <v>8148</v>
      </c>
      <c r="G35" s="284" t="s">
        <v>262</v>
      </c>
      <c r="I35" s="244"/>
    </row>
    <row r="36" spans="2:9" ht="25" x14ac:dyDescent="0.3">
      <c r="B36" s="269" t="s">
        <v>284</v>
      </c>
      <c r="C36" s="269" t="s">
        <v>266</v>
      </c>
      <c r="D36" s="290">
        <f>D34*D35</f>
        <v>2.06099155394792</v>
      </c>
      <c r="E36" s="290">
        <f>E34*E35</f>
        <v>788.45486105789814</v>
      </c>
      <c r="F36" s="290">
        <f>F34*F35</f>
        <v>156951.19475072669</v>
      </c>
      <c r="G36" s="284" t="s">
        <v>52</v>
      </c>
    </row>
    <row r="37" spans="2:9" ht="14.5" x14ac:dyDescent="0.35">
      <c r="B37" s="270" t="s">
        <v>283</v>
      </c>
      <c r="C37" s="269" t="s">
        <v>266</v>
      </c>
      <c r="D37" s="271">
        <f>'General risk inputs'!$D$11</f>
        <v>1.21</v>
      </c>
      <c r="E37" s="271">
        <f>'General risk inputs'!$D$11</f>
        <v>1.21</v>
      </c>
      <c r="F37" s="271">
        <f>'General risk inputs'!$D$11</f>
        <v>1.21</v>
      </c>
      <c r="G37" s="284" t="s">
        <v>262</v>
      </c>
      <c r="I37" s="244"/>
    </row>
    <row r="38" spans="2:9" ht="14.5" x14ac:dyDescent="0.35">
      <c r="B38" s="270" t="s">
        <v>5</v>
      </c>
      <c r="C38" s="269" t="s">
        <v>45</v>
      </c>
      <c r="D38" s="271">
        <f>'General risk inputs'!$D$7</f>
        <v>42.86</v>
      </c>
      <c r="E38" s="271">
        <f>'General risk inputs'!$D$7</f>
        <v>42.86</v>
      </c>
      <c r="F38" s="271">
        <f>'General risk inputs'!$D$7</f>
        <v>42.86</v>
      </c>
      <c r="G38" s="284" t="s">
        <v>262</v>
      </c>
      <c r="I38" s="244"/>
    </row>
    <row r="39" spans="2:9" ht="15" customHeight="1" x14ac:dyDescent="0.3">
      <c r="B39" s="269" t="s">
        <v>282</v>
      </c>
      <c r="C39" s="269" t="s">
        <v>266</v>
      </c>
      <c r="D39" s="289">
        <f>(D36/customers_total)*solarcustomers_total</f>
        <v>0.6956209484632726</v>
      </c>
      <c r="E39" s="289">
        <f>(E36/customers_total)*solarcustomers_total</f>
        <v>266.11740218874871</v>
      </c>
      <c r="F39" s="289">
        <f>(F36/customers_total)*solarcustomers_total</f>
        <v>52973.792515455978</v>
      </c>
      <c r="G39" s="267" t="s">
        <v>281</v>
      </c>
    </row>
    <row r="40" spans="2:9" x14ac:dyDescent="0.3">
      <c r="B40" s="269" t="s">
        <v>265</v>
      </c>
      <c r="C40" s="269" t="s">
        <v>264</v>
      </c>
      <c r="D40" s="271">
        <f>'General risk inputs'!$D$15</f>
        <v>0.60502283105022836</v>
      </c>
      <c r="E40" s="271">
        <f>'General risk inputs'!$D$15</f>
        <v>0.60502283105022836</v>
      </c>
      <c r="F40" s="271">
        <f>'General risk inputs'!$D$15</f>
        <v>0.60502283105022836</v>
      </c>
      <c r="G40" s="284" t="s">
        <v>262</v>
      </c>
    </row>
    <row r="41" spans="2:9" x14ac:dyDescent="0.3">
      <c r="B41" s="269" t="s">
        <v>263</v>
      </c>
      <c r="C41" s="269" t="s">
        <v>45</v>
      </c>
      <c r="D41" s="268">
        <f>'General risk inputs'!$D$8</f>
        <v>2.1999999999999999E-2</v>
      </c>
      <c r="E41" s="268">
        <f>'General risk inputs'!$D$8</f>
        <v>2.1999999999999999E-2</v>
      </c>
      <c r="F41" s="268">
        <f>'General risk inputs'!$D$8</f>
        <v>2.1999999999999999E-2</v>
      </c>
      <c r="G41" s="284" t="s">
        <v>262</v>
      </c>
    </row>
    <row r="42" spans="2:9" ht="14.5" x14ac:dyDescent="0.35">
      <c r="B42" s="281"/>
      <c r="C42" s="281"/>
      <c r="D42" s="283"/>
      <c r="E42" s="283"/>
      <c r="F42" s="283"/>
      <c r="G42" s="282"/>
      <c r="I42" s="244"/>
    </row>
    <row r="44" spans="2:9" x14ac:dyDescent="0.3">
      <c r="B44" s="279" t="str">
        <f>Assumptions!$C$16&amp;" - "&amp;Assumptions!$E$16</f>
        <v>Option 3 - Criteria-based IT infrastructure refresh</v>
      </c>
      <c r="C44" s="279"/>
      <c r="D44" s="278"/>
      <c r="E44" s="278"/>
      <c r="F44" s="278"/>
      <c r="G44" s="277"/>
    </row>
    <row r="46" spans="2:9" x14ac:dyDescent="0.3">
      <c r="D46" s="415" t="s">
        <v>276</v>
      </c>
      <c r="E46" s="416"/>
      <c r="F46" s="417"/>
    </row>
    <row r="47" spans="2:9" ht="14.5" x14ac:dyDescent="0.35">
      <c r="B47" s="276" t="s">
        <v>275</v>
      </c>
      <c r="C47" s="276" t="s">
        <v>274</v>
      </c>
      <c r="D47" s="276" t="s">
        <v>255</v>
      </c>
      <c r="E47" s="276" t="s">
        <v>273</v>
      </c>
      <c r="F47" s="276" t="s">
        <v>253</v>
      </c>
      <c r="G47" s="275" t="s">
        <v>272</v>
      </c>
      <c r="I47" s="244"/>
    </row>
    <row r="48" spans="2:9" ht="14.5" x14ac:dyDescent="0.35">
      <c r="B48" s="269" t="s">
        <v>271</v>
      </c>
      <c r="C48" s="269" t="s">
        <v>266</v>
      </c>
      <c r="D48" s="274">
        <v>1</v>
      </c>
      <c r="E48" s="273"/>
      <c r="F48" s="273"/>
      <c r="G48" s="420" t="s">
        <v>277</v>
      </c>
      <c r="H48" s="272"/>
      <c r="I48" s="244"/>
    </row>
    <row r="49" spans="2:9" ht="14.5" x14ac:dyDescent="0.35">
      <c r="B49" s="269" t="s">
        <v>290</v>
      </c>
      <c r="C49" s="269" t="s">
        <v>266</v>
      </c>
      <c r="D49" s="274">
        <v>0.1</v>
      </c>
      <c r="E49" s="273"/>
      <c r="F49" s="273"/>
      <c r="G49" s="421"/>
      <c r="H49" s="272"/>
      <c r="I49" s="244"/>
    </row>
    <row r="50" spans="2:9" ht="14.5" x14ac:dyDescent="0.35">
      <c r="B50" s="270" t="s">
        <v>289</v>
      </c>
      <c r="C50" s="269" t="s">
        <v>288</v>
      </c>
      <c r="D50" s="271">
        <f>'General risk inputs'!$D$21</f>
        <v>3</v>
      </c>
      <c r="E50" s="271">
        <f>'General risk inputs'!$D$21</f>
        <v>3</v>
      </c>
      <c r="F50" s="271">
        <f>'General risk inputs'!$D$21</f>
        <v>3</v>
      </c>
      <c r="G50" s="284" t="s">
        <v>262</v>
      </c>
      <c r="I50" s="244"/>
    </row>
    <row r="51" spans="2:9" x14ac:dyDescent="0.3">
      <c r="B51" s="269" t="s">
        <v>268</v>
      </c>
      <c r="C51" s="269" t="s">
        <v>266</v>
      </c>
      <c r="D51" s="291">
        <f>'General risk inputs'!$D$46</f>
        <v>2.6666666666666665</v>
      </c>
      <c r="E51" s="291">
        <f>'General risk inputs'!$E$46</f>
        <v>12.144791666666666</v>
      </c>
      <c r="F51" s="291">
        <f>'General risk inputs'!$F$46</f>
        <v>24.923333333333336</v>
      </c>
      <c r="G51" s="284" t="s">
        <v>280</v>
      </c>
    </row>
    <row r="52" spans="2:9" x14ac:dyDescent="0.3">
      <c r="B52" s="269" t="s">
        <v>287</v>
      </c>
      <c r="C52" s="269" t="s">
        <v>266</v>
      </c>
      <c r="D52" s="271">
        <f>'General risk inputs'!$D$23</f>
        <v>0.77287183273047</v>
      </c>
      <c r="E52" s="271">
        <f>'General risk inputs'!$D$23</f>
        <v>0.77287183273047</v>
      </c>
      <c r="F52" s="271">
        <f>'General risk inputs'!$D$23</f>
        <v>0.77287183273047</v>
      </c>
      <c r="G52" s="284" t="s">
        <v>262</v>
      </c>
    </row>
    <row r="53" spans="2:9" x14ac:dyDescent="0.3">
      <c r="B53" s="269" t="s">
        <v>286</v>
      </c>
      <c r="C53" s="269" t="s">
        <v>266</v>
      </c>
      <c r="D53" s="291">
        <f>D51*D52</f>
        <v>2.06099155394792</v>
      </c>
      <c r="E53" s="291">
        <f>E51*E52</f>
        <v>9.386367393546406</v>
      </c>
      <c r="F53" s="291">
        <f>F51*F52</f>
        <v>19.262542311085749</v>
      </c>
      <c r="G53" s="284" t="s">
        <v>52</v>
      </c>
    </row>
    <row r="54" spans="2:9" ht="14.5" x14ac:dyDescent="0.35">
      <c r="B54" s="269" t="s">
        <v>285</v>
      </c>
      <c r="C54" s="269" t="s">
        <v>266</v>
      </c>
      <c r="D54" s="271">
        <f>'General risk inputs'!$D$45</f>
        <v>1</v>
      </c>
      <c r="E54" s="271">
        <f>'General risk inputs'!$E$45</f>
        <v>84</v>
      </c>
      <c r="F54" s="271">
        <f>'General risk inputs'!$F$45</f>
        <v>8148</v>
      </c>
      <c r="G54" s="284" t="s">
        <v>262</v>
      </c>
      <c r="I54" s="244"/>
    </row>
    <row r="55" spans="2:9" ht="25" x14ac:dyDescent="0.3">
      <c r="B55" s="269" t="s">
        <v>284</v>
      </c>
      <c r="C55" s="269" t="s">
        <v>266</v>
      </c>
      <c r="D55" s="290">
        <f>D53*D54</f>
        <v>2.06099155394792</v>
      </c>
      <c r="E55" s="290">
        <f>E53*E54</f>
        <v>788.45486105789814</v>
      </c>
      <c r="F55" s="290">
        <f>F53*F54</f>
        <v>156951.19475072669</v>
      </c>
      <c r="G55" s="284" t="s">
        <v>52</v>
      </c>
    </row>
    <row r="56" spans="2:9" ht="14.5" x14ac:dyDescent="0.35">
      <c r="B56" s="270" t="s">
        <v>283</v>
      </c>
      <c r="C56" s="269" t="s">
        <v>266</v>
      </c>
      <c r="D56" s="271">
        <f>'General risk inputs'!$D$11</f>
        <v>1.21</v>
      </c>
      <c r="E56" s="271">
        <f>'General risk inputs'!$D$11</f>
        <v>1.21</v>
      </c>
      <c r="F56" s="271">
        <f>'General risk inputs'!$D$11</f>
        <v>1.21</v>
      </c>
      <c r="G56" s="284" t="s">
        <v>262</v>
      </c>
      <c r="I56" s="244"/>
    </row>
    <row r="57" spans="2:9" ht="14.5" x14ac:dyDescent="0.35">
      <c r="B57" s="270" t="s">
        <v>5</v>
      </c>
      <c r="C57" s="269" t="s">
        <v>45</v>
      </c>
      <c r="D57" s="271">
        <f>'General risk inputs'!$D$7</f>
        <v>42.86</v>
      </c>
      <c r="E57" s="271">
        <f>'General risk inputs'!$D$7</f>
        <v>42.86</v>
      </c>
      <c r="F57" s="271">
        <f>'General risk inputs'!$D$7</f>
        <v>42.86</v>
      </c>
      <c r="G57" s="284" t="s">
        <v>262</v>
      </c>
      <c r="I57" s="244"/>
    </row>
    <row r="58" spans="2:9" ht="15" customHeight="1" x14ac:dyDescent="0.3">
      <c r="B58" s="269" t="s">
        <v>282</v>
      </c>
      <c r="C58" s="269" t="s">
        <v>266</v>
      </c>
      <c r="D58" s="289">
        <f>(D55/customers_total)*solarcustomers_total</f>
        <v>0.6956209484632726</v>
      </c>
      <c r="E58" s="289">
        <f>(E55/customers_total)*solarcustomers_total</f>
        <v>266.11740218874871</v>
      </c>
      <c r="F58" s="289">
        <f>(F55/customers_total)*solarcustomers_total</f>
        <v>52973.792515455978</v>
      </c>
      <c r="G58" s="267" t="s">
        <v>281</v>
      </c>
    </row>
    <row r="59" spans="2:9" x14ac:dyDescent="0.3">
      <c r="B59" s="269" t="s">
        <v>265</v>
      </c>
      <c r="C59" s="269" t="s">
        <v>264</v>
      </c>
      <c r="D59" s="271">
        <f>'General risk inputs'!$D$15</f>
        <v>0.60502283105022836</v>
      </c>
      <c r="E59" s="271">
        <f>'General risk inputs'!$D$15</f>
        <v>0.60502283105022836</v>
      </c>
      <c r="F59" s="271">
        <f>'General risk inputs'!$D$15</f>
        <v>0.60502283105022836</v>
      </c>
      <c r="G59" s="284" t="s">
        <v>262</v>
      </c>
    </row>
    <row r="60" spans="2:9" x14ac:dyDescent="0.3">
      <c r="B60" s="269" t="s">
        <v>263</v>
      </c>
      <c r="C60" s="269" t="s">
        <v>45</v>
      </c>
      <c r="D60" s="268">
        <f>'General risk inputs'!$D$8</f>
        <v>2.1999999999999999E-2</v>
      </c>
      <c r="E60" s="268">
        <f>'General risk inputs'!$D$8</f>
        <v>2.1999999999999999E-2</v>
      </c>
      <c r="F60" s="268">
        <f>'General risk inputs'!$D$8</f>
        <v>2.1999999999999999E-2</v>
      </c>
      <c r="G60" s="284" t="s">
        <v>262</v>
      </c>
    </row>
    <row r="61" spans="2:9" x14ac:dyDescent="0.3">
      <c r="B61" s="281"/>
      <c r="C61" s="281"/>
      <c r="D61" s="256"/>
      <c r="E61" s="256"/>
      <c r="F61" s="256"/>
      <c r="G61" s="280"/>
    </row>
    <row r="62" spans="2:9" x14ac:dyDescent="0.3">
      <c r="B62" s="279" t="str">
        <f>Assumptions!$C$17&amp;" - "&amp;Assumptions!$E$17</f>
        <v>Option 4 - Public cloud infrastructure refresh</v>
      </c>
      <c r="C62" s="279"/>
      <c r="D62" s="278"/>
      <c r="E62" s="278"/>
      <c r="F62" s="278"/>
      <c r="G62" s="277"/>
    </row>
    <row r="64" spans="2:9" x14ac:dyDescent="0.3">
      <c r="D64" s="415" t="s">
        <v>276</v>
      </c>
      <c r="E64" s="416"/>
      <c r="F64" s="417"/>
    </row>
    <row r="65" spans="1:10" ht="14.5" x14ac:dyDescent="0.35">
      <c r="B65" s="276" t="s">
        <v>275</v>
      </c>
      <c r="C65" s="276" t="s">
        <v>274</v>
      </c>
      <c r="D65" s="276" t="s">
        <v>255</v>
      </c>
      <c r="E65" s="276" t="s">
        <v>273</v>
      </c>
      <c r="F65" s="276" t="s">
        <v>253</v>
      </c>
      <c r="G65" s="275" t="s">
        <v>272</v>
      </c>
      <c r="I65" s="244"/>
    </row>
    <row r="66" spans="1:10" ht="14.5" x14ac:dyDescent="0.35">
      <c r="B66" s="269" t="s">
        <v>271</v>
      </c>
      <c r="C66" s="269" t="s">
        <v>266</v>
      </c>
      <c r="D66" s="274">
        <v>1</v>
      </c>
      <c r="E66" s="273"/>
      <c r="F66" s="273"/>
      <c r="G66" s="418" t="s">
        <v>270</v>
      </c>
      <c r="H66" s="272"/>
      <c r="I66" s="244"/>
    </row>
    <row r="67" spans="1:10" ht="14.5" x14ac:dyDescent="0.35">
      <c r="B67" s="269" t="s">
        <v>290</v>
      </c>
      <c r="C67" s="269" t="s">
        <v>266</v>
      </c>
      <c r="D67" s="274">
        <v>0.1</v>
      </c>
      <c r="E67" s="273"/>
      <c r="F67" s="273"/>
      <c r="G67" s="419"/>
      <c r="H67" s="272"/>
      <c r="I67" s="244"/>
    </row>
    <row r="68" spans="1:10" ht="14.5" x14ac:dyDescent="0.35">
      <c r="B68" s="270" t="s">
        <v>289</v>
      </c>
      <c r="C68" s="269" t="s">
        <v>288</v>
      </c>
      <c r="D68" s="271">
        <f>'General risk inputs'!$D$21</f>
        <v>3</v>
      </c>
      <c r="E68" s="271">
        <f>'General risk inputs'!$D$21</f>
        <v>3</v>
      </c>
      <c r="F68" s="271">
        <f>'General risk inputs'!$D$21</f>
        <v>3</v>
      </c>
      <c r="G68" s="284" t="s">
        <v>262</v>
      </c>
      <c r="I68" s="244"/>
    </row>
    <row r="69" spans="1:10" x14ac:dyDescent="0.3">
      <c r="B69" s="269" t="s">
        <v>268</v>
      </c>
      <c r="C69" s="269" t="s">
        <v>266</v>
      </c>
      <c r="D69" s="291">
        <f>'General risk inputs'!$D$46</f>
        <v>2.6666666666666665</v>
      </c>
      <c r="E69" s="291">
        <f>'General risk inputs'!$E$46</f>
        <v>12.144791666666666</v>
      </c>
      <c r="F69" s="291">
        <f>'General risk inputs'!$F$46</f>
        <v>24.923333333333336</v>
      </c>
      <c r="G69" s="284" t="s">
        <v>280</v>
      </c>
    </row>
    <row r="70" spans="1:10" x14ac:dyDescent="0.3">
      <c r="B70" s="269" t="s">
        <v>287</v>
      </c>
      <c r="C70" s="269" t="s">
        <v>266</v>
      </c>
      <c r="D70" s="271">
        <f>'General risk inputs'!$D$23</f>
        <v>0.77287183273047</v>
      </c>
      <c r="E70" s="271">
        <f>'General risk inputs'!$D$23</f>
        <v>0.77287183273047</v>
      </c>
      <c r="F70" s="271">
        <f>'General risk inputs'!$D$23</f>
        <v>0.77287183273047</v>
      </c>
      <c r="G70" s="284" t="s">
        <v>262</v>
      </c>
    </row>
    <row r="71" spans="1:10" x14ac:dyDescent="0.3">
      <c r="B71" s="269" t="s">
        <v>286</v>
      </c>
      <c r="C71" s="269" t="s">
        <v>266</v>
      </c>
      <c r="D71" s="291">
        <f>D69*D70</f>
        <v>2.06099155394792</v>
      </c>
      <c r="E71" s="291">
        <f>E69*E70</f>
        <v>9.386367393546406</v>
      </c>
      <c r="F71" s="291">
        <f>F69*F70</f>
        <v>19.262542311085749</v>
      </c>
      <c r="G71" s="284" t="s">
        <v>52</v>
      </c>
    </row>
    <row r="72" spans="1:10" ht="14.5" x14ac:dyDescent="0.35">
      <c r="B72" s="269" t="s">
        <v>285</v>
      </c>
      <c r="C72" s="269" t="s">
        <v>266</v>
      </c>
      <c r="D72" s="271">
        <f>'General risk inputs'!$D$45</f>
        <v>1</v>
      </c>
      <c r="E72" s="271">
        <f>'General risk inputs'!$E$45</f>
        <v>84</v>
      </c>
      <c r="F72" s="271">
        <f>'General risk inputs'!$F$45</f>
        <v>8148</v>
      </c>
      <c r="G72" s="284" t="s">
        <v>262</v>
      </c>
      <c r="I72" s="244"/>
    </row>
    <row r="73" spans="1:10" ht="25" x14ac:dyDescent="0.3">
      <c r="B73" s="269" t="s">
        <v>284</v>
      </c>
      <c r="C73" s="269" t="s">
        <v>266</v>
      </c>
      <c r="D73" s="290">
        <f>D71*D72</f>
        <v>2.06099155394792</v>
      </c>
      <c r="E73" s="290">
        <f>E71*E72</f>
        <v>788.45486105789814</v>
      </c>
      <c r="F73" s="290">
        <f>F71*F72</f>
        <v>156951.19475072669</v>
      </c>
      <c r="G73" s="284" t="s">
        <v>52</v>
      </c>
    </row>
    <row r="74" spans="1:10" ht="14.5" x14ac:dyDescent="0.35">
      <c r="A74" s="244"/>
      <c r="B74" s="270" t="s">
        <v>283</v>
      </c>
      <c r="C74" s="269" t="s">
        <v>266</v>
      </c>
      <c r="D74" s="271">
        <f>'General risk inputs'!$D$11</f>
        <v>1.21</v>
      </c>
      <c r="E74" s="271">
        <f>'General risk inputs'!$D$11</f>
        <v>1.21</v>
      </c>
      <c r="F74" s="271">
        <f>'General risk inputs'!$D$11</f>
        <v>1.21</v>
      </c>
      <c r="G74" s="284" t="s">
        <v>262</v>
      </c>
      <c r="H74" s="244"/>
      <c r="I74" s="244"/>
      <c r="J74" s="244"/>
    </row>
    <row r="75" spans="1:10" ht="14.5" x14ac:dyDescent="0.35">
      <c r="A75" s="244"/>
      <c r="B75" s="270" t="s">
        <v>5</v>
      </c>
      <c r="C75" s="269" t="s">
        <v>45</v>
      </c>
      <c r="D75" s="271">
        <f>'General risk inputs'!$D$7</f>
        <v>42.86</v>
      </c>
      <c r="E75" s="271">
        <f>'General risk inputs'!$D$7</f>
        <v>42.86</v>
      </c>
      <c r="F75" s="271">
        <f>'General risk inputs'!$D$7</f>
        <v>42.86</v>
      </c>
      <c r="G75" s="284" t="s">
        <v>262</v>
      </c>
      <c r="H75" s="244"/>
      <c r="I75" s="244"/>
      <c r="J75" s="244"/>
    </row>
    <row r="76" spans="1:10" ht="15" customHeight="1" x14ac:dyDescent="0.3">
      <c r="B76" s="269" t="s">
        <v>282</v>
      </c>
      <c r="C76" s="269" t="s">
        <v>266</v>
      </c>
      <c r="D76" s="289">
        <f>(D73/customers_total)*solarcustomers_total</f>
        <v>0.6956209484632726</v>
      </c>
      <c r="E76" s="289">
        <f>(E73/customers_total)*solarcustomers_total</f>
        <v>266.11740218874871</v>
      </c>
      <c r="F76" s="289">
        <f>(F73/customers_total)*solarcustomers_total</f>
        <v>52973.792515455978</v>
      </c>
      <c r="G76" s="267" t="s">
        <v>281</v>
      </c>
    </row>
    <row r="77" spans="1:10" x14ac:dyDescent="0.3">
      <c r="B77" s="269" t="s">
        <v>265</v>
      </c>
      <c r="C77" s="269" t="s">
        <v>264</v>
      </c>
      <c r="D77" s="271">
        <f>'General risk inputs'!$D$15</f>
        <v>0.60502283105022836</v>
      </c>
      <c r="E77" s="271">
        <f>'General risk inputs'!$D$15</f>
        <v>0.60502283105022836</v>
      </c>
      <c r="F77" s="271">
        <f>'General risk inputs'!$D$15</f>
        <v>0.60502283105022836</v>
      </c>
      <c r="G77" s="284" t="s">
        <v>262</v>
      </c>
    </row>
    <row r="78" spans="1:10" x14ac:dyDescent="0.3">
      <c r="B78" s="269" t="s">
        <v>263</v>
      </c>
      <c r="C78" s="269" t="s">
        <v>45</v>
      </c>
      <c r="D78" s="268">
        <f>'General risk inputs'!$D$8</f>
        <v>2.1999999999999999E-2</v>
      </c>
      <c r="E78" s="268">
        <f>'General risk inputs'!$D$8</f>
        <v>2.1999999999999999E-2</v>
      </c>
      <c r="F78" s="268">
        <f>'General risk inputs'!$D$8</f>
        <v>2.1999999999999999E-2</v>
      </c>
      <c r="G78" s="284" t="s">
        <v>262</v>
      </c>
    </row>
    <row r="81" spans="1:7" x14ac:dyDescent="0.3">
      <c r="B81" s="266" t="s">
        <v>261</v>
      </c>
      <c r="C81" s="265"/>
      <c r="D81" s="265"/>
      <c r="E81" s="265"/>
      <c r="F81" s="265"/>
      <c r="G81" s="264"/>
    </row>
    <row r="82" spans="1:7" ht="14.5" x14ac:dyDescent="0.35">
      <c r="A82" s="244"/>
      <c r="B82" s="261"/>
      <c r="C82" s="261"/>
      <c r="D82" s="261"/>
      <c r="E82" s="261"/>
      <c r="F82" s="261"/>
      <c r="G82" s="260"/>
    </row>
    <row r="83" spans="1:7" ht="14.5" x14ac:dyDescent="0.35">
      <c r="A83" s="244"/>
      <c r="B83" s="262" t="s">
        <v>260</v>
      </c>
      <c r="C83" s="261"/>
      <c r="D83" s="261"/>
      <c r="E83" s="261"/>
      <c r="F83" s="261"/>
      <c r="G83" s="260"/>
    </row>
    <row r="84" spans="1:7" ht="14.5" x14ac:dyDescent="0.35">
      <c r="A84" s="244"/>
      <c r="B84" s="250" t="s">
        <v>1</v>
      </c>
      <c r="C84" s="250" t="s">
        <v>259</v>
      </c>
      <c r="D84" s="250" t="s">
        <v>258</v>
      </c>
      <c r="E84" s="261"/>
      <c r="F84" s="261"/>
      <c r="G84" s="260"/>
    </row>
    <row r="85" spans="1:7" ht="14.5" x14ac:dyDescent="0.35">
      <c r="A85" s="244"/>
      <c r="B85" s="249" t="s">
        <v>249</v>
      </c>
      <c r="C85" s="263">
        <f>D11</f>
        <v>0.5</v>
      </c>
      <c r="D85" s="249" t="str">
        <f>INDEX(Likelihood,MATCH(C85,'General risk inputs'!$D$54:$D$59,0))</f>
        <v>Every 2 years</v>
      </c>
      <c r="E85" s="261"/>
      <c r="F85" s="261"/>
      <c r="G85" s="260"/>
    </row>
    <row r="86" spans="1:7" ht="14.5" x14ac:dyDescent="0.35">
      <c r="A86" s="244"/>
      <c r="B86" s="249" t="s">
        <v>92</v>
      </c>
      <c r="C86" s="263">
        <f>D30</f>
        <v>0.5</v>
      </c>
      <c r="D86" s="249" t="str">
        <f>INDEX(Likelihood,MATCH(C86,'General risk inputs'!$D$54:$D$59,0))</f>
        <v>Every 2 years</v>
      </c>
      <c r="E86" s="261"/>
      <c r="F86" s="261"/>
    </row>
    <row r="87" spans="1:7" ht="14.5" x14ac:dyDescent="0.35">
      <c r="A87" s="244"/>
      <c r="B87" s="249" t="s">
        <v>93</v>
      </c>
      <c r="C87" s="263">
        <f>D49</f>
        <v>0.1</v>
      </c>
      <c r="D87" s="249" t="str">
        <f>INDEX(Likelihood,MATCH(C87,'General risk inputs'!$D$54:$D$59,0))</f>
        <v>Every 10 years</v>
      </c>
      <c r="E87" s="261"/>
      <c r="F87" s="261"/>
      <c r="G87" s="260"/>
    </row>
    <row r="88" spans="1:7" ht="14.5" x14ac:dyDescent="0.35">
      <c r="A88" s="244"/>
      <c r="B88" s="249" t="s">
        <v>94</v>
      </c>
      <c r="C88" s="263">
        <f>D67</f>
        <v>0.1</v>
      </c>
      <c r="D88" s="249" t="str">
        <f>INDEX(Likelihood,MATCH(C88,'General risk inputs'!$D$54:$D$59,0))</f>
        <v>Every 10 years</v>
      </c>
      <c r="E88" s="261"/>
      <c r="F88" s="261"/>
      <c r="G88" s="260"/>
    </row>
    <row r="89" spans="1:7" ht="14.5" x14ac:dyDescent="0.35">
      <c r="A89" s="244"/>
      <c r="B89" s="261"/>
      <c r="C89" s="261"/>
      <c r="D89" s="261"/>
      <c r="E89" s="261"/>
      <c r="F89" s="261"/>
      <c r="G89" s="260"/>
    </row>
    <row r="90" spans="1:7" ht="14.5" x14ac:dyDescent="0.35">
      <c r="A90" s="244"/>
      <c r="B90" s="262" t="s">
        <v>257</v>
      </c>
      <c r="C90" s="261"/>
      <c r="D90" s="261"/>
      <c r="E90" s="261"/>
      <c r="F90" s="261"/>
      <c r="G90" s="260"/>
    </row>
    <row r="91" spans="1:7" ht="14.5" x14ac:dyDescent="0.35">
      <c r="A91" s="244"/>
      <c r="B91" s="250" t="s">
        <v>257</v>
      </c>
      <c r="C91" s="250" t="s">
        <v>256</v>
      </c>
      <c r="D91" s="250" t="s">
        <v>255</v>
      </c>
      <c r="E91" s="250" t="s">
        <v>254</v>
      </c>
      <c r="F91" s="250" t="s">
        <v>253</v>
      </c>
      <c r="G91" s="259"/>
    </row>
    <row r="92" spans="1:7" x14ac:dyDescent="0.3">
      <c r="B92" s="249" t="s">
        <v>249</v>
      </c>
      <c r="C92" s="258"/>
      <c r="D92" s="257">
        <f>(D12*D17*D18*D19)+(D12*D20*D21*D22)</f>
        <v>320.68055294068256</v>
      </c>
      <c r="E92" s="257">
        <f>(E12*E17*E18*E19)+(E12*E20*E21*E22)</f>
        <v>122679.85297100591</v>
      </c>
      <c r="F92" s="257">
        <f>(F12*F17*F18*F19)+(F12*F20*F21*F22)</f>
        <v>24420864.714827273</v>
      </c>
    </row>
    <row r="93" spans="1:7" x14ac:dyDescent="0.3">
      <c r="B93" s="249" t="s">
        <v>92</v>
      </c>
      <c r="C93" s="258"/>
      <c r="D93" s="257">
        <f>(D31*D36*D37*D38)+(D31*D39*D40*D41)</f>
        <v>320.68055294068256</v>
      </c>
      <c r="E93" s="257">
        <f>(E31*E36*E37*E38)+(E31*E39*E40*E41)</f>
        <v>122679.85297100591</v>
      </c>
      <c r="F93" s="257">
        <f>(F31*F36*F37*F38)+(F31*F39*F40*F41)</f>
        <v>24420864.714827273</v>
      </c>
    </row>
    <row r="94" spans="1:7" x14ac:dyDescent="0.3">
      <c r="B94" s="249" t="s">
        <v>93</v>
      </c>
      <c r="C94" s="258"/>
      <c r="D94" s="257">
        <f>(D50*D55*D56*D57)+(D50*D58*D59*D60)</f>
        <v>320.68055294068256</v>
      </c>
      <c r="E94" s="257">
        <f>(E50*E55*E56*E57)+(E50*E58*E59*E60)</f>
        <v>122679.85297100591</v>
      </c>
      <c r="F94" s="257">
        <f>(F50*F55*F56*F57)+(F50*F58*F59*F60)</f>
        <v>24420864.714827273</v>
      </c>
    </row>
    <row r="95" spans="1:7" x14ac:dyDescent="0.3">
      <c r="B95" s="249" t="s">
        <v>94</v>
      </c>
      <c r="C95" s="258"/>
      <c r="D95" s="257">
        <f>(D68*D73*D74*D75)+(D68*D76*D77*D78)</f>
        <v>320.68055294068256</v>
      </c>
      <c r="E95" s="257">
        <f>(E68*E73*E74*E75)+(E68*E76*E77*E78)</f>
        <v>122679.85297100591</v>
      </c>
      <c r="F95" s="257">
        <f>(F68*F73*F74*F75)+(F68*F76*F77*F78)</f>
        <v>24420864.714827273</v>
      </c>
    </row>
    <row r="96" spans="1:7" x14ac:dyDescent="0.3">
      <c r="B96" s="256"/>
      <c r="C96" s="256"/>
      <c r="D96" s="256"/>
      <c r="E96" s="256"/>
      <c r="F96" s="256"/>
    </row>
    <row r="97" spans="2:6" x14ac:dyDescent="0.3">
      <c r="B97" s="251" t="s">
        <v>252</v>
      </c>
      <c r="C97" s="256"/>
      <c r="D97" s="256"/>
      <c r="E97" s="256"/>
      <c r="F97" s="256"/>
    </row>
    <row r="98" spans="2:6" x14ac:dyDescent="0.3">
      <c r="B98" s="250" t="s">
        <v>257</v>
      </c>
      <c r="C98" s="250" t="s">
        <v>251</v>
      </c>
      <c r="D98" s="388" t="s">
        <v>409</v>
      </c>
      <c r="E98" s="255"/>
    </row>
    <row r="99" spans="2:6" x14ac:dyDescent="0.3">
      <c r="B99" s="249" t="s">
        <v>249</v>
      </c>
      <c r="C99" s="248">
        <f>(D92*3+10*E92+3*F92)/16</f>
        <v>4655647.1697406694</v>
      </c>
      <c r="D99" s="248">
        <f>C99*C85</f>
        <v>2327823.5848703347</v>
      </c>
      <c r="E99" s="288"/>
      <c r="F99" s="287"/>
    </row>
    <row r="100" spans="2:6" x14ac:dyDescent="0.3">
      <c r="B100" s="249" t="s">
        <v>92</v>
      </c>
      <c r="C100" s="248">
        <f>(D93*3+10*E93+3*F93)/16</f>
        <v>4655647.1697406694</v>
      </c>
      <c r="D100" s="248">
        <f>C100*C86</f>
        <v>2327823.5848703347</v>
      </c>
      <c r="E100" s="253"/>
      <c r="F100" s="287"/>
    </row>
    <row r="101" spans="2:6" x14ac:dyDescent="0.3">
      <c r="B101" s="249" t="s">
        <v>93</v>
      </c>
      <c r="C101" s="248">
        <f>(D94*3+10*E94+3*F94)/16</f>
        <v>4655647.1697406694</v>
      </c>
      <c r="D101" s="248">
        <f>C101*C87</f>
        <v>465564.71697406698</v>
      </c>
      <c r="E101" s="253"/>
      <c r="F101" s="287"/>
    </row>
    <row r="102" spans="2:6" x14ac:dyDescent="0.3">
      <c r="B102" s="249" t="s">
        <v>94</v>
      </c>
      <c r="C102" s="248">
        <f>(D95*3+10*E95+3*F95)/16</f>
        <v>4655647.1697406694</v>
      </c>
      <c r="D102" s="248">
        <f>C102*C88</f>
        <v>465564.71697406698</v>
      </c>
      <c r="E102" s="253"/>
      <c r="F102" s="287"/>
    </row>
    <row r="103" spans="2:6" x14ac:dyDescent="0.3">
      <c r="F103" s="287"/>
    </row>
    <row r="104" spans="2:6" x14ac:dyDescent="0.3">
      <c r="B104" s="251" t="s">
        <v>250</v>
      </c>
      <c r="F104" s="287"/>
    </row>
    <row r="105" spans="2:6" x14ac:dyDescent="0.3">
      <c r="B105" s="250" t="s">
        <v>1</v>
      </c>
      <c r="C105" s="250" t="s">
        <v>250</v>
      </c>
      <c r="F105" s="287"/>
    </row>
    <row r="106" spans="2:6" x14ac:dyDescent="0.3">
      <c r="B106" s="249" t="s">
        <v>249</v>
      </c>
      <c r="C106" s="248" t="s">
        <v>248</v>
      </c>
      <c r="F106" s="287"/>
    </row>
    <row r="107" spans="2:6" x14ac:dyDescent="0.3">
      <c r="B107" s="249" t="s">
        <v>92</v>
      </c>
      <c r="C107" s="248">
        <f>$D$99-D100</f>
        <v>0</v>
      </c>
      <c r="F107" s="287"/>
    </row>
    <row r="108" spans="2:6" x14ac:dyDescent="0.3">
      <c r="B108" s="249" t="s">
        <v>93</v>
      </c>
      <c r="C108" s="248">
        <f>$D$99-D101</f>
        <v>1862258.8678962677</v>
      </c>
      <c r="F108" s="287"/>
    </row>
    <row r="109" spans="2:6" x14ac:dyDescent="0.3">
      <c r="B109" s="249" t="s">
        <v>94</v>
      </c>
      <c r="C109" s="248">
        <f>$D$99-D102</f>
        <v>1862258.8678962677</v>
      </c>
      <c r="F109" s="287"/>
    </row>
  </sheetData>
  <mergeCells count="5">
    <mergeCell ref="G66:G67"/>
    <mergeCell ref="D27:F27"/>
    <mergeCell ref="D46:F46"/>
    <mergeCell ref="D64:F64"/>
    <mergeCell ref="G48:G4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33E9-911F-4B9F-B827-68FB0EF3B64C}">
  <sheetPr codeName="Sheet23"/>
  <dimension ref="A1:P97"/>
  <sheetViews>
    <sheetView showGridLines="0" zoomScale="70" zoomScaleNormal="70" workbookViewId="0">
      <selection sqref="A1:XFD2"/>
    </sheetView>
  </sheetViews>
  <sheetFormatPr defaultColWidth="7.84375" defaultRowHeight="14" x14ac:dyDescent="0.3"/>
  <cols>
    <col min="1" max="1" width="2.765625" style="245" customWidth="1"/>
    <col min="2" max="2" width="48.765625" style="245" customWidth="1"/>
    <col min="3" max="3" width="13.23046875" style="245" bestFit="1" customWidth="1"/>
    <col min="4" max="4" width="24.4609375" style="245" bestFit="1" customWidth="1"/>
    <col min="5" max="5" width="13.84375" style="245" customWidth="1"/>
    <col min="6" max="6" width="13.23046875" style="245" customWidth="1"/>
    <col min="7" max="7" width="39" style="246" bestFit="1" customWidth="1"/>
    <col min="8" max="16384" width="7.84375" style="245"/>
  </cols>
  <sheetData>
    <row r="1" spans="1:16" customFormat="1" ht="18.5" x14ac:dyDescent="0.45">
      <c r="A1" s="14" t="str">
        <f>bus</f>
        <v>United Energy</v>
      </c>
      <c r="B1" s="14"/>
      <c r="C1" s="14"/>
      <c r="D1" s="42"/>
      <c r="E1" s="14"/>
      <c r="F1" s="14"/>
      <c r="G1" s="14"/>
      <c r="H1" s="14"/>
      <c r="I1" s="14"/>
      <c r="J1" s="14"/>
      <c r="K1" s="14"/>
      <c r="L1" s="14"/>
      <c r="M1" s="14"/>
      <c r="N1" s="14"/>
      <c r="O1" s="14"/>
      <c r="P1" s="14"/>
    </row>
    <row r="2" spans="1:16" customFormat="1" ht="18.5" x14ac:dyDescent="0.45">
      <c r="A2" s="54" t="str">
        <f>proj</f>
        <v>Infrastructure refresh risk</v>
      </c>
      <c r="B2" s="14"/>
      <c r="C2" s="14"/>
      <c r="D2" s="42"/>
      <c r="E2" s="14"/>
      <c r="F2" s="14"/>
      <c r="G2" s="14"/>
      <c r="H2" s="14"/>
      <c r="I2" s="14"/>
      <c r="J2" s="14"/>
      <c r="K2" s="14"/>
      <c r="L2" s="14"/>
      <c r="M2" s="14"/>
      <c r="N2" s="14"/>
      <c r="O2" s="14"/>
      <c r="P2" s="14"/>
    </row>
    <row r="4" spans="1:16" s="285" customFormat="1" x14ac:dyDescent="0.3">
      <c r="A4" s="285" t="s">
        <v>186</v>
      </c>
      <c r="G4" s="286"/>
    </row>
    <row r="5" spans="1:16" ht="14.5" x14ac:dyDescent="0.35">
      <c r="A5" s="244"/>
      <c r="B5" s="244"/>
      <c r="C5" s="244"/>
      <c r="D5" s="244"/>
      <c r="E5" s="244"/>
      <c r="F5" s="244"/>
      <c r="G5" s="260"/>
    </row>
    <row r="6" spans="1:16" x14ac:dyDescent="0.3">
      <c r="B6" s="279" t="str">
        <f>Assumptions!$C$14&amp;" - "&amp;Assumptions!$E$14</f>
        <v>Option 1 (base case) - Maintain status quo</v>
      </c>
      <c r="C6" s="279"/>
      <c r="D6" s="278"/>
      <c r="E6" s="278"/>
      <c r="F6" s="278"/>
      <c r="G6" s="277"/>
    </row>
    <row r="7" spans="1:16" ht="14.5" x14ac:dyDescent="0.35">
      <c r="I7" s="244"/>
    </row>
    <row r="8" spans="1:16" ht="14.5" x14ac:dyDescent="0.35">
      <c r="D8" s="296" t="s">
        <v>276</v>
      </c>
      <c r="E8" s="295"/>
      <c r="F8" s="294"/>
      <c r="I8" s="244"/>
    </row>
    <row r="9" spans="1:16" ht="14.5" x14ac:dyDescent="0.35">
      <c r="B9" s="276" t="s">
        <v>275</v>
      </c>
      <c r="C9" s="276" t="s">
        <v>274</v>
      </c>
      <c r="D9" s="276" t="s">
        <v>255</v>
      </c>
      <c r="E9" s="276" t="s">
        <v>273</v>
      </c>
      <c r="F9" s="276" t="s">
        <v>253</v>
      </c>
      <c r="G9" s="275" t="s">
        <v>272</v>
      </c>
      <c r="I9" s="244"/>
    </row>
    <row r="10" spans="1:16" ht="101" x14ac:dyDescent="0.35">
      <c r="B10" s="269" t="s">
        <v>300</v>
      </c>
      <c r="C10" s="269" t="s">
        <v>266</v>
      </c>
      <c r="D10" s="300">
        <v>0.5</v>
      </c>
      <c r="E10" s="301">
        <v>1</v>
      </c>
      <c r="F10" s="301">
        <v>1</v>
      </c>
      <c r="G10" s="284" t="s">
        <v>303</v>
      </c>
      <c r="I10" s="244"/>
    </row>
    <row r="11" spans="1:16" ht="14.5" x14ac:dyDescent="0.35">
      <c r="B11" s="269" t="s">
        <v>298</v>
      </c>
      <c r="C11" s="269" t="s">
        <v>81</v>
      </c>
      <c r="D11" s="299">
        <f>'General risk inputs'!$D$12</f>
        <v>1435000</v>
      </c>
      <c r="E11" s="299">
        <f>'General risk inputs'!$D$12</f>
        <v>1435000</v>
      </c>
      <c r="F11" s="299">
        <f>'General risk inputs'!$D$12</f>
        <v>1435000</v>
      </c>
      <c r="G11" s="422" t="s">
        <v>297</v>
      </c>
      <c r="I11" s="244"/>
    </row>
    <row r="12" spans="1:16" ht="14.5" x14ac:dyDescent="0.35">
      <c r="B12" s="269" t="s">
        <v>296</v>
      </c>
      <c r="C12" s="269" t="s">
        <v>81</v>
      </c>
      <c r="D12" s="299">
        <f>'General risk inputs'!$D$13</f>
        <v>71800</v>
      </c>
      <c r="E12" s="299">
        <f>'General risk inputs'!$D$13</f>
        <v>71800</v>
      </c>
      <c r="F12" s="299">
        <f>'General risk inputs'!$D$13</f>
        <v>71800</v>
      </c>
      <c r="G12" s="422"/>
      <c r="I12" s="244"/>
    </row>
    <row r="13" spans="1:16" ht="63.5" x14ac:dyDescent="0.35">
      <c r="B13" s="269" t="s">
        <v>295</v>
      </c>
      <c r="C13" s="269" t="s">
        <v>294</v>
      </c>
      <c r="D13" s="298">
        <v>0</v>
      </c>
      <c r="E13" s="300">
        <f>'General risk inputs'!E$46/8</f>
        <v>1.5180989583333333</v>
      </c>
      <c r="F13" s="300">
        <f>'General risk inputs'!F$46/8</f>
        <v>3.1154166666666669</v>
      </c>
      <c r="G13" s="284" t="s">
        <v>301</v>
      </c>
      <c r="I13" s="244"/>
    </row>
    <row r="14" spans="1:16" ht="14.5" x14ac:dyDescent="0.35">
      <c r="B14" s="269" t="s">
        <v>292</v>
      </c>
      <c r="C14" s="269" t="s">
        <v>81</v>
      </c>
      <c r="D14" s="297">
        <f>D11+(D12*D13)</f>
        <v>1435000</v>
      </c>
      <c r="E14" s="297">
        <f>E11+(E12*E13)</f>
        <v>1543999.5052083333</v>
      </c>
      <c r="F14" s="297">
        <f>F11+(F12*F13)</f>
        <v>1658686.9166666667</v>
      </c>
      <c r="G14" s="284" t="s">
        <v>52</v>
      </c>
      <c r="I14" s="244"/>
    </row>
    <row r="15" spans="1:16" ht="14.5" x14ac:dyDescent="0.35">
      <c r="B15" s="256"/>
      <c r="C15" s="256"/>
      <c r="D15" s="256"/>
      <c r="E15" s="256"/>
      <c r="F15" s="256"/>
      <c r="G15" s="280"/>
      <c r="I15" s="244"/>
    </row>
    <row r="16" spans="1:16" x14ac:dyDescent="0.3">
      <c r="B16" s="279" t="str">
        <f>Assumptions!$C$15&amp;" - "&amp;Assumptions!$E$15</f>
        <v>Option 2 - Maintain existing infrastructure with more frequent upgrades</v>
      </c>
      <c r="C16" s="279"/>
      <c r="D16" s="278"/>
      <c r="E16" s="278"/>
      <c r="F16" s="278"/>
      <c r="G16" s="277"/>
    </row>
    <row r="18" spans="2:9" x14ac:dyDescent="0.3">
      <c r="D18" s="415" t="s">
        <v>276</v>
      </c>
      <c r="E18" s="416"/>
      <c r="F18" s="417"/>
    </row>
    <row r="19" spans="2:9" ht="14.5" x14ac:dyDescent="0.35">
      <c r="B19" s="276" t="s">
        <v>275</v>
      </c>
      <c r="C19" s="276" t="s">
        <v>274</v>
      </c>
      <c r="D19" s="276" t="s">
        <v>255</v>
      </c>
      <c r="E19" s="276" t="s">
        <v>273</v>
      </c>
      <c r="F19" s="276" t="s">
        <v>253</v>
      </c>
      <c r="G19" s="275" t="s">
        <v>272</v>
      </c>
      <c r="I19" s="244"/>
    </row>
    <row r="20" spans="2:9" ht="51" x14ac:dyDescent="0.35">
      <c r="B20" s="269" t="s">
        <v>300</v>
      </c>
      <c r="C20" s="269" t="s">
        <v>266</v>
      </c>
      <c r="D20" s="300">
        <v>0.2</v>
      </c>
      <c r="E20" s="301">
        <v>1</v>
      </c>
      <c r="F20" s="301">
        <v>1</v>
      </c>
      <c r="G20" s="284" t="s">
        <v>302</v>
      </c>
      <c r="I20" s="244"/>
    </row>
    <row r="21" spans="2:9" ht="14.5" x14ac:dyDescent="0.35">
      <c r="B21" s="269" t="s">
        <v>298</v>
      </c>
      <c r="C21" s="269" t="s">
        <v>81</v>
      </c>
      <c r="D21" s="299">
        <f>'General risk inputs'!$D$12</f>
        <v>1435000</v>
      </c>
      <c r="E21" s="299">
        <f>'General risk inputs'!$D$12</f>
        <v>1435000</v>
      </c>
      <c r="F21" s="299">
        <f>'General risk inputs'!$D$12</f>
        <v>1435000</v>
      </c>
      <c r="G21" s="422" t="s">
        <v>297</v>
      </c>
      <c r="I21" s="244"/>
    </row>
    <row r="22" spans="2:9" ht="14.5" x14ac:dyDescent="0.35">
      <c r="B22" s="269" t="s">
        <v>296</v>
      </c>
      <c r="C22" s="269" t="s">
        <v>81</v>
      </c>
      <c r="D22" s="299">
        <f>'General risk inputs'!$D$13</f>
        <v>71800</v>
      </c>
      <c r="E22" s="299">
        <f>'General risk inputs'!$D$13</f>
        <v>71800</v>
      </c>
      <c r="F22" s="299">
        <f>'General risk inputs'!$D$13</f>
        <v>71800</v>
      </c>
      <c r="G22" s="422"/>
      <c r="I22" s="244"/>
    </row>
    <row r="23" spans="2:9" ht="63.5" x14ac:dyDescent="0.35">
      <c r="B23" s="269" t="s">
        <v>295</v>
      </c>
      <c r="C23" s="269" t="s">
        <v>294</v>
      </c>
      <c r="D23" s="298">
        <v>0</v>
      </c>
      <c r="E23" s="300">
        <f>'General risk inputs'!E$46/8</f>
        <v>1.5180989583333333</v>
      </c>
      <c r="F23" s="300">
        <f>'General risk inputs'!F$46/8</f>
        <v>3.1154166666666669</v>
      </c>
      <c r="G23" s="284" t="s">
        <v>301</v>
      </c>
      <c r="I23" s="244"/>
    </row>
    <row r="24" spans="2:9" ht="14.5" x14ac:dyDescent="0.35">
      <c r="B24" s="269" t="s">
        <v>292</v>
      </c>
      <c r="C24" s="269" t="s">
        <v>81</v>
      </c>
      <c r="D24" s="297">
        <f>D21+(D22*D23)</f>
        <v>1435000</v>
      </c>
      <c r="E24" s="297">
        <f>E21+(E22*E23)</f>
        <v>1543999.5052083333</v>
      </c>
      <c r="F24" s="297">
        <f>F21+(F22*F23)</f>
        <v>1658686.9166666667</v>
      </c>
      <c r="G24" s="284" t="s">
        <v>52</v>
      </c>
      <c r="I24" s="244"/>
    </row>
    <row r="26" spans="2:9" x14ac:dyDescent="0.3">
      <c r="B26" s="279" t="str">
        <f>Assumptions!$C$16&amp;" - "&amp;Assumptions!$E$16</f>
        <v>Option 3 - Criteria-based IT infrastructure refresh</v>
      </c>
      <c r="C26" s="279"/>
      <c r="D26" s="278"/>
      <c r="E26" s="278"/>
      <c r="F26" s="278"/>
      <c r="G26" s="277"/>
    </row>
    <row r="28" spans="2:9" x14ac:dyDescent="0.3">
      <c r="D28" s="415" t="s">
        <v>276</v>
      </c>
      <c r="E28" s="416"/>
      <c r="F28" s="417"/>
    </row>
    <row r="29" spans="2:9" ht="14.5" x14ac:dyDescent="0.35">
      <c r="B29" s="276" t="s">
        <v>275</v>
      </c>
      <c r="C29" s="276" t="s">
        <v>274</v>
      </c>
      <c r="D29" s="276" t="s">
        <v>255</v>
      </c>
      <c r="E29" s="276" t="s">
        <v>273</v>
      </c>
      <c r="F29" s="276" t="s">
        <v>253</v>
      </c>
      <c r="G29" s="275" t="s">
        <v>272</v>
      </c>
      <c r="I29" s="244"/>
    </row>
    <row r="30" spans="2:9" ht="26" x14ac:dyDescent="0.35">
      <c r="B30" s="269" t="s">
        <v>300</v>
      </c>
      <c r="C30" s="269" t="s">
        <v>266</v>
      </c>
      <c r="D30" s="300">
        <v>0.2</v>
      </c>
      <c r="E30" s="273"/>
      <c r="F30" s="273"/>
      <c r="G30" s="284" t="s">
        <v>277</v>
      </c>
      <c r="I30" s="244"/>
    </row>
    <row r="31" spans="2:9" ht="14.5" x14ac:dyDescent="0.35">
      <c r="B31" s="269" t="s">
        <v>298</v>
      </c>
      <c r="C31" s="269" t="s">
        <v>81</v>
      </c>
      <c r="D31" s="299">
        <f>'General risk inputs'!$D$12</f>
        <v>1435000</v>
      </c>
      <c r="E31" s="299">
        <f>'General risk inputs'!$D$12</f>
        <v>1435000</v>
      </c>
      <c r="F31" s="299">
        <f>'General risk inputs'!$D$12</f>
        <v>1435000</v>
      </c>
      <c r="G31" s="422" t="s">
        <v>297</v>
      </c>
      <c r="I31" s="244"/>
    </row>
    <row r="32" spans="2:9" ht="14.5" x14ac:dyDescent="0.35">
      <c r="B32" s="269" t="s">
        <v>296</v>
      </c>
      <c r="C32" s="269" t="s">
        <v>81</v>
      </c>
      <c r="D32" s="299">
        <f>'General risk inputs'!$D$13</f>
        <v>71800</v>
      </c>
      <c r="E32" s="299">
        <f>'General risk inputs'!$D$13</f>
        <v>71800</v>
      </c>
      <c r="F32" s="299">
        <f>'General risk inputs'!$D$13</f>
        <v>71800</v>
      </c>
      <c r="G32" s="422"/>
      <c r="I32" s="244"/>
    </row>
    <row r="33" spans="2:9" ht="76" x14ac:dyDescent="0.35">
      <c r="B33" s="269" t="s">
        <v>295</v>
      </c>
      <c r="C33" s="269" t="s">
        <v>294</v>
      </c>
      <c r="D33" s="298">
        <f>D13*0.5</f>
        <v>0</v>
      </c>
      <c r="E33" s="298">
        <f>E13*0.5</f>
        <v>0.75904947916666665</v>
      </c>
      <c r="F33" s="298">
        <f>F13*0.5</f>
        <v>1.5577083333333335</v>
      </c>
      <c r="G33" s="284" t="s">
        <v>293</v>
      </c>
      <c r="I33" s="244"/>
    </row>
    <row r="34" spans="2:9" ht="14.5" x14ac:dyDescent="0.35">
      <c r="B34" s="269" t="s">
        <v>292</v>
      </c>
      <c r="C34" s="269" t="s">
        <v>81</v>
      </c>
      <c r="D34" s="297">
        <f>D31+(D32*D33)</f>
        <v>1435000</v>
      </c>
      <c r="E34" s="297">
        <f>E31+(E32*E33)</f>
        <v>1489499.7526041667</v>
      </c>
      <c r="F34" s="297">
        <f>F31+(F32*F33)</f>
        <v>1546843.4583333333</v>
      </c>
      <c r="G34" s="284" t="s">
        <v>52</v>
      </c>
      <c r="I34" s="244"/>
    </row>
    <row r="35" spans="2:9" x14ac:dyDescent="0.3">
      <c r="B35" s="281"/>
      <c r="C35" s="281"/>
      <c r="D35" s="256"/>
      <c r="E35" s="256"/>
      <c r="F35" s="256"/>
      <c r="G35" s="280"/>
    </row>
    <row r="36" spans="2:9" x14ac:dyDescent="0.3">
      <c r="B36" s="279" t="str">
        <f>Assumptions!$C$17&amp;" - "&amp;Assumptions!$E$17</f>
        <v>Option 4 - Public cloud infrastructure refresh</v>
      </c>
      <c r="C36" s="279"/>
      <c r="D36" s="278"/>
      <c r="E36" s="278"/>
      <c r="F36" s="278"/>
      <c r="G36" s="277"/>
    </row>
    <row r="38" spans="2:9" x14ac:dyDescent="0.3">
      <c r="D38" s="415" t="s">
        <v>276</v>
      </c>
      <c r="E38" s="416"/>
      <c r="F38" s="417"/>
    </row>
    <row r="39" spans="2:9" ht="14.5" x14ac:dyDescent="0.35">
      <c r="B39" s="276" t="s">
        <v>275</v>
      </c>
      <c r="C39" s="276" t="s">
        <v>274</v>
      </c>
      <c r="D39" s="276" t="s">
        <v>255</v>
      </c>
      <c r="E39" s="276" t="s">
        <v>273</v>
      </c>
      <c r="F39" s="276" t="s">
        <v>253</v>
      </c>
      <c r="G39" s="275" t="s">
        <v>272</v>
      </c>
      <c r="I39" s="244"/>
    </row>
    <row r="40" spans="2:9" ht="38.5" x14ac:dyDescent="0.35">
      <c r="B40" s="269" t="s">
        <v>300</v>
      </c>
      <c r="C40" s="269" t="s">
        <v>266</v>
      </c>
      <c r="D40" s="300">
        <v>0.5</v>
      </c>
      <c r="E40" s="273"/>
      <c r="F40" s="273"/>
      <c r="G40" s="284" t="s">
        <v>299</v>
      </c>
      <c r="I40" s="244"/>
    </row>
    <row r="41" spans="2:9" ht="14.5" x14ac:dyDescent="0.35">
      <c r="B41" s="269" t="s">
        <v>298</v>
      </c>
      <c r="C41" s="269" t="s">
        <v>81</v>
      </c>
      <c r="D41" s="299">
        <f>'General risk inputs'!$D$12</f>
        <v>1435000</v>
      </c>
      <c r="E41" s="299">
        <f>'General risk inputs'!$D$12</f>
        <v>1435000</v>
      </c>
      <c r="F41" s="299">
        <f>'General risk inputs'!$D$12</f>
        <v>1435000</v>
      </c>
      <c r="G41" s="422" t="s">
        <v>297</v>
      </c>
      <c r="I41" s="244"/>
    </row>
    <row r="42" spans="2:9" ht="14.5" x14ac:dyDescent="0.35">
      <c r="B42" s="269" t="s">
        <v>296</v>
      </c>
      <c r="C42" s="269" t="s">
        <v>81</v>
      </c>
      <c r="D42" s="299">
        <f>'General risk inputs'!$D$13</f>
        <v>71800</v>
      </c>
      <c r="E42" s="299">
        <f>'General risk inputs'!$D$13</f>
        <v>71800</v>
      </c>
      <c r="F42" s="299">
        <f>'General risk inputs'!$D$13</f>
        <v>71800</v>
      </c>
      <c r="G42" s="422"/>
      <c r="I42" s="244"/>
    </row>
    <row r="43" spans="2:9" ht="63.5" x14ac:dyDescent="0.35">
      <c r="B43" s="269" t="s">
        <v>295</v>
      </c>
      <c r="C43" s="269" t="s">
        <v>294</v>
      </c>
      <c r="D43" s="298">
        <f>D13*0.5</f>
        <v>0</v>
      </c>
      <c r="E43" s="298">
        <f>E13*0.5</f>
        <v>0.75904947916666665</v>
      </c>
      <c r="F43" s="298">
        <f>F13*0.5</f>
        <v>1.5577083333333335</v>
      </c>
      <c r="G43" s="284" t="s">
        <v>293</v>
      </c>
      <c r="I43" s="244"/>
    </row>
    <row r="44" spans="2:9" ht="14.5" x14ac:dyDescent="0.35">
      <c r="B44" s="269" t="s">
        <v>292</v>
      </c>
      <c r="C44" s="269" t="s">
        <v>81</v>
      </c>
      <c r="D44" s="297">
        <f>D41+(D42*D43)</f>
        <v>1435000</v>
      </c>
      <c r="E44" s="297">
        <f>E41+(E42*E43)</f>
        <v>1489499.7526041667</v>
      </c>
      <c r="F44" s="297">
        <f>F41+(F42*F43)</f>
        <v>1546843.4583333333</v>
      </c>
      <c r="G44" s="284" t="s">
        <v>52</v>
      </c>
      <c r="I44" s="244"/>
    </row>
    <row r="69" spans="1:7" x14ac:dyDescent="0.3">
      <c r="B69" s="266" t="s">
        <v>261</v>
      </c>
      <c r="C69" s="265"/>
      <c r="D69" s="265"/>
      <c r="E69" s="265"/>
      <c r="F69" s="265"/>
      <c r="G69" s="264"/>
    </row>
    <row r="70" spans="1:7" ht="14.5" x14ac:dyDescent="0.35">
      <c r="A70" s="244"/>
      <c r="B70" s="261"/>
      <c r="C70" s="261"/>
      <c r="D70" s="261"/>
      <c r="E70" s="261"/>
      <c r="F70" s="261"/>
      <c r="G70" s="260"/>
    </row>
    <row r="71" spans="1:7" ht="14.5" x14ac:dyDescent="0.35">
      <c r="A71" s="244"/>
      <c r="B71" s="262" t="s">
        <v>260</v>
      </c>
      <c r="C71" s="261"/>
      <c r="D71" s="261"/>
      <c r="E71" s="261"/>
      <c r="F71" s="261"/>
      <c r="G71" s="260"/>
    </row>
    <row r="72" spans="1:7" ht="14.5" x14ac:dyDescent="0.35">
      <c r="A72" s="244"/>
      <c r="B72" s="250" t="s">
        <v>1</v>
      </c>
      <c r="C72" s="250" t="s">
        <v>259</v>
      </c>
      <c r="D72" s="250" t="s">
        <v>258</v>
      </c>
      <c r="E72" s="261"/>
      <c r="F72" s="261"/>
      <c r="G72" s="260"/>
    </row>
    <row r="73" spans="1:7" ht="14.5" x14ac:dyDescent="0.35">
      <c r="A73" s="244"/>
      <c r="B73" s="249" t="s">
        <v>249</v>
      </c>
      <c r="C73" s="263">
        <f>D10</f>
        <v>0.5</v>
      </c>
      <c r="D73" s="249" t="str">
        <f>INDEX(Likelihood,MATCH(C73,'General risk inputs'!$D$54:$D$59,0))</f>
        <v>Every 2 years</v>
      </c>
      <c r="E73" s="261"/>
      <c r="F73" s="261"/>
      <c r="G73" s="260"/>
    </row>
    <row r="74" spans="1:7" ht="14.5" x14ac:dyDescent="0.35">
      <c r="A74" s="244"/>
      <c r="B74" s="249" t="s">
        <v>92</v>
      </c>
      <c r="C74" s="263">
        <f>D20</f>
        <v>0.2</v>
      </c>
      <c r="D74" s="249" t="str">
        <f>INDEX(Likelihood,MATCH(C74,'General risk inputs'!$D$54:$D$59,0))</f>
        <v>Every 5 years</v>
      </c>
      <c r="E74" s="261"/>
      <c r="F74" s="261"/>
    </row>
    <row r="75" spans="1:7" ht="14.5" x14ac:dyDescent="0.35">
      <c r="A75" s="244"/>
      <c r="B75" s="249" t="s">
        <v>93</v>
      </c>
      <c r="C75" s="263">
        <f>D30</f>
        <v>0.2</v>
      </c>
      <c r="D75" s="249" t="str">
        <f>INDEX(Likelihood,MATCH(C75,'General risk inputs'!$D$54:$D$59,0))</f>
        <v>Every 5 years</v>
      </c>
      <c r="E75" s="261"/>
      <c r="F75" s="261"/>
      <c r="G75" s="260"/>
    </row>
    <row r="76" spans="1:7" ht="14.5" x14ac:dyDescent="0.35">
      <c r="A76" s="244"/>
      <c r="B76" s="249" t="s">
        <v>94</v>
      </c>
      <c r="C76" s="263">
        <f>D40</f>
        <v>0.5</v>
      </c>
      <c r="D76" s="249" t="str">
        <f>INDEX(Likelihood,MATCH(C76,'General risk inputs'!$D$54:$D$59,0))</f>
        <v>Every 2 years</v>
      </c>
      <c r="E76" s="261"/>
      <c r="F76" s="261"/>
      <c r="G76" s="260"/>
    </row>
    <row r="77" spans="1:7" ht="14.5" x14ac:dyDescent="0.35">
      <c r="A77" s="244"/>
      <c r="B77" s="261"/>
      <c r="C77" s="261"/>
      <c r="D77" s="261"/>
      <c r="E77" s="261"/>
      <c r="F77" s="261"/>
      <c r="G77" s="260"/>
    </row>
    <row r="78" spans="1:7" ht="14.5" x14ac:dyDescent="0.35">
      <c r="A78" s="244"/>
      <c r="B78" s="262" t="s">
        <v>257</v>
      </c>
      <c r="C78" s="261"/>
      <c r="D78" s="261"/>
      <c r="E78" s="261"/>
      <c r="F78" s="261"/>
      <c r="G78" s="260"/>
    </row>
    <row r="79" spans="1:7" ht="14.5" x14ac:dyDescent="0.35">
      <c r="A79" s="244"/>
      <c r="B79" s="250" t="s">
        <v>257</v>
      </c>
      <c r="C79" s="250" t="s">
        <v>256</v>
      </c>
      <c r="D79" s="250" t="s">
        <v>255</v>
      </c>
      <c r="E79" s="250" t="s">
        <v>254</v>
      </c>
      <c r="F79" s="250" t="s">
        <v>253</v>
      </c>
      <c r="G79" s="259"/>
    </row>
    <row r="80" spans="1:7" x14ac:dyDescent="0.3">
      <c r="B80" s="249" t="s">
        <v>249</v>
      </c>
      <c r="C80" s="258"/>
      <c r="D80" s="257">
        <f>D14</f>
        <v>1435000</v>
      </c>
      <c r="E80" s="257">
        <f>E14</f>
        <v>1543999.5052083333</v>
      </c>
      <c r="F80" s="257">
        <f>F14</f>
        <v>1658686.9166666667</v>
      </c>
    </row>
    <row r="81" spans="2:6" x14ac:dyDescent="0.3">
      <c r="B81" s="249" t="s">
        <v>92</v>
      </c>
      <c r="C81" s="258"/>
      <c r="D81" s="257">
        <f>D24</f>
        <v>1435000</v>
      </c>
      <c r="E81" s="257">
        <f>E24</f>
        <v>1543999.5052083333</v>
      </c>
      <c r="F81" s="257">
        <f>F24</f>
        <v>1658686.9166666667</v>
      </c>
    </row>
    <row r="82" spans="2:6" x14ac:dyDescent="0.3">
      <c r="B82" s="249" t="s">
        <v>93</v>
      </c>
      <c r="C82" s="258"/>
      <c r="D82" s="257">
        <f>D34</f>
        <v>1435000</v>
      </c>
      <c r="E82" s="257">
        <f>E34</f>
        <v>1489499.7526041667</v>
      </c>
      <c r="F82" s="257">
        <f>F34</f>
        <v>1546843.4583333333</v>
      </c>
    </row>
    <row r="83" spans="2:6" x14ac:dyDescent="0.3">
      <c r="B83" s="249" t="s">
        <v>94</v>
      </c>
      <c r="C83" s="258"/>
      <c r="D83" s="257">
        <f>D44</f>
        <v>1435000</v>
      </c>
      <c r="E83" s="257">
        <f>E44</f>
        <v>1489499.7526041667</v>
      </c>
      <c r="F83" s="257">
        <f>F44</f>
        <v>1546843.4583333333</v>
      </c>
    </row>
    <row r="84" spans="2:6" x14ac:dyDescent="0.3">
      <c r="B84" s="256"/>
      <c r="C84" s="256"/>
      <c r="D84" s="256"/>
      <c r="E84" s="256"/>
      <c r="F84" s="256"/>
    </row>
    <row r="85" spans="2:6" x14ac:dyDescent="0.3">
      <c r="B85" s="251" t="s">
        <v>252</v>
      </c>
      <c r="C85" s="256"/>
      <c r="D85" s="256"/>
      <c r="E85" s="256"/>
      <c r="F85" s="256"/>
    </row>
    <row r="86" spans="2:6" x14ac:dyDescent="0.3">
      <c r="B86" s="250" t="s">
        <v>257</v>
      </c>
      <c r="C86" s="250" t="s">
        <v>251</v>
      </c>
      <c r="D86" s="388" t="s">
        <v>409</v>
      </c>
      <c r="E86" s="255"/>
    </row>
    <row r="87" spans="2:6" x14ac:dyDescent="0.3">
      <c r="B87" s="249" t="s">
        <v>249</v>
      </c>
      <c r="C87" s="248">
        <f>(D80*3+10*E80+3*F80)/16</f>
        <v>1545065.9876302083</v>
      </c>
      <c r="D87" s="248">
        <f>C87*C73</f>
        <v>772532.99381510413</v>
      </c>
      <c r="E87" s="288"/>
      <c r="F87" s="287"/>
    </row>
    <row r="88" spans="2:6" x14ac:dyDescent="0.3">
      <c r="B88" s="249" t="s">
        <v>92</v>
      </c>
      <c r="C88" s="248">
        <f>(D81*3+10*E81+3*F81)/16</f>
        <v>1545065.9876302083</v>
      </c>
      <c r="D88" s="248">
        <f>C88*C74</f>
        <v>309013.19752604165</v>
      </c>
      <c r="E88" s="253"/>
      <c r="F88" s="287"/>
    </row>
    <row r="89" spans="2:6" x14ac:dyDescent="0.3">
      <c r="B89" s="249" t="s">
        <v>93</v>
      </c>
      <c r="C89" s="248">
        <f>(D82*3+10*E82+3*F82)/16</f>
        <v>1490032.9938151042</v>
      </c>
      <c r="D89" s="248">
        <f>C89*C75</f>
        <v>298006.59876302088</v>
      </c>
      <c r="E89" s="253"/>
      <c r="F89" s="287"/>
    </row>
    <row r="90" spans="2:6" x14ac:dyDescent="0.3">
      <c r="B90" s="249" t="s">
        <v>94</v>
      </c>
      <c r="C90" s="248">
        <f>(D83*3+10*E83+3*F83)/16</f>
        <v>1490032.9938151042</v>
      </c>
      <c r="D90" s="248">
        <f>C90*C76</f>
        <v>745016.49690755212</v>
      </c>
      <c r="E90" s="253"/>
      <c r="F90" s="287"/>
    </row>
    <row r="91" spans="2:6" x14ac:dyDescent="0.3">
      <c r="F91" s="287"/>
    </row>
    <row r="92" spans="2:6" x14ac:dyDescent="0.3">
      <c r="B92" s="251" t="s">
        <v>250</v>
      </c>
      <c r="F92" s="287"/>
    </row>
    <row r="93" spans="2:6" x14ac:dyDescent="0.3">
      <c r="B93" s="250" t="s">
        <v>1</v>
      </c>
      <c r="C93" s="250" t="s">
        <v>250</v>
      </c>
      <c r="F93" s="287"/>
    </row>
    <row r="94" spans="2:6" x14ac:dyDescent="0.3">
      <c r="B94" s="249" t="s">
        <v>249</v>
      </c>
      <c r="C94" s="248" t="s">
        <v>248</v>
      </c>
      <c r="F94" s="287"/>
    </row>
    <row r="95" spans="2:6" x14ac:dyDescent="0.3">
      <c r="B95" s="249" t="s">
        <v>92</v>
      </c>
      <c r="C95" s="248">
        <f>$D$87-D88</f>
        <v>463519.79628906248</v>
      </c>
      <c r="F95" s="287"/>
    </row>
    <row r="96" spans="2:6" x14ac:dyDescent="0.3">
      <c r="B96" s="249" t="s">
        <v>93</v>
      </c>
      <c r="C96" s="248">
        <f>$D$87-D89</f>
        <v>474526.39505208324</v>
      </c>
      <c r="F96" s="287"/>
    </row>
    <row r="97" spans="2:6" x14ac:dyDescent="0.3">
      <c r="B97" s="249" t="s">
        <v>94</v>
      </c>
      <c r="C97" s="248">
        <f>$D$87-D90</f>
        <v>27516.496907552006</v>
      </c>
      <c r="F97" s="247"/>
    </row>
  </sheetData>
  <mergeCells count="7">
    <mergeCell ref="G41:G42"/>
    <mergeCell ref="D18:F18"/>
    <mergeCell ref="D28:F28"/>
    <mergeCell ref="D38:F38"/>
    <mergeCell ref="G11:G12"/>
    <mergeCell ref="G21:G22"/>
    <mergeCell ref="G31:G3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F901-8756-425D-AC71-462EA686788D}">
  <sheetPr codeName="Sheet24">
    <tabColor theme="3"/>
  </sheetPr>
  <dimension ref="A1"/>
  <sheetViews>
    <sheetView showGridLines="0" zoomScaleNormal="100" workbookViewId="0">
      <selection activeCell="E39" sqref="E39"/>
    </sheetView>
  </sheetViews>
  <sheetFormatPr defaultColWidth="8" defaultRowHeight="14.5" x14ac:dyDescent="0.35"/>
  <cols>
    <col min="1" max="16384" width="8" style="244"/>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0E81-BD99-4E4D-A5FA-3ED135A2C4B2}">
  <sheetPr codeName="Sheet25"/>
  <dimension ref="A1:P109"/>
  <sheetViews>
    <sheetView showGridLines="0" zoomScale="85" zoomScaleNormal="85" workbookViewId="0">
      <selection activeCell="D28" sqref="D28"/>
    </sheetView>
  </sheetViews>
  <sheetFormatPr defaultColWidth="7.84375" defaultRowHeight="12.5" x14ac:dyDescent="0.25"/>
  <cols>
    <col min="1" max="1" width="2.765625" style="256" customWidth="1"/>
    <col min="2" max="2" width="48.765625" style="256" customWidth="1"/>
    <col min="3" max="3" width="44.23046875" style="256" bestFit="1" customWidth="1"/>
    <col min="4" max="4" width="17.3828125" style="256" bestFit="1" customWidth="1"/>
    <col min="5" max="5" width="50" style="280" customWidth="1"/>
    <col min="6" max="6" width="7.84375" style="256"/>
    <col min="7" max="9" width="31.23046875" style="256" customWidth="1"/>
    <col min="10" max="16384" width="7.84375" style="256"/>
  </cols>
  <sheetData>
    <row r="1" spans="1:16" customFormat="1" ht="18.5" x14ac:dyDescent="0.45">
      <c r="A1" s="14" t="str">
        <f>bus</f>
        <v>United Energy</v>
      </c>
      <c r="B1" s="14"/>
      <c r="C1" s="14"/>
      <c r="D1" s="42"/>
      <c r="E1" s="14"/>
      <c r="F1" s="14"/>
      <c r="G1" s="14"/>
      <c r="H1" s="14"/>
      <c r="I1" s="14"/>
      <c r="J1" s="14"/>
      <c r="K1" s="14"/>
      <c r="L1" s="14"/>
      <c r="M1" s="14"/>
      <c r="N1" s="14"/>
      <c r="O1" s="14"/>
      <c r="P1" s="14"/>
    </row>
    <row r="2" spans="1:16" customFormat="1" ht="18.5" x14ac:dyDescent="0.45">
      <c r="A2" s="54" t="str">
        <f>proj</f>
        <v>Infrastructure refresh risk</v>
      </c>
      <c r="B2" s="14"/>
      <c r="C2" s="14"/>
      <c r="D2" s="42"/>
      <c r="E2" s="14"/>
      <c r="F2" s="14"/>
      <c r="G2" s="14"/>
      <c r="H2" s="14"/>
      <c r="I2" s="14"/>
      <c r="J2" s="14"/>
      <c r="K2" s="14"/>
      <c r="L2" s="14"/>
      <c r="M2" s="14"/>
      <c r="N2" s="14"/>
      <c r="O2" s="14"/>
      <c r="P2" s="14"/>
    </row>
    <row r="4" spans="1:16" s="323" customFormat="1" ht="13" x14ac:dyDescent="0.3">
      <c r="B4" s="323" t="s">
        <v>219</v>
      </c>
      <c r="E4" s="324"/>
    </row>
    <row r="5" spans="1:16" ht="13" x14ac:dyDescent="0.3">
      <c r="A5" s="308"/>
      <c r="B5" s="308"/>
      <c r="C5" s="308"/>
      <c r="D5" s="308"/>
    </row>
    <row r="6" spans="1:16" ht="14" x14ac:dyDescent="0.3">
      <c r="B6" s="279" t="str">
        <f>Assumptions!$C$14&amp;" - "&amp;Assumptions!$E$14</f>
        <v>Option 1 (base case) - Maintain status quo</v>
      </c>
      <c r="C6" s="318"/>
      <c r="D6" s="317"/>
      <c r="E6" s="316"/>
      <c r="G6" s="261"/>
      <c r="H6" s="261"/>
      <c r="I6" s="261"/>
    </row>
    <row r="7" spans="1:16" x14ac:dyDescent="0.25">
      <c r="G7" s="261"/>
      <c r="H7" s="261"/>
      <c r="I7" s="261"/>
    </row>
    <row r="8" spans="1:16" x14ac:dyDescent="0.25">
      <c r="D8" s="261"/>
      <c r="G8" s="261"/>
      <c r="H8" s="261"/>
      <c r="I8" s="261"/>
    </row>
    <row r="9" spans="1:16" ht="13" x14ac:dyDescent="0.3">
      <c r="B9" s="276" t="s">
        <v>275</v>
      </c>
      <c r="C9" s="276" t="s">
        <v>274</v>
      </c>
      <c r="D9" s="322" t="s">
        <v>276</v>
      </c>
      <c r="E9" s="314" t="s">
        <v>272</v>
      </c>
      <c r="G9" s="261"/>
      <c r="H9" s="261"/>
      <c r="I9" s="261"/>
    </row>
    <row r="10" spans="1:16" x14ac:dyDescent="0.25">
      <c r="B10" s="269" t="s">
        <v>321</v>
      </c>
      <c r="C10" s="269" t="s">
        <v>266</v>
      </c>
      <c r="D10" s="300">
        <v>12</v>
      </c>
      <c r="E10" s="267" t="s">
        <v>328</v>
      </c>
      <c r="G10" s="261"/>
      <c r="H10" s="261"/>
      <c r="I10" s="261"/>
    </row>
    <row r="11" spans="1:16" x14ac:dyDescent="0.25">
      <c r="B11" s="269" t="s">
        <v>268</v>
      </c>
      <c r="C11" s="269" t="s">
        <v>288</v>
      </c>
      <c r="D11" s="298">
        <f>'General risk inputs'!$E$46</f>
        <v>12.144791666666666</v>
      </c>
      <c r="E11" s="267" t="s">
        <v>319</v>
      </c>
      <c r="G11" s="261"/>
      <c r="H11" s="261"/>
      <c r="I11" s="261"/>
    </row>
    <row r="12" spans="1:16" x14ac:dyDescent="0.25">
      <c r="B12" s="269" t="s">
        <v>318</v>
      </c>
      <c r="C12" s="269"/>
      <c r="D12" s="271">
        <f>'General risk inputs'!$D$17</f>
        <v>1289</v>
      </c>
      <c r="E12" s="267" t="s">
        <v>262</v>
      </c>
      <c r="G12" s="261"/>
      <c r="H12" s="261"/>
      <c r="I12" s="261"/>
    </row>
    <row r="13" spans="1:16" ht="37.5" x14ac:dyDescent="0.25">
      <c r="B13" s="269" t="s">
        <v>317</v>
      </c>
      <c r="C13" s="269" t="s">
        <v>315</v>
      </c>
      <c r="D13" s="313">
        <v>0.7</v>
      </c>
      <c r="E13" s="284" t="s">
        <v>327</v>
      </c>
      <c r="G13" s="261"/>
      <c r="H13" s="261"/>
      <c r="I13" s="261"/>
    </row>
    <row r="14" spans="1:16" ht="37.5" x14ac:dyDescent="0.25">
      <c r="B14" s="269" t="s">
        <v>316</v>
      </c>
      <c r="C14" s="269" t="s">
        <v>315</v>
      </c>
      <c r="D14" s="313">
        <v>0.8</v>
      </c>
      <c r="E14" s="284" t="s">
        <v>326</v>
      </c>
      <c r="G14" s="261"/>
      <c r="H14" s="261"/>
      <c r="I14" s="261"/>
    </row>
    <row r="15" spans="1:16" x14ac:dyDescent="0.25">
      <c r="B15" s="269" t="s">
        <v>313</v>
      </c>
      <c r="C15" s="269" t="s">
        <v>266</v>
      </c>
      <c r="D15" s="298">
        <f>D12*D13*D14</f>
        <v>721.84</v>
      </c>
      <c r="E15" s="284" t="s">
        <v>52</v>
      </c>
      <c r="G15" s="261"/>
      <c r="H15" s="312"/>
      <c r="I15" s="261"/>
    </row>
    <row r="16" spans="1:16" x14ac:dyDescent="0.25">
      <c r="B16" s="269" t="s">
        <v>312</v>
      </c>
      <c r="C16" s="269" t="s">
        <v>307</v>
      </c>
      <c r="D16" s="271">
        <f>'General risk inputs'!$D$9</f>
        <v>145.78</v>
      </c>
      <c r="E16" s="267" t="s">
        <v>262</v>
      </c>
      <c r="G16" s="261"/>
      <c r="H16" s="312"/>
      <c r="I16" s="261"/>
    </row>
    <row r="17" spans="2:9" ht="25" x14ac:dyDescent="0.25">
      <c r="B17" s="269" t="s">
        <v>311</v>
      </c>
      <c r="C17" s="269" t="s">
        <v>266</v>
      </c>
      <c r="D17" s="298">
        <v>30</v>
      </c>
      <c r="E17" s="284" t="s">
        <v>324</v>
      </c>
      <c r="G17" s="321"/>
      <c r="H17" s="312"/>
      <c r="I17" s="261"/>
    </row>
    <row r="18" spans="2:9" ht="25" x14ac:dyDescent="0.25">
      <c r="B18" s="269" t="s">
        <v>310</v>
      </c>
      <c r="C18" s="269" t="s">
        <v>288</v>
      </c>
      <c r="D18" s="274">
        <v>40</v>
      </c>
      <c r="E18" s="284" t="s">
        <v>323</v>
      </c>
      <c r="G18" s="312"/>
      <c r="H18" s="312"/>
      <c r="I18" s="261"/>
    </row>
    <row r="19" spans="2:9" x14ac:dyDescent="0.25">
      <c r="B19" s="269" t="s">
        <v>308</v>
      </c>
      <c r="C19" s="269" t="s">
        <v>307</v>
      </c>
      <c r="D19" s="271">
        <f>'General risk inputs'!$D$14</f>
        <v>225</v>
      </c>
      <c r="E19" s="267" t="s">
        <v>262</v>
      </c>
      <c r="G19" s="261"/>
      <c r="H19" s="261"/>
      <c r="I19" s="261"/>
    </row>
    <row r="20" spans="2:9" x14ac:dyDescent="0.25">
      <c r="B20" s="269" t="s">
        <v>306</v>
      </c>
      <c r="C20" s="269" t="s">
        <v>81</v>
      </c>
      <c r="D20" s="297">
        <v>0</v>
      </c>
      <c r="E20" s="284" t="s">
        <v>305</v>
      </c>
      <c r="G20" s="261"/>
      <c r="H20" s="261"/>
      <c r="I20" s="261"/>
    </row>
    <row r="21" spans="2:9" x14ac:dyDescent="0.25">
      <c r="G21" s="261"/>
      <c r="H21" s="261"/>
      <c r="I21" s="261"/>
    </row>
    <row r="22" spans="2:9" ht="14" x14ac:dyDescent="0.3">
      <c r="B22" s="279" t="str">
        <f>Assumptions!$C$15&amp;" - "&amp;Assumptions!$E$15</f>
        <v>Option 2 - Maintain existing infrastructure with more frequent upgrades</v>
      </c>
      <c r="C22" s="318"/>
      <c r="D22" s="317"/>
      <c r="E22" s="316"/>
      <c r="G22" s="261"/>
      <c r="H22" s="261"/>
      <c r="I22" s="261"/>
    </row>
    <row r="23" spans="2:9" x14ac:dyDescent="0.25">
      <c r="G23" s="261"/>
      <c r="H23" s="261"/>
      <c r="I23" s="261"/>
    </row>
    <row r="24" spans="2:9" x14ac:dyDescent="0.25">
      <c r="D24" s="261"/>
      <c r="G24" s="261"/>
      <c r="H24" s="261"/>
      <c r="I24" s="261"/>
    </row>
    <row r="25" spans="2:9" ht="13" x14ac:dyDescent="0.3">
      <c r="B25" s="276" t="s">
        <v>275</v>
      </c>
      <c r="C25" s="276" t="s">
        <v>274</v>
      </c>
      <c r="D25" s="315" t="s">
        <v>276</v>
      </c>
      <c r="E25" s="314" t="s">
        <v>272</v>
      </c>
      <c r="G25" s="261"/>
      <c r="H25" s="261"/>
      <c r="I25" s="261"/>
    </row>
    <row r="26" spans="2:9" ht="25" x14ac:dyDescent="0.25">
      <c r="B26" s="269" t="s">
        <v>321</v>
      </c>
      <c r="C26" s="269" t="s">
        <v>266</v>
      </c>
      <c r="D26" s="274">
        <v>4</v>
      </c>
      <c r="E26" s="284" t="s">
        <v>325</v>
      </c>
      <c r="G26" s="261"/>
      <c r="H26" s="261"/>
      <c r="I26" s="261"/>
    </row>
    <row r="27" spans="2:9" x14ac:dyDescent="0.25">
      <c r="B27" s="270" t="s">
        <v>268</v>
      </c>
      <c r="C27" s="269" t="s">
        <v>288</v>
      </c>
      <c r="D27" s="298">
        <f>'General risk inputs'!$E$46</f>
        <v>12.144791666666666</v>
      </c>
      <c r="E27" s="267" t="s">
        <v>319</v>
      </c>
      <c r="G27" s="261"/>
      <c r="H27" s="261"/>
      <c r="I27" s="261"/>
    </row>
    <row r="28" spans="2:9" x14ac:dyDescent="0.25">
      <c r="B28" s="269" t="s">
        <v>318</v>
      </c>
      <c r="C28" s="269"/>
      <c r="D28" s="271">
        <f>'General risk inputs'!$D$17</f>
        <v>1289</v>
      </c>
      <c r="E28" s="267" t="s">
        <v>262</v>
      </c>
      <c r="G28" s="261"/>
      <c r="H28" s="261"/>
      <c r="I28" s="261"/>
    </row>
    <row r="29" spans="2:9" x14ac:dyDescent="0.25">
      <c r="B29" s="269" t="s">
        <v>317</v>
      </c>
      <c r="C29" s="269" t="s">
        <v>315</v>
      </c>
      <c r="D29" s="313">
        <v>0.7</v>
      </c>
      <c r="E29" s="284" t="s">
        <v>314</v>
      </c>
      <c r="G29" s="261"/>
      <c r="H29" s="261"/>
      <c r="I29" s="261"/>
    </row>
    <row r="30" spans="2:9" x14ac:dyDescent="0.25">
      <c r="B30" s="269" t="s">
        <v>316</v>
      </c>
      <c r="C30" s="269" t="s">
        <v>315</v>
      </c>
      <c r="D30" s="313">
        <v>0.8</v>
      </c>
      <c r="E30" s="284" t="s">
        <v>314</v>
      </c>
      <c r="G30" s="261"/>
      <c r="H30" s="261"/>
      <c r="I30" s="261"/>
    </row>
    <row r="31" spans="2:9" x14ac:dyDescent="0.25">
      <c r="B31" s="269" t="s">
        <v>313</v>
      </c>
      <c r="C31" s="269" t="s">
        <v>266</v>
      </c>
      <c r="D31" s="298">
        <f>D28*D29*D30</f>
        <v>721.84</v>
      </c>
      <c r="E31" s="284" t="s">
        <v>52</v>
      </c>
      <c r="G31" s="261"/>
      <c r="H31" s="312"/>
      <c r="I31" s="261"/>
    </row>
    <row r="32" spans="2:9" x14ac:dyDescent="0.25">
      <c r="B32" s="269" t="s">
        <v>312</v>
      </c>
      <c r="C32" s="269" t="s">
        <v>307</v>
      </c>
      <c r="D32" s="271">
        <f>'General risk inputs'!$D$9</f>
        <v>145.78</v>
      </c>
      <c r="E32" s="267" t="s">
        <v>262</v>
      </c>
      <c r="G32" s="261"/>
      <c r="H32" s="261"/>
      <c r="I32" s="261"/>
    </row>
    <row r="33" spans="2:9" ht="25" x14ac:dyDescent="0.25">
      <c r="B33" s="269" t="s">
        <v>311</v>
      </c>
      <c r="C33" s="269" t="s">
        <v>266</v>
      </c>
      <c r="D33" s="298">
        <v>30</v>
      </c>
      <c r="E33" s="284" t="s">
        <v>324</v>
      </c>
      <c r="G33" s="321"/>
      <c r="H33" s="261"/>
      <c r="I33" s="261"/>
    </row>
    <row r="34" spans="2:9" ht="25" x14ac:dyDescent="0.25">
      <c r="B34" s="269" t="s">
        <v>310</v>
      </c>
      <c r="C34" s="269" t="s">
        <v>288</v>
      </c>
      <c r="D34" s="320">
        <v>40</v>
      </c>
      <c r="E34" s="284" t="s">
        <v>323</v>
      </c>
      <c r="G34" s="261"/>
      <c r="H34" s="261"/>
      <c r="I34" s="261"/>
    </row>
    <row r="35" spans="2:9" x14ac:dyDescent="0.25">
      <c r="B35" s="269" t="s">
        <v>308</v>
      </c>
      <c r="C35" s="269" t="s">
        <v>307</v>
      </c>
      <c r="D35" s="271">
        <f>'General risk inputs'!$D$14</f>
        <v>225</v>
      </c>
      <c r="E35" s="267" t="s">
        <v>262</v>
      </c>
      <c r="G35" s="261"/>
      <c r="H35" s="261"/>
      <c r="I35" s="261"/>
    </row>
    <row r="36" spans="2:9" x14ac:dyDescent="0.25">
      <c r="B36" s="269" t="s">
        <v>306</v>
      </c>
      <c r="C36" s="269" t="s">
        <v>81</v>
      </c>
      <c r="D36" s="297">
        <v>0</v>
      </c>
      <c r="E36" s="284" t="s">
        <v>305</v>
      </c>
      <c r="G36" s="261"/>
      <c r="H36" s="261"/>
      <c r="I36" s="261"/>
    </row>
    <row r="37" spans="2:9" x14ac:dyDescent="0.25">
      <c r="B37" s="281"/>
      <c r="C37" s="281"/>
      <c r="D37" s="319"/>
      <c r="G37" s="261"/>
      <c r="H37" s="261"/>
      <c r="I37" s="261"/>
    </row>
    <row r="38" spans="2:9" ht="14" x14ac:dyDescent="0.3">
      <c r="B38" s="279" t="str">
        <f>Assumptions!$C$16&amp;" - "&amp;Assumptions!$E$16</f>
        <v>Option 3 - Criteria-based IT infrastructure refresh</v>
      </c>
      <c r="C38" s="318"/>
      <c r="D38" s="317"/>
      <c r="E38" s="316"/>
      <c r="G38" s="261"/>
      <c r="H38" s="261"/>
      <c r="I38" s="261"/>
    </row>
    <row r="39" spans="2:9" x14ac:dyDescent="0.25">
      <c r="G39" s="261"/>
      <c r="H39" s="261"/>
      <c r="I39" s="261"/>
    </row>
    <row r="40" spans="2:9" x14ac:dyDescent="0.25">
      <c r="D40" s="261"/>
      <c r="G40" s="261"/>
      <c r="H40" s="261"/>
      <c r="I40" s="261"/>
    </row>
    <row r="41" spans="2:9" ht="13" x14ac:dyDescent="0.3">
      <c r="B41" s="276" t="s">
        <v>275</v>
      </c>
      <c r="C41" s="276" t="s">
        <v>274</v>
      </c>
      <c r="D41" s="315" t="s">
        <v>276</v>
      </c>
      <c r="E41" s="314" t="s">
        <v>272</v>
      </c>
      <c r="G41" s="261"/>
      <c r="H41" s="261"/>
      <c r="I41" s="261"/>
    </row>
    <row r="42" spans="2:9" ht="25" x14ac:dyDescent="0.25">
      <c r="B42" s="269" t="s">
        <v>321</v>
      </c>
      <c r="C42" s="269" t="s">
        <v>266</v>
      </c>
      <c r="D42" s="274">
        <v>4</v>
      </c>
      <c r="E42" s="284" t="s">
        <v>322</v>
      </c>
      <c r="G42" s="261"/>
      <c r="H42" s="261"/>
      <c r="I42" s="261"/>
    </row>
    <row r="43" spans="2:9" x14ac:dyDescent="0.25">
      <c r="B43" s="270" t="s">
        <v>268</v>
      </c>
      <c r="C43" s="269" t="s">
        <v>288</v>
      </c>
      <c r="D43" s="298">
        <f>'General risk inputs'!$E$46</f>
        <v>12.144791666666666</v>
      </c>
      <c r="E43" s="267" t="s">
        <v>319</v>
      </c>
      <c r="G43" s="261"/>
      <c r="H43" s="261"/>
      <c r="I43" s="261"/>
    </row>
    <row r="44" spans="2:9" x14ac:dyDescent="0.25">
      <c r="B44" s="269" t="s">
        <v>318</v>
      </c>
      <c r="C44" s="269"/>
      <c r="D44" s="271">
        <f>'General risk inputs'!$D$17</f>
        <v>1289</v>
      </c>
      <c r="E44" s="267" t="s">
        <v>262</v>
      </c>
      <c r="G44" s="261"/>
      <c r="H44" s="261"/>
      <c r="I44" s="261"/>
    </row>
    <row r="45" spans="2:9" x14ac:dyDescent="0.25">
      <c r="B45" s="269" t="s">
        <v>317</v>
      </c>
      <c r="C45" s="269" t="s">
        <v>315</v>
      </c>
      <c r="D45" s="313">
        <v>0.7</v>
      </c>
      <c r="E45" s="284" t="s">
        <v>314</v>
      </c>
      <c r="G45" s="261"/>
      <c r="H45" s="261"/>
      <c r="I45" s="261"/>
    </row>
    <row r="46" spans="2:9" x14ac:dyDescent="0.25">
      <c r="B46" s="269" t="s">
        <v>316</v>
      </c>
      <c r="C46" s="269" t="s">
        <v>315</v>
      </c>
      <c r="D46" s="313">
        <v>0.8</v>
      </c>
      <c r="E46" s="284" t="s">
        <v>314</v>
      </c>
      <c r="G46" s="261"/>
      <c r="H46" s="261"/>
      <c r="I46" s="261"/>
    </row>
    <row r="47" spans="2:9" x14ac:dyDescent="0.25">
      <c r="B47" s="269" t="s">
        <v>313</v>
      </c>
      <c r="C47" s="269" t="s">
        <v>266</v>
      </c>
      <c r="D47" s="298">
        <f>D44*D45*D46</f>
        <v>721.84</v>
      </c>
      <c r="E47" s="284" t="s">
        <v>52</v>
      </c>
      <c r="G47" s="261"/>
      <c r="H47" s="312"/>
      <c r="I47" s="261"/>
    </row>
    <row r="48" spans="2:9" x14ac:dyDescent="0.25">
      <c r="B48" s="269" t="s">
        <v>312</v>
      </c>
      <c r="C48" s="269" t="s">
        <v>307</v>
      </c>
      <c r="D48" s="271">
        <f>'General risk inputs'!$D$9</f>
        <v>145.78</v>
      </c>
      <c r="E48" s="267" t="s">
        <v>262</v>
      </c>
      <c r="G48" s="261"/>
      <c r="H48" s="261"/>
      <c r="I48" s="261"/>
    </row>
    <row r="49" spans="2:9" ht="25" x14ac:dyDescent="0.25">
      <c r="B49" s="269" t="s">
        <v>311</v>
      </c>
      <c r="C49" s="269" t="s">
        <v>266</v>
      </c>
      <c r="D49" s="298">
        <v>30</v>
      </c>
      <c r="E49" s="284" t="s">
        <v>324</v>
      </c>
      <c r="G49" s="261"/>
      <c r="H49" s="261"/>
      <c r="I49" s="261"/>
    </row>
    <row r="50" spans="2:9" ht="37.5" x14ac:dyDescent="0.25">
      <c r="B50" s="269" t="s">
        <v>310</v>
      </c>
      <c r="C50" s="269" t="s">
        <v>288</v>
      </c>
      <c r="D50" s="274">
        <v>20</v>
      </c>
      <c r="E50" s="284" t="s">
        <v>309</v>
      </c>
      <c r="G50" s="261"/>
      <c r="H50" s="261"/>
      <c r="I50" s="261"/>
    </row>
    <row r="51" spans="2:9" x14ac:dyDescent="0.25">
      <c r="B51" s="269" t="s">
        <v>308</v>
      </c>
      <c r="C51" s="269" t="s">
        <v>307</v>
      </c>
      <c r="D51" s="271">
        <f>'General risk inputs'!$D$14</f>
        <v>225</v>
      </c>
      <c r="E51" s="267" t="s">
        <v>262</v>
      </c>
      <c r="G51" s="261"/>
      <c r="H51" s="261"/>
      <c r="I51" s="261"/>
    </row>
    <row r="52" spans="2:9" x14ac:dyDescent="0.25">
      <c r="B52" s="269" t="s">
        <v>306</v>
      </c>
      <c r="C52" s="269" t="s">
        <v>81</v>
      </c>
      <c r="D52" s="297">
        <v>0</v>
      </c>
      <c r="E52" s="284" t="s">
        <v>305</v>
      </c>
      <c r="G52" s="261"/>
      <c r="H52" s="261"/>
      <c r="I52" s="261"/>
    </row>
    <row r="53" spans="2:9" x14ac:dyDescent="0.25">
      <c r="B53" s="281"/>
      <c r="C53" s="281"/>
      <c r="D53" s="319"/>
      <c r="G53" s="261"/>
      <c r="H53" s="261"/>
      <c r="I53" s="261"/>
    </row>
    <row r="54" spans="2:9" ht="14" x14ac:dyDescent="0.3">
      <c r="B54" s="279" t="str">
        <f>Assumptions!$C$17&amp;" - "&amp;Assumptions!$E$17</f>
        <v>Option 4 - Public cloud infrastructure refresh</v>
      </c>
      <c r="C54" s="318"/>
      <c r="D54" s="317"/>
      <c r="E54" s="316"/>
      <c r="G54" s="261"/>
      <c r="H54" s="261"/>
      <c r="I54" s="261"/>
    </row>
    <row r="55" spans="2:9" x14ac:dyDescent="0.25">
      <c r="G55" s="261"/>
      <c r="H55" s="261"/>
      <c r="I55" s="261"/>
    </row>
    <row r="56" spans="2:9" x14ac:dyDescent="0.25">
      <c r="D56" s="261"/>
      <c r="G56" s="261"/>
      <c r="H56" s="261"/>
      <c r="I56" s="261"/>
    </row>
    <row r="57" spans="2:9" ht="13" x14ac:dyDescent="0.3">
      <c r="B57" s="276" t="s">
        <v>275</v>
      </c>
      <c r="C57" s="276" t="s">
        <v>274</v>
      </c>
      <c r="D57" s="315" t="s">
        <v>276</v>
      </c>
      <c r="E57" s="314" t="s">
        <v>272</v>
      </c>
      <c r="G57" s="261"/>
      <c r="H57" s="261"/>
      <c r="I57" s="261"/>
    </row>
    <row r="58" spans="2:9" ht="25" x14ac:dyDescent="0.25">
      <c r="B58" s="269" t="s">
        <v>321</v>
      </c>
      <c r="C58" s="269" t="s">
        <v>266</v>
      </c>
      <c r="D58" s="274">
        <v>4</v>
      </c>
      <c r="E58" s="284" t="s">
        <v>320</v>
      </c>
      <c r="G58" s="261"/>
      <c r="H58" s="261"/>
      <c r="I58" s="261"/>
    </row>
    <row r="59" spans="2:9" x14ac:dyDescent="0.25">
      <c r="B59" s="270" t="s">
        <v>268</v>
      </c>
      <c r="C59" s="269" t="s">
        <v>288</v>
      </c>
      <c r="D59" s="298">
        <f>'General risk inputs'!$E$46</f>
        <v>12.144791666666666</v>
      </c>
      <c r="E59" s="267" t="s">
        <v>319</v>
      </c>
      <c r="G59" s="261"/>
      <c r="H59" s="261"/>
      <c r="I59" s="261"/>
    </row>
    <row r="60" spans="2:9" x14ac:dyDescent="0.25">
      <c r="B60" s="269" t="s">
        <v>318</v>
      </c>
      <c r="C60" s="269"/>
      <c r="D60" s="271">
        <f>'General risk inputs'!$D$17</f>
        <v>1289</v>
      </c>
      <c r="E60" s="267" t="s">
        <v>262</v>
      </c>
      <c r="G60" s="261"/>
      <c r="H60" s="261"/>
      <c r="I60" s="261"/>
    </row>
    <row r="61" spans="2:9" x14ac:dyDescent="0.25">
      <c r="B61" s="269" t="s">
        <v>317</v>
      </c>
      <c r="C61" s="269" t="s">
        <v>315</v>
      </c>
      <c r="D61" s="313">
        <v>0.7</v>
      </c>
      <c r="E61" s="284" t="s">
        <v>314</v>
      </c>
      <c r="G61" s="261"/>
      <c r="H61" s="261"/>
      <c r="I61" s="261"/>
    </row>
    <row r="62" spans="2:9" x14ac:dyDescent="0.25">
      <c r="B62" s="269" t="s">
        <v>316</v>
      </c>
      <c r="C62" s="269" t="s">
        <v>315</v>
      </c>
      <c r="D62" s="313">
        <v>0.8</v>
      </c>
      <c r="E62" s="284" t="s">
        <v>314</v>
      </c>
      <c r="G62" s="261"/>
      <c r="H62" s="261"/>
      <c r="I62" s="261"/>
    </row>
    <row r="63" spans="2:9" x14ac:dyDescent="0.25">
      <c r="B63" s="269" t="s">
        <v>313</v>
      </c>
      <c r="C63" s="269" t="s">
        <v>266</v>
      </c>
      <c r="D63" s="298">
        <f>D60*D61*D62</f>
        <v>721.84</v>
      </c>
      <c r="E63" s="284" t="s">
        <v>52</v>
      </c>
      <c r="G63" s="261"/>
      <c r="H63" s="312"/>
      <c r="I63" s="261"/>
    </row>
    <row r="64" spans="2:9" x14ac:dyDescent="0.25">
      <c r="B64" s="269" t="s">
        <v>312</v>
      </c>
      <c r="C64" s="269" t="s">
        <v>307</v>
      </c>
      <c r="D64" s="271">
        <f>'General risk inputs'!$D$9</f>
        <v>145.78</v>
      </c>
      <c r="E64" s="267" t="s">
        <v>262</v>
      </c>
      <c r="G64" s="261"/>
      <c r="H64" s="261"/>
      <c r="I64" s="261"/>
    </row>
    <row r="65" spans="1:9" ht="25.5" x14ac:dyDescent="0.3">
      <c r="A65" s="308"/>
      <c r="B65" s="269" t="s">
        <v>311</v>
      </c>
      <c r="C65" s="269" t="s">
        <v>266</v>
      </c>
      <c r="D65" s="298">
        <v>30</v>
      </c>
      <c r="E65" s="284" t="s">
        <v>324</v>
      </c>
      <c r="G65" s="261"/>
      <c r="H65" s="261"/>
      <c r="I65" s="261"/>
    </row>
    <row r="66" spans="1:9" ht="37.5" x14ac:dyDescent="0.25">
      <c r="B66" s="269" t="s">
        <v>310</v>
      </c>
      <c r="C66" s="269" t="s">
        <v>288</v>
      </c>
      <c r="D66" s="274">
        <v>20</v>
      </c>
      <c r="E66" s="284" t="s">
        <v>309</v>
      </c>
      <c r="G66" s="261"/>
      <c r="H66" s="261"/>
      <c r="I66" s="261"/>
    </row>
    <row r="67" spans="1:9" x14ac:dyDescent="0.25">
      <c r="B67" s="269" t="s">
        <v>308</v>
      </c>
      <c r="C67" s="269" t="s">
        <v>307</v>
      </c>
      <c r="D67" s="271">
        <f>'General risk inputs'!$D$14</f>
        <v>225</v>
      </c>
      <c r="E67" s="267" t="s">
        <v>262</v>
      </c>
      <c r="G67" s="261"/>
      <c r="H67" s="261"/>
      <c r="I67" s="261"/>
    </row>
    <row r="68" spans="1:9" x14ac:dyDescent="0.25">
      <c r="B68" s="269" t="s">
        <v>306</v>
      </c>
      <c r="C68" s="269" t="s">
        <v>81</v>
      </c>
      <c r="D68" s="297">
        <v>0</v>
      </c>
      <c r="E68" s="284" t="s">
        <v>305</v>
      </c>
      <c r="G68" s="261"/>
      <c r="H68" s="261"/>
      <c r="I68" s="261"/>
    </row>
    <row r="69" spans="1:9" x14ac:dyDescent="0.25">
      <c r="G69" s="261"/>
      <c r="H69" s="261"/>
      <c r="I69" s="261"/>
    </row>
    <row r="70" spans="1:9" x14ac:dyDescent="0.25">
      <c r="G70" s="261"/>
      <c r="H70" s="261"/>
      <c r="I70" s="261"/>
    </row>
    <row r="71" spans="1:9" x14ac:dyDescent="0.25">
      <c r="G71" s="261"/>
      <c r="H71" s="261"/>
      <c r="I71" s="261"/>
    </row>
    <row r="72" spans="1:9" x14ac:dyDescent="0.25">
      <c r="G72" s="261"/>
      <c r="H72" s="261"/>
      <c r="I72" s="261"/>
    </row>
    <row r="73" spans="1:9" x14ac:dyDescent="0.25">
      <c r="G73" s="261"/>
      <c r="H73" s="261"/>
      <c r="I73" s="261"/>
    </row>
    <row r="74" spans="1:9" x14ac:dyDescent="0.25">
      <c r="G74" s="261"/>
      <c r="H74" s="261"/>
      <c r="I74" s="261"/>
    </row>
    <row r="75" spans="1:9" x14ac:dyDescent="0.25">
      <c r="G75" s="261"/>
      <c r="H75" s="261"/>
      <c r="I75" s="261"/>
    </row>
    <row r="76" spans="1:9" x14ac:dyDescent="0.25">
      <c r="G76" s="261"/>
      <c r="H76" s="261"/>
      <c r="I76" s="261"/>
    </row>
    <row r="77" spans="1:9" x14ac:dyDescent="0.25">
      <c r="G77" s="261"/>
      <c r="H77" s="261"/>
      <c r="I77" s="261"/>
    </row>
    <row r="81" spans="1:7" ht="13" x14ac:dyDescent="0.3">
      <c r="B81" s="311" t="s">
        <v>261</v>
      </c>
      <c r="C81" s="310"/>
      <c r="D81" s="310"/>
      <c r="E81" s="309"/>
    </row>
    <row r="82" spans="1:7" ht="13" x14ac:dyDescent="0.3">
      <c r="A82" s="308"/>
      <c r="B82" s="261"/>
      <c r="C82" s="261"/>
      <c r="D82" s="261"/>
      <c r="E82" s="305"/>
      <c r="F82" s="261"/>
      <c r="G82" s="308"/>
    </row>
    <row r="83" spans="1:7" ht="13" x14ac:dyDescent="0.3">
      <c r="A83" s="308"/>
      <c r="B83" s="262" t="s">
        <v>260</v>
      </c>
      <c r="C83" s="261"/>
      <c r="D83" s="261"/>
      <c r="E83" s="305"/>
      <c r="F83" s="261"/>
      <c r="G83" s="308"/>
    </row>
    <row r="84" spans="1:7" ht="13" x14ac:dyDescent="0.3">
      <c r="A84" s="308"/>
      <c r="B84" s="250" t="s">
        <v>1</v>
      </c>
      <c r="C84" s="250" t="s">
        <v>259</v>
      </c>
      <c r="D84" s="250" t="s">
        <v>258</v>
      </c>
      <c r="E84" s="305"/>
      <c r="F84" s="261"/>
      <c r="G84" s="308"/>
    </row>
    <row r="85" spans="1:7" ht="13" x14ac:dyDescent="0.3">
      <c r="A85" s="308"/>
      <c r="B85" s="249" t="s">
        <v>249</v>
      </c>
      <c r="C85" s="263">
        <f>D10</f>
        <v>12</v>
      </c>
      <c r="D85" s="249" t="str">
        <f>INDEX(Likelihood,MATCH(C85,'General risk inputs'!$D$54:$D$59,0))</f>
        <v>Monthly</v>
      </c>
      <c r="E85" s="305"/>
      <c r="F85" s="261"/>
      <c r="G85" s="308"/>
    </row>
    <row r="86" spans="1:7" ht="13" x14ac:dyDescent="0.3">
      <c r="A86" s="308"/>
      <c r="B86" s="249" t="s">
        <v>92</v>
      </c>
      <c r="C86" s="263">
        <f>D26</f>
        <v>4</v>
      </c>
      <c r="D86" s="249" t="s">
        <v>428</v>
      </c>
      <c r="E86" s="305"/>
      <c r="F86" s="261"/>
    </row>
    <row r="87" spans="1:7" ht="13" x14ac:dyDescent="0.3">
      <c r="A87" s="308"/>
      <c r="B87" s="249" t="s">
        <v>93</v>
      </c>
      <c r="C87" s="263">
        <f>D42</f>
        <v>4</v>
      </c>
      <c r="D87" s="249" t="s">
        <v>428</v>
      </c>
      <c r="E87" s="305"/>
      <c r="F87" s="261"/>
      <c r="G87" s="308"/>
    </row>
    <row r="88" spans="1:7" ht="13" x14ac:dyDescent="0.3">
      <c r="A88" s="308"/>
      <c r="B88" s="249" t="s">
        <v>94</v>
      </c>
      <c r="C88" s="263">
        <f>D58</f>
        <v>4</v>
      </c>
      <c r="D88" s="249" t="s">
        <v>428</v>
      </c>
      <c r="E88" s="305"/>
      <c r="F88" s="261"/>
      <c r="G88" s="308"/>
    </row>
    <row r="89" spans="1:7" ht="13" x14ac:dyDescent="0.3">
      <c r="A89" s="308"/>
      <c r="B89" s="261"/>
      <c r="C89" s="261"/>
      <c r="D89" s="261"/>
      <c r="E89" s="305"/>
      <c r="F89" s="261"/>
      <c r="G89" s="308"/>
    </row>
    <row r="90" spans="1:7" ht="13" x14ac:dyDescent="0.3">
      <c r="A90" s="308"/>
      <c r="B90" s="262" t="s">
        <v>257</v>
      </c>
      <c r="C90" s="261"/>
      <c r="D90" s="261"/>
      <c r="E90" s="305"/>
      <c r="F90" s="261"/>
      <c r="G90" s="261"/>
    </row>
    <row r="91" spans="1:7" ht="13" x14ac:dyDescent="0.3">
      <c r="A91" s="308"/>
      <c r="B91" s="250" t="s">
        <v>257</v>
      </c>
      <c r="C91" s="250" t="s">
        <v>304</v>
      </c>
      <c r="D91" s="261"/>
      <c r="E91" s="305"/>
      <c r="F91" s="261"/>
      <c r="G91" s="261"/>
    </row>
    <row r="92" spans="1:7" x14ac:dyDescent="0.25">
      <c r="B92" s="249" t="s">
        <v>249</v>
      </c>
      <c r="C92" s="307">
        <f>((D11*D15*D16)+(D17*D18*D19)+D20)</f>
        <v>1547994.4256216667</v>
      </c>
      <c r="D92" s="261"/>
      <c r="E92" s="305"/>
      <c r="F92" s="261"/>
      <c r="G92" s="261"/>
    </row>
    <row r="93" spans="1:7" x14ac:dyDescent="0.25">
      <c r="B93" s="249" t="s">
        <v>92</v>
      </c>
      <c r="C93" s="257">
        <f>(D27*D31*D32)+(D33*D34*D35)+D36</f>
        <v>1547994.4256216667</v>
      </c>
      <c r="D93" s="261"/>
      <c r="E93" s="305"/>
      <c r="F93" s="261"/>
      <c r="G93" s="261"/>
    </row>
    <row r="94" spans="1:7" x14ac:dyDescent="0.25">
      <c r="B94" s="249" t="s">
        <v>93</v>
      </c>
      <c r="C94" s="307">
        <f>(D43*D47*D48)+(D49*D50*D51)+D52</f>
        <v>1412994.4256216667</v>
      </c>
      <c r="D94" s="261"/>
      <c r="E94" s="305"/>
      <c r="F94" s="261"/>
      <c r="G94" s="261"/>
    </row>
    <row r="95" spans="1:7" x14ac:dyDescent="0.25">
      <c r="B95" s="249" t="s">
        <v>94</v>
      </c>
      <c r="C95" s="307">
        <f>(D59*D63*D64)+(D65*D66*D67)+D68</f>
        <v>1412994.4256216667</v>
      </c>
      <c r="E95" s="305"/>
      <c r="F95" s="261"/>
      <c r="G95" s="261"/>
    </row>
    <row r="96" spans="1:7" x14ac:dyDescent="0.25">
      <c r="E96" s="305"/>
      <c r="F96" s="261"/>
      <c r="G96" s="261"/>
    </row>
    <row r="97" spans="2:7" ht="13" x14ac:dyDescent="0.3">
      <c r="B97" s="251" t="s">
        <v>252</v>
      </c>
      <c r="E97" s="305"/>
      <c r="F97" s="261"/>
      <c r="G97" s="261"/>
    </row>
    <row r="98" spans="2:7" ht="13" x14ac:dyDescent="0.3">
      <c r="B98" s="250" t="s">
        <v>257</v>
      </c>
      <c r="C98" s="388" t="s">
        <v>409</v>
      </c>
      <c r="D98" s="306"/>
      <c r="E98" s="305"/>
      <c r="F98" s="261"/>
      <c r="G98" s="261"/>
    </row>
    <row r="99" spans="2:7" ht="14" x14ac:dyDescent="0.3">
      <c r="B99" s="249" t="s">
        <v>249</v>
      </c>
      <c r="C99" s="248">
        <f>C85*C92</f>
        <v>18575933.10746</v>
      </c>
      <c r="D99" s="304"/>
      <c r="E99" s="302"/>
      <c r="F99" s="261"/>
      <c r="G99" s="261"/>
    </row>
    <row r="100" spans="2:7" ht="14" x14ac:dyDescent="0.3">
      <c r="B100" s="249" t="s">
        <v>92</v>
      </c>
      <c r="C100" s="248">
        <f>C86*C93</f>
        <v>6191977.7024866669</v>
      </c>
      <c r="D100" s="303"/>
      <c r="E100" s="302"/>
      <c r="F100" s="261"/>
      <c r="G100" s="261"/>
    </row>
    <row r="101" spans="2:7" ht="14" x14ac:dyDescent="0.3">
      <c r="B101" s="249" t="s">
        <v>93</v>
      </c>
      <c r="C101" s="248">
        <f>C87*C94</f>
        <v>5651977.7024866669</v>
      </c>
      <c r="D101" s="303"/>
      <c r="E101" s="302"/>
      <c r="F101" s="261"/>
      <c r="G101" s="261"/>
    </row>
    <row r="102" spans="2:7" ht="14" x14ac:dyDescent="0.3">
      <c r="B102" s="249" t="s">
        <v>94</v>
      </c>
      <c r="C102" s="248">
        <f>C88*C95</f>
        <v>5651977.7024866669</v>
      </c>
      <c r="D102" s="303"/>
      <c r="E102" s="302"/>
      <c r="F102" s="261"/>
      <c r="G102" s="261"/>
    </row>
    <row r="103" spans="2:7" ht="14" x14ac:dyDescent="0.3">
      <c r="D103" s="261"/>
      <c r="E103" s="302"/>
      <c r="F103" s="261"/>
      <c r="G103" s="261"/>
    </row>
    <row r="104" spans="2:7" s="245" customFormat="1" ht="14" x14ac:dyDescent="0.3">
      <c r="B104" s="251" t="s">
        <v>250</v>
      </c>
      <c r="E104" s="302"/>
    </row>
    <row r="105" spans="2:7" s="245" customFormat="1" ht="14" x14ac:dyDescent="0.3">
      <c r="B105" s="250" t="s">
        <v>1</v>
      </c>
      <c r="C105" s="250" t="s">
        <v>250</v>
      </c>
      <c r="E105" s="302"/>
    </row>
    <row r="106" spans="2:7" s="245" customFormat="1" ht="14" x14ac:dyDescent="0.3">
      <c r="B106" s="249" t="s">
        <v>249</v>
      </c>
      <c r="C106" s="248" t="s">
        <v>248</v>
      </c>
      <c r="E106" s="302"/>
    </row>
    <row r="107" spans="2:7" s="245" customFormat="1" ht="14" x14ac:dyDescent="0.3">
      <c r="B107" s="249" t="s">
        <v>92</v>
      </c>
      <c r="C107" s="248">
        <f>$C$99-C100</f>
        <v>12383955.404973332</v>
      </c>
      <c r="E107" s="302"/>
    </row>
    <row r="108" spans="2:7" s="245" customFormat="1" ht="14" x14ac:dyDescent="0.3">
      <c r="B108" s="249" t="s">
        <v>93</v>
      </c>
      <c r="C108" s="248">
        <f>$C$99-C101</f>
        <v>12923955.404973332</v>
      </c>
      <c r="E108" s="302"/>
    </row>
    <row r="109" spans="2:7" s="245" customFormat="1" ht="14" x14ac:dyDescent="0.3">
      <c r="B109" s="249" t="s">
        <v>94</v>
      </c>
      <c r="C109" s="248">
        <f>$C$99-C102</f>
        <v>12923955.404973332</v>
      </c>
      <c r="E109" s="30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20BB-A361-4E62-ACDA-BC7FC5C4B590}">
  <sheetPr codeName="Sheet26"/>
  <dimension ref="A1:P109"/>
  <sheetViews>
    <sheetView showGridLines="0" zoomScale="70" zoomScaleNormal="70" workbookViewId="0">
      <selection sqref="A1:XFD2"/>
    </sheetView>
  </sheetViews>
  <sheetFormatPr defaultColWidth="7.84375" defaultRowHeight="14" x14ac:dyDescent="0.3"/>
  <cols>
    <col min="1" max="1" width="2.765625" style="245" customWidth="1"/>
    <col min="2" max="2" width="74.23046875" style="245" bestFit="1" customWidth="1"/>
    <col min="3" max="3" width="21.84375" style="245" bestFit="1" customWidth="1"/>
    <col min="4" max="4" width="17.3828125" style="245" bestFit="1" customWidth="1"/>
    <col min="5" max="5" width="74.4609375" style="245" bestFit="1" customWidth="1"/>
    <col min="6" max="16384" width="7.84375" style="245"/>
  </cols>
  <sheetData>
    <row r="1" spans="1:16" customFormat="1" ht="18.5" x14ac:dyDescent="0.45">
      <c r="A1" s="14" t="str">
        <f>bus</f>
        <v>United Energy</v>
      </c>
      <c r="B1" s="14"/>
      <c r="C1" s="14"/>
      <c r="D1" s="42"/>
      <c r="E1" s="14"/>
      <c r="F1" s="14"/>
      <c r="G1" s="14"/>
      <c r="H1" s="14"/>
      <c r="I1" s="14"/>
      <c r="J1" s="14"/>
      <c r="K1" s="14"/>
      <c r="L1" s="14"/>
      <c r="M1" s="14"/>
      <c r="N1" s="14"/>
      <c r="O1" s="14"/>
      <c r="P1" s="14"/>
    </row>
    <row r="2" spans="1:16" customFormat="1" ht="18.5" x14ac:dyDescent="0.45">
      <c r="A2" s="54" t="str">
        <f>proj</f>
        <v>Infrastructure refresh risk</v>
      </c>
      <c r="B2" s="14"/>
      <c r="C2" s="14"/>
      <c r="D2" s="42"/>
      <c r="E2" s="14"/>
      <c r="F2" s="14"/>
      <c r="G2" s="14"/>
      <c r="H2" s="14"/>
      <c r="I2" s="14"/>
      <c r="J2" s="14"/>
      <c r="K2" s="14"/>
      <c r="L2" s="14"/>
      <c r="M2" s="14"/>
      <c r="N2" s="14"/>
      <c r="O2" s="14"/>
      <c r="P2" s="14"/>
    </row>
    <row r="4" spans="1:16" s="285" customFormat="1" x14ac:dyDescent="0.3">
      <c r="A4" s="285" t="s">
        <v>226</v>
      </c>
    </row>
    <row r="6" spans="1:16" x14ac:dyDescent="0.3">
      <c r="B6" s="279" t="str">
        <f>Assumptions!$C$14&amp;" - "&amp;Assumptions!$E$14</f>
        <v>Option 1 (base case) - Maintain status quo</v>
      </c>
      <c r="C6" s="279"/>
      <c r="D6" s="278"/>
      <c r="E6" s="278"/>
    </row>
    <row r="7" spans="1:16" x14ac:dyDescent="0.3">
      <c r="B7" s="338"/>
      <c r="C7" s="338"/>
    </row>
    <row r="8" spans="1:16" x14ac:dyDescent="0.3">
      <c r="B8" s="276" t="s">
        <v>275</v>
      </c>
      <c r="C8" s="276" t="s">
        <v>274</v>
      </c>
      <c r="D8" s="276" t="s">
        <v>276</v>
      </c>
      <c r="E8" s="330" t="s">
        <v>272</v>
      </c>
    </row>
    <row r="9" spans="1:16" x14ac:dyDescent="0.3">
      <c r="B9" s="327" t="s">
        <v>337</v>
      </c>
      <c r="C9" s="327" t="s">
        <v>266</v>
      </c>
      <c r="D9" s="337">
        <v>0.2</v>
      </c>
      <c r="E9" s="284" t="s">
        <v>348</v>
      </c>
    </row>
    <row r="10" spans="1:16" x14ac:dyDescent="0.3">
      <c r="B10" s="327" t="s">
        <v>335</v>
      </c>
      <c r="C10" s="269" t="s">
        <v>288</v>
      </c>
      <c r="D10" s="328">
        <f>'General risk inputs'!$D$19</f>
        <v>12.144791666666666</v>
      </c>
      <c r="E10" s="284" t="s">
        <v>347</v>
      </c>
    </row>
    <row r="11" spans="1:16" s="256" customFormat="1" ht="12.5" x14ac:dyDescent="0.25">
      <c r="B11" s="269" t="s">
        <v>318</v>
      </c>
      <c r="C11" s="269"/>
      <c r="D11" s="271">
        <f>'General risk inputs'!$D$17</f>
        <v>1289</v>
      </c>
      <c r="E11" s="267" t="s">
        <v>262</v>
      </c>
      <c r="G11" s="261"/>
      <c r="H11" s="261"/>
      <c r="I11" s="261"/>
    </row>
    <row r="12" spans="1:16" s="256" customFormat="1" ht="25" x14ac:dyDescent="0.25">
      <c r="B12" s="269" t="s">
        <v>317</v>
      </c>
      <c r="C12" s="269" t="s">
        <v>315</v>
      </c>
      <c r="D12" s="313">
        <v>0.7</v>
      </c>
      <c r="E12" s="284" t="s">
        <v>346</v>
      </c>
      <c r="G12" s="261"/>
      <c r="H12" s="261"/>
      <c r="I12" s="261"/>
    </row>
    <row r="13" spans="1:16" s="256" customFormat="1" ht="25" x14ac:dyDescent="0.25">
      <c r="B13" s="269" t="s">
        <v>333</v>
      </c>
      <c r="C13" s="269" t="s">
        <v>315</v>
      </c>
      <c r="D13" s="313">
        <v>0.8</v>
      </c>
      <c r="E13" s="284" t="s">
        <v>345</v>
      </c>
      <c r="G13" s="261"/>
      <c r="H13" s="261"/>
      <c r="I13" s="261"/>
    </row>
    <row r="14" spans="1:16" x14ac:dyDescent="0.3">
      <c r="B14" s="269" t="s">
        <v>313</v>
      </c>
      <c r="C14" s="327" t="s">
        <v>266</v>
      </c>
      <c r="D14" s="298">
        <f>D11*D12*D13</f>
        <v>721.84</v>
      </c>
      <c r="E14" s="284" t="s">
        <v>52</v>
      </c>
    </row>
    <row r="15" spans="1:16" x14ac:dyDescent="0.3">
      <c r="B15" s="269" t="s">
        <v>331</v>
      </c>
      <c r="C15" s="269" t="s">
        <v>307</v>
      </c>
      <c r="D15" s="271">
        <f>'General risk inputs'!$D$9</f>
        <v>145.78</v>
      </c>
      <c r="E15" s="284" t="s">
        <v>262</v>
      </c>
    </row>
    <row r="16" spans="1:16" ht="15" customHeight="1" x14ac:dyDescent="0.3">
      <c r="B16" s="269" t="s">
        <v>308</v>
      </c>
      <c r="C16" s="269" t="s">
        <v>307</v>
      </c>
      <c r="D16" s="271">
        <f>'General risk inputs'!$D$14</f>
        <v>225</v>
      </c>
      <c r="E16" s="284" t="s">
        <v>262</v>
      </c>
    </row>
    <row r="17" spans="2:9" ht="25.5" x14ac:dyDescent="0.3">
      <c r="B17" s="269" t="s">
        <v>311</v>
      </c>
      <c r="C17" s="269" t="s">
        <v>266</v>
      </c>
      <c r="D17" s="337">
        <v>5</v>
      </c>
      <c r="E17" s="284" t="s">
        <v>342</v>
      </c>
    </row>
    <row r="18" spans="2:9" ht="25.5" x14ac:dyDescent="0.3">
      <c r="B18" s="269" t="s">
        <v>310</v>
      </c>
      <c r="C18" s="269" t="s">
        <v>288</v>
      </c>
      <c r="D18" s="337">
        <v>80</v>
      </c>
      <c r="E18" s="284" t="s">
        <v>341</v>
      </c>
    </row>
    <row r="19" spans="2:9" ht="38" x14ac:dyDescent="0.3">
      <c r="B19" s="269" t="s">
        <v>329</v>
      </c>
      <c r="C19" s="269" t="s">
        <v>81</v>
      </c>
      <c r="D19" s="298">
        <v>6500000</v>
      </c>
      <c r="E19" s="284" t="s">
        <v>340</v>
      </c>
    </row>
    <row r="20" spans="2:9" x14ac:dyDescent="0.3">
      <c r="B20" s="281"/>
      <c r="C20" s="281"/>
      <c r="D20" s="332"/>
      <c r="E20" s="331"/>
    </row>
    <row r="21" spans="2:9" x14ac:dyDescent="0.3">
      <c r="B21" s="279" t="str">
        <f>Assumptions!$C$15&amp;" - "&amp;Assumptions!$E$15</f>
        <v>Option 2 - Maintain existing infrastructure with more frequent upgrades</v>
      </c>
      <c r="C21" s="279"/>
      <c r="D21" s="278"/>
      <c r="E21" s="278"/>
    </row>
    <row r="23" spans="2:9" x14ac:dyDescent="0.3">
      <c r="B23" s="276" t="s">
        <v>275</v>
      </c>
      <c r="C23" s="276" t="s">
        <v>274</v>
      </c>
      <c r="D23" s="276" t="s">
        <v>255</v>
      </c>
      <c r="E23" s="330" t="s">
        <v>272</v>
      </c>
    </row>
    <row r="24" spans="2:9" ht="25.5" x14ac:dyDescent="0.3">
      <c r="B24" s="329" t="s">
        <v>337</v>
      </c>
      <c r="C24" s="269" t="s">
        <v>266</v>
      </c>
      <c r="D24" s="328">
        <v>0.05</v>
      </c>
      <c r="E24" s="284" t="s">
        <v>344</v>
      </c>
    </row>
    <row r="25" spans="2:9" x14ac:dyDescent="0.3">
      <c r="B25" s="327" t="s">
        <v>335</v>
      </c>
      <c r="C25" s="269" t="s">
        <v>288</v>
      </c>
      <c r="D25" s="328">
        <f>'General risk inputs'!$D$19</f>
        <v>12.144791666666666</v>
      </c>
      <c r="E25" s="284" t="s">
        <v>343</v>
      </c>
    </row>
    <row r="26" spans="2:9" s="256" customFormat="1" ht="12.5" x14ac:dyDescent="0.25">
      <c r="B26" s="269" t="s">
        <v>318</v>
      </c>
      <c r="C26" s="269"/>
      <c r="D26" s="271">
        <f>'General risk inputs'!$D$17</f>
        <v>1289</v>
      </c>
      <c r="E26" s="267" t="s">
        <v>262</v>
      </c>
      <c r="G26" s="261"/>
      <c r="H26" s="261"/>
      <c r="I26" s="261"/>
    </row>
    <row r="27" spans="2:9" s="256" customFormat="1" ht="12.5" x14ac:dyDescent="0.25">
      <c r="B27" s="269" t="s">
        <v>317</v>
      </c>
      <c r="C27" s="269" t="s">
        <v>315</v>
      </c>
      <c r="D27" s="313">
        <v>0.7</v>
      </c>
      <c r="E27" s="284" t="s">
        <v>332</v>
      </c>
      <c r="G27" s="261"/>
      <c r="H27" s="261"/>
      <c r="I27" s="261"/>
    </row>
    <row r="28" spans="2:9" s="256" customFormat="1" ht="12.5" x14ac:dyDescent="0.25">
      <c r="B28" s="269" t="s">
        <v>333</v>
      </c>
      <c r="C28" s="269" t="s">
        <v>315</v>
      </c>
      <c r="D28" s="313">
        <v>0.8</v>
      </c>
      <c r="E28" s="284" t="s">
        <v>332</v>
      </c>
      <c r="G28" s="261"/>
      <c r="H28" s="261"/>
      <c r="I28" s="261"/>
    </row>
    <row r="29" spans="2:9" x14ac:dyDescent="0.3">
      <c r="B29" s="269" t="s">
        <v>313</v>
      </c>
      <c r="C29" s="327" t="s">
        <v>266</v>
      </c>
      <c r="D29" s="298">
        <f>D26*D27*D28</f>
        <v>721.84</v>
      </c>
      <c r="E29" s="284" t="s">
        <v>52</v>
      </c>
    </row>
    <row r="30" spans="2:9" x14ac:dyDescent="0.3">
      <c r="B30" s="269" t="s">
        <v>331</v>
      </c>
      <c r="C30" s="269" t="s">
        <v>307</v>
      </c>
      <c r="D30" s="271">
        <f>'General risk inputs'!$D$9</f>
        <v>145.78</v>
      </c>
      <c r="E30" s="284" t="s">
        <v>262</v>
      </c>
    </row>
    <row r="31" spans="2:9" ht="15" customHeight="1" x14ac:dyDescent="0.3">
      <c r="B31" s="269" t="s">
        <v>308</v>
      </c>
      <c r="C31" s="269" t="s">
        <v>307</v>
      </c>
      <c r="D31" s="271">
        <f>'General risk inputs'!$D$14</f>
        <v>225</v>
      </c>
      <c r="E31" s="284" t="s">
        <v>262</v>
      </c>
    </row>
    <row r="32" spans="2:9" ht="25.5" x14ac:dyDescent="0.3">
      <c r="B32" s="269" t="s">
        <v>311</v>
      </c>
      <c r="C32" s="269" t="s">
        <v>266</v>
      </c>
      <c r="D32" s="337">
        <v>5</v>
      </c>
      <c r="E32" s="284" t="s">
        <v>342</v>
      </c>
    </row>
    <row r="33" spans="2:9" ht="25.5" x14ac:dyDescent="0.3">
      <c r="B33" s="269" t="s">
        <v>310</v>
      </c>
      <c r="C33" s="269" t="s">
        <v>288</v>
      </c>
      <c r="D33" s="337">
        <v>80</v>
      </c>
      <c r="E33" s="284" t="s">
        <v>341</v>
      </c>
    </row>
    <row r="34" spans="2:9" ht="38" x14ac:dyDescent="0.3">
      <c r="B34" s="269" t="s">
        <v>329</v>
      </c>
      <c r="C34" s="269" t="s">
        <v>81</v>
      </c>
      <c r="D34" s="298">
        <v>6500000</v>
      </c>
      <c r="E34" s="284" t="s">
        <v>340</v>
      </c>
    </row>
    <row r="35" spans="2:9" x14ac:dyDescent="0.3">
      <c r="B35" s="281"/>
      <c r="C35" s="281"/>
      <c r="D35" s="332"/>
      <c r="E35" s="331"/>
    </row>
    <row r="36" spans="2:9" x14ac:dyDescent="0.3">
      <c r="B36" s="279" t="str">
        <f>Assumptions!$C$16&amp;" - "&amp;Assumptions!$E$16</f>
        <v>Option 3 - Criteria-based IT infrastructure refresh</v>
      </c>
      <c r="C36" s="279"/>
      <c r="D36" s="278"/>
      <c r="E36" s="278"/>
    </row>
    <row r="38" spans="2:9" x14ac:dyDescent="0.3">
      <c r="B38" s="276" t="s">
        <v>275</v>
      </c>
      <c r="C38" s="276" t="s">
        <v>274</v>
      </c>
      <c r="D38" s="276" t="s">
        <v>255</v>
      </c>
      <c r="E38" s="330" t="s">
        <v>272</v>
      </c>
    </row>
    <row r="39" spans="2:9" ht="25.5" x14ac:dyDescent="0.3">
      <c r="B39" s="329" t="s">
        <v>337</v>
      </c>
      <c r="C39" s="269" t="s">
        <v>266</v>
      </c>
      <c r="D39" s="336">
        <v>0.05</v>
      </c>
      <c r="E39" s="284" t="s">
        <v>339</v>
      </c>
    </row>
    <row r="40" spans="2:9" ht="25.5" x14ac:dyDescent="0.3">
      <c r="B40" s="327" t="s">
        <v>335</v>
      </c>
      <c r="C40" s="269" t="s">
        <v>288</v>
      </c>
      <c r="D40" s="328">
        <f>D10*0.8</f>
        <v>9.7158333333333342</v>
      </c>
      <c r="E40" s="284" t="s">
        <v>338</v>
      </c>
    </row>
    <row r="41" spans="2:9" s="256" customFormat="1" ht="12.5" x14ac:dyDescent="0.25">
      <c r="B41" s="269" t="s">
        <v>318</v>
      </c>
      <c r="C41" s="269"/>
      <c r="D41" s="271">
        <f>'General risk inputs'!$D$17</f>
        <v>1289</v>
      </c>
      <c r="E41" s="267" t="s">
        <v>262</v>
      </c>
      <c r="G41" s="261"/>
      <c r="H41" s="261"/>
      <c r="I41" s="261"/>
    </row>
    <row r="42" spans="2:9" s="256" customFormat="1" ht="12.5" x14ac:dyDescent="0.25">
      <c r="B42" s="269" t="s">
        <v>317</v>
      </c>
      <c r="C42" s="269" t="s">
        <v>315</v>
      </c>
      <c r="D42" s="313">
        <v>0.7</v>
      </c>
      <c r="E42" s="284" t="s">
        <v>332</v>
      </c>
      <c r="G42" s="261"/>
      <c r="H42" s="261"/>
      <c r="I42" s="261"/>
    </row>
    <row r="43" spans="2:9" s="256" customFormat="1" ht="12.5" x14ac:dyDescent="0.25">
      <c r="B43" s="269" t="s">
        <v>333</v>
      </c>
      <c r="C43" s="269" t="s">
        <v>315</v>
      </c>
      <c r="D43" s="313">
        <v>0.8</v>
      </c>
      <c r="E43" s="284" t="s">
        <v>332</v>
      </c>
      <c r="G43" s="261"/>
      <c r="H43" s="261"/>
      <c r="I43" s="261"/>
    </row>
    <row r="44" spans="2:9" x14ac:dyDescent="0.3">
      <c r="B44" s="269" t="s">
        <v>313</v>
      </c>
      <c r="C44" s="327" t="s">
        <v>266</v>
      </c>
      <c r="D44" s="298">
        <f>D41*D42*D43</f>
        <v>721.84</v>
      </c>
      <c r="E44" s="284" t="s">
        <v>52</v>
      </c>
    </row>
    <row r="45" spans="2:9" x14ac:dyDescent="0.3">
      <c r="B45" s="269" t="s">
        <v>331</v>
      </c>
      <c r="C45" s="269" t="s">
        <v>307</v>
      </c>
      <c r="D45" s="271">
        <f>'General risk inputs'!$D$9</f>
        <v>145.78</v>
      </c>
      <c r="E45" s="284" t="s">
        <v>262</v>
      </c>
    </row>
    <row r="46" spans="2:9" x14ac:dyDescent="0.3">
      <c r="B46" s="269" t="s">
        <v>308</v>
      </c>
      <c r="C46" s="269" t="s">
        <v>307</v>
      </c>
      <c r="D46" s="271">
        <f>'General risk inputs'!$D$14</f>
        <v>225</v>
      </c>
      <c r="E46" s="284" t="s">
        <v>262</v>
      </c>
    </row>
    <row r="47" spans="2:9" ht="25.5" customHeight="1" x14ac:dyDescent="0.3">
      <c r="B47" s="269" t="s">
        <v>311</v>
      </c>
      <c r="C47" s="269" t="s">
        <v>266</v>
      </c>
      <c r="D47" s="258">
        <v>0</v>
      </c>
      <c r="E47" s="335" t="s">
        <v>330</v>
      </c>
    </row>
    <row r="48" spans="2:9" x14ac:dyDescent="0.3">
      <c r="B48" s="269" t="s">
        <v>310</v>
      </c>
      <c r="C48" s="269" t="s">
        <v>288</v>
      </c>
      <c r="D48" s="258">
        <v>0</v>
      </c>
      <c r="E48" s="334"/>
    </row>
    <row r="49" spans="2:9" x14ac:dyDescent="0.3">
      <c r="B49" s="269" t="s">
        <v>329</v>
      </c>
      <c r="C49" s="269" t="s">
        <v>81</v>
      </c>
      <c r="D49" s="258">
        <v>0</v>
      </c>
      <c r="E49" s="333"/>
    </row>
    <row r="50" spans="2:9" x14ac:dyDescent="0.3">
      <c r="B50" s="281"/>
      <c r="C50" s="281"/>
      <c r="D50" s="332"/>
      <c r="E50" s="331"/>
    </row>
    <row r="51" spans="2:9" x14ac:dyDescent="0.3">
      <c r="B51" s="279" t="str">
        <f>Assumptions!$C$17&amp;" - "&amp;Assumptions!$E$17</f>
        <v>Option 4 - Public cloud infrastructure refresh</v>
      </c>
      <c r="C51" s="279"/>
      <c r="D51" s="278"/>
      <c r="E51" s="278"/>
    </row>
    <row r="53" spans="2:9" x14ac:dyDescent="0.3">
      <c r="B53" s="276" t="s">
        <v>275</v>
      </c>
      <c r="C53" s="276" t="s">
        <v>274</v>
      </c>
      <c r="D53" s="276" t="s">
        <v>255</v>
      </c>
      <c r="E53" s="330" t="s">
        <v>272</v>
      </c>
    </row>
    <row r="54" spans="2:9" x14ac:dyDescent="0.3">
      <c r="B54" s="329" t="s">
        <v>337</v>
      </c>
      <c r="C54" s="269" t="s">
        <v>266</v>
      </c>
      <c r="D54" s="258">
        <v>0.05</v>
      </c>
      <c r="E54" s="284" t="s">
        <v>336</v>
      </c>
    </row>
    <row r="55" spans="2:9" ht="25.5" x14ac:dyDescent="0.3">
      <c r="B55" s="327" t="s">
        <v>335</v>
      </c>
      <c r="C55" s="269" t="s">
        <v>288</v>
      </c>
      <c r="D55" s="328">
        <f>D10*0.6</f>
        <v>7.2868749999999993</v>
      </c>
      <c r="E55" s="284" t="s">
        <v>334</v>
      </c>
    </row>
    <row r="56" spans="2:9" s="256" customFormat="1" ht="12.5" x14ac:dyDescent="0.25">
      <c r="B56" s="269" t="s">
        <v>318</v>
      </c>
      <c r="C56" s="269"/>
      <c r="D56" s="271">
        <f>'General risk inputs'!$D$17</f>
        <v>1289</v>
      </c>
      <c r="E56" s="267" t="s">
        <v>262</v>
      </c>
      <c r="G56" s="261"/>
      <c r="H56" s="261"/>
      <c r="I56" s="261"/>
    </row>
    <row r="57" spans="2:9" s="256" customFormat="1" ht="12.5" x14ac:dyDescent="0.25">
      <c r="B57" s="269" t="s">
        <v>317</v>
      </c>
      <c r="C57" s="269" t="s">
        <v>315</v>
      </c>
      <c r="D57" s="313">
        <v>0.7</v>
      </c>
      <c r="E57" s="284" t="s">
        <v>332</v>
      </c>
      <c r="G57" s="261"/>
      <c r="H57" s="261"/>
      <c r="I57" s="261"/>
    </row>
    <row r="58" spans="2:9" s="256" customFormat="1" ht="12.5" x14ac:dyDescent="0.25">
      <c r="B58" s="269" t="s">
        <v>333</v>
      </c>
      <c r="C58" s="269" t="s">
        <v>315</v>
      </c>
      <c r="D58" s="313">
        <v>0.8</v>
      </c>
      <c r="E58" s="284" t="s">
        <v>332</v>
      </c>
      <c r="G58" s="261"/>
      <c r="H58" s="261"/>
      <c r="I58" s="261"/>
    </row>
    <row r="59" spans="2:9" x14ac:dyDescent="0.3">
      <c r="B59" s="269" t="s">
        <v>313</v>
      </c>
      <c r="C59" s="327" t="s">
        <v>266</v>
      </c>
      <c r="D59" s="298">
        <f>D56*D57*D58</f>
        <v>721.84</v>
      </c>
      <c r="E59" s="284" t="s">
        <v>52</v>
      </c>
    </row>
    <row r="60" spans="2:9" x14ac:dyDescent="0.3">
      <c r="B60" s="269" t="s">
        <v>331</v>
      </c>
      <c r="C60" s="269" t="s">
        <v>307</v>
      </c>
      <c r="D60" s="271">
        <f>'General risk inputs'!$D$9</f>
        <v>145.78</v>
      </c>
      <c r="E60" s="284" t="s">
        <v>262</v>
      </c>
    </row>
    <row r="61" spans="2:9" x14ac:dyDescent="0.3">
      <c r="B61" s="269" t="s">
        <v>308</v>
      </c>
      <c r="C61" s="269" t="s">
        <v>307</v>
      </c>
      <c r="D61" s="271">
        <f>'General risk inputs'!$D$14</f>
        <v>225</v>
      </c>
      <c r="E61" s="284" t="s">
        <v>262</v>
      </c>
    </row>
    <row r="62" spans="2:9" x14ac:dyDescent="0.3">
      <c r="B62" s="269" t="s">
        <v>311</v>
      </c>
      <c r="C62" s="269" t="s">
        <v>266</v>
      </c>
      <c r="D62" s="258">
        <v>0</v>
      </c>
      <c r="E62" s="420" t="s">
        <v>330</v>
      </c>
    </row>
    <row r="63" spans="2:9" x14ac:dyDescent="0.3">
      <c r="B63" s="269" t="s">
        <v>310</v>
      </c>
      <c r="C63" s="269" t="s">
        <v>288</v>
      </c>
      <c r="D63" s="258">
        <v>0</v>
      </c>
      <c r="E63" s="423"/>
    </row>
    <row r="64" spans="2:9" x14ac:dyDescent="0.3">
      <c r="B64" s="269" t="s">
        <v>329</v>
      </c>
      <c r="C64" s="269" t="s">
        <v>81</v>
      </c>
      <c r="D64" s="258">
        <v>0</v>
      </c>
      <c r="E64" s="421"/>
    </row>
    <row r="81" spans="1:7" x14ac:dyDescent="0.3">
      <c r="B81" s="266" t="s">
        <v>261</v>
      </c>
      <c r="C81" s="265"/>
      <c r="D81" s="265"/>
      <c r="E81" s="265"/>
    </row>
    <row r="82" spans="1:7" ht="14.5" x14ac:dyDescent="0.35">
      <c r="A82" s="244"/>
      <c r="B82" s="261"/>
      <c r="C82" s="261"/>
      <c r="D82" s="261"/>
      <c r="E82" s="261"/>
      <c r="F82" s="261"/>
      <c r="G82" s="244"/>
    </row>
    <row r="83" spans="1:7" ht="14.5" x14ac:dyDescent="0.35">
      <c r="A83" s="244"/>
      <c r="B83" s="262" t="s">
        <v>260</v>
      </c>
      <c r="C83" s="261"/>
      <c r="D83" s="261"/>
      <c r="E83" s="261"/>
      <c r="F83" s="261"/>
      <c r="G83" s="244"/>
    </row>
    <row r="84" spans="1:7" ht="14.5" x14ac:dyDescent="0.35">
      <c r="A84" s="244"/>
      <c r="B84" s="250" t="s">
        <v>1</v>
      </c>
      <c r="C84" s="250" t="s">
        <v>259</v>
      </c>
      <c r="D84" s="250" t="s">
        <v>258</v>
      </c>
      <c r="E84" s="261"/>
      <c r="F84" s="261"/>
      <c r="G84" s="244"/>
    </row>
    <row r="85" spans="1:7" ht="14.5" x14ac:dyDescent="0.35">
      <c r="A85" s="244"/>
      <c r="B85" s="249" t="s">
        <v>249</v>
      </c>
      <c r="C85" s="263">
        <f>D9</f>
        <v>0.2</v>
      </c>
      <c r="D85" s="249" t="str">
        <f>INDEX(Likelihood,MATCH(C85,'General risk inputs'!$D$54:$D$59,0))</f>
        <v>Every 5 years</v>
      </c>
      <c r="E85" s="261"/>
      <c r="F85" s="261"/>
      <c r="G85" s="244"/>
    </row>
    <row r="86" spans="1:7" ht="14.5" x14ac:dyDescent="0.35">
      <c r="A86" s="244"/>
      <c r="B86" s="249" t="s">
        <v>92</v>
      </c>
      <c r="C86" s="263">
        <f>D24</f>
        <v>0.05</v>
      </c>
      <c r="D86" s="249" t="str">
        <f>INDEX(Likelihood,MATCH(C86,'General risk inputs'!$D$54:$D$59,0))</f>
        <v>Every 20 years</v>
      </c>
      <c r="E86" s="261"/>
      <c r="F86" s="261"/>
    </row>
    <row r="87" spans="1:7" ht="14.5" x14ac:dyDescent="0.35">
      <c r="A87" s="244"/>
      <c r="B87" s="249" t="s">
        <v>93</v>
      </c>
      <c r="C87" s="326">
        <f>D39</f>
        <v>0.05</v>
      </c>
      <c r="D87" s="249" t="str">
        <f>INDEX(Likelihood,MATCH(C87,'General risk inputs'!$D$54:$D$59,0))</f>
        <v>Every 20 years</v>
      </c>
      <c r="E87" s="261"/>
      <c r="F87" s="261"/>
      <c r="G87" s="244"/>
    </row>
    <row r="88" spans="1:7" ht="14.5" x14ac:dyDescent="0.35">
      <c r="A88" s="244"/>
      <c r="B88" s="249" t="s">
        <v>94</v>
      </c>
      <c r="C88" s="326">
        <f>D54</f>
        <v>0.05</v>
      </c>
      <c r="D88" s="249" t="str">
        <f>INDEX(Likelihood,MATCH(C88,'General risk inputs'!$D$54:$D$59,0))</f>
        <v>Every 20 years</v>
      </c>
      <c r="E88" s="261"/>
      <c r="F88" s="261"/>
      <c r="G88" s="244"/>
    </row>
    <row r="89" spans="1:7" ht="14.5" x14ac:dyDescent="0.35">
      <c r="A89" s="244"/>
      <c r="B89" s="261"/>
      <c r="C89" s="261"/>
      <c r="D89" s="261"/>
      <c r="E89" s="261"/>
      <c r="F89" s="261"/>
      <c r="G89" s="244"/>
    </row>
    <row r="90" spans="1:7" ht="14.5" x14ac:dyDescent="0.35">
      <c r="A90" s="244"/>
      <c r="B90" s="262" t="s">
        <v>257</v>
      </c>
      <c r="C90" s="261"/>
      <c r="D90" s="293"/>
      <c r="E90" s="293"/>
      <c r="F90" s="293"/>
      <c r="G90" s="293"/>
    </row>
    <row r="91" spans="1:7" ht="14.5" x14ac:dyDescent="0.35">
      <c r="A91" s="244"/>
      <c r="B91" s="250" t="s">
        <v>257</v>
      </c>
      <c r="C91" s="250" t="s">
        <v>304</v>
      </c>
      <c r="D91" s="261"/>
      <c r="E91" s="293"/>
      <c r="F91" s="293"/>
      <c r="G91" s="293"/>
    </row>
    <row r="92" spans="1:7" x14ac:dyDescent="0.3">
      <c r="B92" s="249" t="s">
        <v>249</v>
      </c>
      <c r="C92" s="307">
        <f>(D10*D14*D15)+(D16*D17*D18)+D19</f>
        <v>7867994.4256216669</v>
      </c>
      <c r="D92" s="261"/>
      <c r="E92" s="293"/>
      <c r="F92" s="293"/>
      <c r="G92" s="293"/>
    </row>
    <row r="93" spans="1:7" x14ac:dyDescent="0.3">
      <c r="B93" s="249" t="s">
        <v>92</v>
      </c>
      <c r="C93" s="257">
        <f>(D25*D29*D30)+(D31*D32*D33)+D34</f>
        <v>7867994.4256216669</v>
      </c>
      <c r="D93" s="261"/>
      <c r="E93" s="293"/>
      <c r="F93" s="293"/>
      <c r="G93" s="293"/>
    </row>
    <row r="94" spans="1:7" x14ac:dyDescent="0.3">
      <c r="B94" s="249" t="s">
        <v>93</v>
      </c>
      <c r="C94" s="307">
        <f>(D40*D44*D45)+(D46*D47*D48)+D49</f>
        <v>1022395.5404973334</v>
      </c>
      <c r="D94" s="261"/>
      <c r="E94" s="293"/>
      <c r="F94" s="293"/>
      <c r="G94" s="293"/>
    </row>
    <row r="95" spans="1:7" x14ac:dyDescent="0.3">
      <c r="B95" s="249" t="s">
        <v>94</v>
      </c>
      <c r="C95" s="307">
        <f>(D55*D59*D60)+(D61*D62*D63)+D64</f>
        <v>766796.65537299996</v>
      </c>
      <c r="D95" s="256"/>
      <c r="E95" s="293"/>
      <c r="F95" s="293"/>
      <c r="G95" s="293"/>
    </row>
    <row r="96" spans="1:7" x14ac:dyDescent="0.3">
      <c r="B96" s="256"/>
      <c r="C96" s="256"/>
      <c r="D96" s="256"/>
      <c r="E96" s="293"/>
      <c r="F96" s="293"/>
      <c r="G96" s="293"/>
    </row>
    <row r="97" spans="2:7" x14ac:dyDescent="0.3">
      <c r="B97" s="251" t="s">
        <v>252</v>
      </c>
      <c r="C97" s="256"/>
      <c r="D97" s="256"/>
      <c r="E97" s="293"/>
      <c r="F97" s="293"/>
      <c r="G97" s="293"/>
    </row>
    <row r="98" spans="2:7" x14ac:dyDescent="0.3">
      <c r="B98" s="250" t="s">
        <v>257</v>
      </c>
      <c r="C98" s="388" t="s">
        <v>409</v>
      </c>
      <c r="D98" s="306"/>
      <c r="E98" s="293"/>
      <c r="F98" s="293"/>
      <c r="G98" s="293"/>
    </row>
    <row r="99" spans="2:7" x14ac:dyDescent="0.3">
      <c r="B99" s="249" t="s">
        <v>249</v>
      </c>
      <c r="C99" s="248">
        <f>C85*C92</f>
        <v>1573598.8851243334</v>
      </c>
      <c r="D99" s="304"/>
      <c r="E99" s="325"/>
      <c r="F99" s="293"/>
      <c r="G99" s="293"/>
    </row>
    <row r="100" spans="2:7" x14ac:dyDescent="0.3">
      <c r="B100" s="249" t="s">
        <v>92</v>
      </c>
      <c r="C100" s="248">
        <f>C86*C93</f>
        <v>393399.72128108336</v>
      </c>
      <c r="D100" s="303"/>
      <c r="E100" s="325"/>
      <c r="F100" s="293"/>
      <c r="G100" s="293"/>
    </row>
    <row r="101" spans="2:7" x14ac:dyDescent="0.3">
      <c r="B101" s="249" t="s">
        <v>93</v>
      </c>
      <c r="C101" s="248">
        <f>C87*C94</f>
        <v>51119.777024866671</v>
      </c>
      <c r="D101" s="303"/>
      <c r="E101" s="325"/>
      <c r="F101" s="293"/>
      <c r="G101" s="293"/>
    </row>
    <row r="102" spans="2:7" x14ac:dyDescent="0.3">
      <c r="B102" s="249" t="s">
        <v>94</v>
      </c>
      <c r="C102" s="248">
        <f>C88*C95</f>
        <v>38339.832768649998</v>
      </c>
      <c r="D102" s="303"/>
      <c r="E102" s="325"/>
      <c r="F102" s="293"/>
      <c r="G102" s="293"/>
    </row>
    <row r="103" spans="2:7" x14ac:dyDescent="0.3">
      <c r="E103" s="325"/>
    </row>
    <row r="104" spans="2:7" x14ac:dyDescent="0.3">
      <c r="B104" s="251" t="s">
        <v>250</v>
      </c>
      <c r="E104" s="325"/>
    </row>
    <row r="105" spans="2:7" x14ac:dyDescent="0.3">
      <c r="B105" s="250" t="s">
        <v>1</v>
      </c>
      <c r="C105" s="250" t="s">
        <v>250</v>
      </c>
      <c r="E105" s="325"/>
    </row>
    <row r="106" spans="2:7" x14ac:dyDescent="0.3">
      <c r="B106" s="249" t="s">
        <v>249</v>
      </c>
      <c r="C106" s="248" t="s">
        <v>248</v>
      </c>
      <c r="E106" s="325"/>
    </row>
    <row r="107" spans="2:7" x14ac:dyDescent="0.3">
      <c r="B107" s="249" t="s">
        <v>92</v>
      </c>
      <c r="C107" s="248">
        <f>$C$99-C100</f>
        <v>1180199.1638432501</v>
      </c>
      <c r="E107" s="325"/>
    </row>
    <row r="108" spans="2:7" x14ac:dyDescent="0.3">
      <c r="B108" s="249" t="s">
        <v>93</v>
      </c>
      <c r="C108" s="248">
        <f>$C$99-C101</f>
        <v>1522479.1080994667</v>
      </c>
      <c r="E108" s="325"/>
    </row>
    <row r="109" spans="2:7" x14ac:dyDescent="0.3">
      <c r="B109" s="249" t="s">
        <v>94</v>
      </c>
      <c r="C109" s="248">
        <f>$C$99-C102</f>
        <v>1535259.0523556834</v>
      </c>
      <c r="E109" s="325"/>
    </row>
  </sheetData>
  <mergeCells count="1">
    <mergeCell ref="E62:E6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F9C9-92A3-499F-B80E-86F08AF19C97}">
  <sheetPr codeName="Sheet27"/>
  <dimension ref="A1:P105"/>
  <sheetViews>
    <sheetView showGridLines="0" zoomScale="85" zoomScaleNormal="85" workbookViewId="0">
      <selection sqref="A1:XFD2"/>
    </sheetView>
  </sheetViews>
  <sheetFormatPr defaultColWidth="7.84375" defaultRowHeight="14" x14ac:dyDescent="0.3"/>
  <cols>
    <col min="1" max="1" width="2.765625" style="245" customWidth="1"/>
    <col min="2" max="2" width="48.765625" style="245" customWidth="1"/>
    <col min="3" max="3" width="23.3828125" style="245" bestFit="1" customWidth="1"/>
    <col min="4" max="4" width="17.3828125" style="245" bestFit="1" customWidth="1"/>
    <col min="5" max="5" width="34.23046875" style="246" customWidth="1"/>
    <col min="6" max="16384" width="7.84375" style="245"/>
  </cols>
  <sheetData>
    <row r="1" spans="1:16" customFormat="1" ht="18.5" x14ac:dyDescent="0.45">
      <c r="A1" s="14" t="str">
        <f>bus</f>
        <v>United Energy</v>
      </c>
      <c r="B1" s="14"/>
      <c r="C1" s="14"/>
      <c r="D1" s="42"/>
      <c r="E1" s="14"/>
      <c r="F1" s="14"/>
      <c r="G1" s="14"/>
      <c r="H1" s="14"/>
      <c r="I1" s="14"/>
      <c r="J1" s="14"/>
      <c r="K1" s="14"/>
      <c r="L1" s="14"/>
      <c r="M1" s="14"/>
      <c r="N1" s="14"/>
      <c r="O1" s="14"/>
      <c r="P1" s="14"/>
    </row>
    <row r="2" spans="1:16" customFormat="1" ht="18.5" x14ac:dyDescent="0.45">
      <c r="A2" s="54" t="str">
        <f>proj</f>
        <v>Infrastructure refresh risk</v>
      </c>
      <c r="B2" s="14"/>
      <c r="C2" s="14"/>
      <c r="D2" s="42"/>
      <c r="E2" s="14"/>
      <c r="F2" s="14"/>
      <c r="G2" s="14"/>
      <c r="H2" s="14"/>
      <c r="I2" s="14"/>
      <c r="J2" s="14"/>
      <c r="K2" s="14"/>
      <c r="L2" s="14"/>
      <c r="M2" s="14"/>
      <c r="N2" s="14"/>
      <c r="O2" s="14"/>
      <c r="P2" s="14"/>
    </row>
    <row r="4" spans="1:16" s="285" customFormat="1" x14ac:dyDescent="0.3">
      <c r="A4" s="285" t="s">
        <v>228</v>
      </c>
      <c r="E4" s="286"/>
    </row>
    <row r="5" spans="1:16" ht="14.5" x14ac:dyDescent="0.35">
      <c r="A5" s="244"/>
      <c r="B5" s="244"/>
      <c r="C5" s="244"/>
      <c r="D5" s="244"/>
      <c r="E5" s="260"/>
    </row>
    <row r="6" spans="1:16" x14ac:dyDescent="0.3">
      <c r="B6" s="279" t="str">
        <f>Assumptions!$C$14&amp;" - "&amp;Assumptions!$E$14</f>
        <v>Option 1 (base case) - Maintain status quo</v>
      </c>
      <c r="C6" s="279"/>
      <c r="D6" s="278"/>
      <c r="E6" s="277"/>
    </row>
    <row r="7" spans="1:16" ht="14.5" x14ac:dyDescent="0.35">
      <c r="G7" s="244"/>
    </row>
    <row r="8" spans="1:16" ht="14.5" x14ac:dyDescent="0.35">
      <c r="G8" s="244"/>
    </row>
    <row r="9" spans="1:16" ht="14.5" x14ac:dyDescent="0.35">
      <c r="B9" s="276" t="s">
        <v>275</v>
      </c>
      <c r="C9" s="276" t="s">
        <v>274</v>
      </c>
      <c r="D9" s="315" t="s">
        <v>276</v>
      </c>
      <c r="E9" s="275" t="s">
        <v>272</v>
      </c>
      <c r="G9" s="244"/>
    </row>
    <row r="10" spans="1:16" ht="38.5" x14ac:dyDescent="0.35">
      <c r="B10" s="327" t="s">
        <v>353</v>
      </c>
      <c r="C10" s="327" t="s">
        <v>266</v>
      </c>
      <c r="D10" s="342">
        <v>1</v>
      </c>
      <c r="E10" s="284" t="s">
        <v>355</v>
      </c>
      <c r="G10" s="244"/>
    </row>
    <row r="11" spans="1:16" s="256" customFormat="1" ht="12.5" x14ac:dyDescent="0.25">
      <c r="B11" s="269" t="s">
        <v>318</v>
      </c>
      <c r="C11" s="269"/>
      <c r="D11" s="271">
        <f>'General risk inputs'!$D$17</f>
        <v>1289</v>
      </c>
      <c r="E11" s="267" t="s">
        <v>262</v>
      </c>
      <c r="G11" s="261"/>
      <c r="H11" s="261"/>
      <c r="I11" s="261"/>
    </row>
    <row r="12" spans="1:16" s="256" customFormat="1" ht="12.5" x14ac:dyDescent="0.25">
      <c r="B12" s="269" t="s">
        <v>317</v>
      </c>
      <c r="C12" s="269" t="s">
        <v>315</v>
      </c>
      <c r="D12" s="313">
        <v>0.7</v>
      </c>
      <c r="E12" s="284" t="s">
        <v>332</v>
      </c>
      <c r="G12" s="261"/>
      <c r="H12" s="261"/>
      <c r="I12" s="261"/>
    </row>
    <row r="13" spans="1:16" ht="14.5" x14ac:dyDescent="0.35">
      <c r="B13" s="269" t="s">
        <v>313</v>
      </c>
      <c r="C13" s="269" t="s">
        <v>266</v>
      </c>
      <c r="D13" s="298">
        <f>D11*D12</f>
        <v>902.3</v>
      </c>
      <c r="E13" s="284" t="s">
        <v>52</v>
      </c>
      <c r="G13" s="244"/>
    </row>
    <row r="14" spans="1:16" ht="14.5" x14ac:dyDescent="0.35">
      <c r="B14" s="269" t="s">
        <v>351</v>
      </c>
      <c r="C14" s="269" t="s">
        <v>307</v>
      </c>
      <c r="D14" s="271">
        <f>'General risk inputs'!$D$9</f>
        <v>145.78</v>
      </c>
      <c r="E14" s="267" t="s">
        <v>262</v>
      </c>
      <c r="G14" s="244"/>
    </row>
    <row r="15" spans="1:16" ht="26" x14ac:dyDescent="0.35">
      <c r="B15" s="269" t="s">
        <v>350</v>
      </c>
      <c r="C15" s="269" t="s">
        <v>288</v>
      </c>
      <c r="D15" s="340">
        <v>12</v>
      </c>
      <c r="E15" s="284" t="s">
        <v>349</v>
      </c>
      <c r="G15" s="244"/>
    </row>
    <row r="16" spans="1:16" ht="14.5" x14ac:dyDescent="0.35">
      <c r="B16" s="256"/>
      <c r="C16" s="256"/>
      <c r="D16" s="256"/>
      <c r="G16" s="244"/>
    </row>
    <row r="17" spans="2:9" x14ac:dyDescent="0.3">
      <c r="B17" s="279" t="str">
        <f>Assumptions!$C$15&amp;" - "&amp;Assumptions!$E$15</f>
        <v>Option 2 - Maintain existing infrastructure with more frequent upgrades</v>
      </c>
      <c r="C17" s="279"/>
      <c r="D17" s="278"/>
      <c r="E17" s="277"/>
    </row>
    <row r="20" spans="2:9" x14ac:dyDescent="0.3">
      <c r="B20" s="276" t="s">
        <v>275</v>
      </c>
      <c r="C20" s="276" t="s">
        <v>274</v>
      </c>
      <c r="D20" s="315" t="s">
        <v>276</v>
      </c>
      <c r="E20" s="275" t="s">
        <v>272</v>
      </c>
    </row>
    <row r="21" spans="2:9" ht="38" x14ac:dyDescent="0.3">
      <c r="B21" s="269" t="s">
        <v>353</v>
      </c>
      <c r="C21" s="269" t="s">
        <v>266</v>
      </c>
      <c r="D21" s="341">
        <v>0.5</v>
      </c>
      <c r="E21" s="284" t="s">
        <v>354</v>
      </c>
    </row>
    <row r="22" spans="2:9" s="256" customFormat="1" ht="12.5" x14ac:dyDescent="0.25">
      <c r="B22" s="269" t="s">
        <v>318</v>
      </c>
      <c r="C22" s="269"/>
      <c r="D22" s="271">
        <f>'General risk inputs'!$D$17</f>
        <v>1289</v>
      </c>
      <c r="E22" s="267" t="s">
        <v>262</v>
      </c>
      <c r="G22" s="261"/>
      <c r="H22" s="261"/>
      <c r="I22" s="261"/>
    </row>
    <row r="23" spans="2:9" s="256" customFormat="1" ht="12.5" x14ac:dyDescent="0.25">
      <c r="B23" s="269" t="s">
        <v>317</v>
      </c>
      <c r="C23" s="269" t="s">
        <v>315</v>
      </c>
      <c r="D23" s="313">
        <v>0.7</v>
      </c>
      <c r="E23" s="284" t="s">
        <v>332</v>
      </c>
      <c r="G23" s="261"/>
      <c r="H23" s="261"/>
      <c r="I23" s="261"/>
    </row>
    <row r="24" spans="2:9" x14ac:dyDescent="0.3">
      <c r="B24" s="269" t="s">
        <v>313</v>
      </c>
      <c r="C24" s="269" t="s">
        <v>266</v>
      </c>
      <c r="D24" s="298">
        <f>D22*D23</f>
        <v>902.3</v>
      </c>
      <c r="E24" s="284" t="s">
        <v>52</v>
      </c>
    </row>
    <row r="25" spans="2:9" x14ac:dyDescent="0.3">
      <c r="B25" s="269" t="s">
        <v>351</v>
      </c>
      <c r="C25" s="269" t="s">
        <v>307</v>
      </c>
      <c r="D25" s="271">
        <f>'General risk inputs'!$D$9</f>
        <v>145.78</v>
      </c>
      <c r="E25" s="267" t="s">
        <v>262</v>
      </c>
    </row>
    <row r="26" spans="2:9" ht="25.5" x14ac:dyDescent="0.3">
      <c r="B26" s="269" t="s">
        <v>350</v>
      </c>
      <c r="C26" s="269" t="s">
        <v>288</v>
      </c>
      <c r="D26" s="340">
        <v>12</v>
      </c>
      <c r="E26" s="284" t="s">
        <v>349</v>
      </c>
    </row>
    <row r="27" spans="2:9" x14ac:dyDescent="0.3">
      <c r="E27" s="280"/>
    </row>
    <row r="28" spans="2:9" x14ac:dyDescent="0.3">
      <c r="B28" s="279" t="str">
        <f>Assumptions!$C$16&amp;" - "&amp;Assumptions!$E$16</f>
        <v>Option 3 - Criteria-based IT infrastructure refresh</v>
      </c>
      <c r="C28" s="279"/>
      <c r="D28" s="278"/>
      <c r="E28" s="277"/>
    </row>
    <row r="31" spans="2:9" x14ac:dyDescent="0.3">
      <c r="B31" s="276" t="s">
        <v>275</v>
      </c>
      <c r="C31" s="276" t="s">
        <v>274</v>
      </c>
      <c r="D31" s="315" t="s">
        <v>276</v>
      </c>
      <c r="E31" s="275" t="s">
        <v>272</v>
      </c>
    </row>
    <row r="32" spans="2:9" ht="38" x14ac:dyDescent="0.3">
      <c r="B32" s="269" t="s">
        <v>353</v>
      </c>
      <c r="C32" s="269" t="s">
        <v>266</v>
      </c>
      <c r="D32" s="341">
        <v>0.2</v>
      </c>
      <c r="E32" s="284" t="s">
        <v>352</v>
      </c>
    </row>
    <row r="33" spans="2:9" s="256" customFormat="1" ht="12.5" x14ac:dyDescent="0.25">
      <c r="B33" s="269" t="s">
        <v>318</v>
      </c>
      <c r="C33" s="269"/>
      <c r="D33" s="271">
        <f>'General risk inputs'!$D$17</f>
        <v>1289</v>
      </c>
      <c r="E33" s="267" t="s">
        <v>262</v>
      </c>
      <c r="G33" s="261"/>
      <c r="H33" s="261"/>
      <c r="I33" s="261"/>
    </row>
    <row r="34" spans="2:9" s="256" customFormat="1" ht="12.5" x14ac:dyDescent="0.25">
      <c r="B34" s="269" t="s">
        <v>317</v>
      </c>
      <c r="C34" s="269" t="s">
        <v>315</v>
      </c>
      <c r="D34" s="313">
        <v>0.7</v>
      </c>
      <c r="E34" s="284" t="s">
        <v>332</v>
      </c>
      <c r="G34" s="261"/>
      <c r="H34" s="261"/>
      <c r="I34" s="261"/>
    </row>
    <row r="35" spans="2:9" x14ac:dyDescent="0.3">
      <c r="B35" s="269" t="s">
        <v>313</v>
      </c>
      <c r="C35" s="269" t="s">
        <v>266</v>
      </c>
      <c r="D35" s="298">
        <f>D33*D34</f>
        <v>902.3</v>
      </c>
      <c r="E35" s="284" t="s">
        <v>52</v>
      </c>
    </row>
    <row r="36" spans="2:9" x14ac:dyDescent="0.3">
      <c r="B36" s="269" t="s">
        <v>351</v>
      </c>
      <c r="C36" s="269" t="s">
        <v>307</v>
      </c>
      <c r="D36" s="271">
        <f>'General risk inputs'!$D$9</f>
        <v>145.78</v>
      </c>
      <c r="E36" s="267" t="s">
        <v>262</v>
      </c>
    </row>
    <row r="37" spans="2:9" ht="25.5" x14ac:dyDescent="0.3">
      <c r="B37" s="269" t="s">
        <v>350</v>
      </c>
      <c r="C37" s="269" t="s">
        <v>288</v>
      </c>
      <c r="D37" s="340">
        <v>12</v>
      </c>
      <c r="E37" s="284" t="s">
        <v>349</v>
      </c>
    </row>
    <row r="38" spans="2:9" x14ac:dyDescent="0.3">
      <c r="B38" s="281"/>
      <c r="C38" s="281"/>
      <c r="D38" s="256"/>
      <c r="E38" s="280"/>
    </row>
    <row r="39" spans="2:9" x14ac:dyDescent="0.3">
      <c r="B39" s="279" t="str">
        <f>Assumptions!$C$17&amp;" - "&amp;Assumptions!$E$17</f>
        <v>Option 4 - Public cloud infrastructure refresh</v>
      </c>
      <c r="C39" s="279"/>
      <c r="D39" s="278"/>
      <c r="E39" s="277"/>
    </row>
    <row r="42" spans="2:9" x14ac:dyDescent="0.3">
      <c r="B42" s="276" t="s">
        <v>275</v>
      </c>
      <c r="C42" s="276" t="s">
        <v>274</v>
      </c>
      <c r="D42" s="315" t="s">
        <v>276</v>
      </c>
      <c r="E42" s="275" t="s">
        <v>272</v>
      </c>
    </row>
    <row r="43" spans="2:9" ht="38" x14ac:dyDescent="0.3">
      <c r="B43" s="269" t="s">
        <v>353</v>
      </c>
      <c r="C43" s="269" t="s">
        <v>266</v>
      </c>
      <c r="D43" s="341">
        <v>0.1</v>
      </c>
      <c r="E43" s="284" t="s">
        <v>352</v>
      </c>
    </row>
    <row r="44" spans="2:9" s="256" customFormat="1" ht="12.5" x14ac:dyDescent="0.25">
      <c r="B44" s="269" t="s">
        <v>318</v>
      </c>
      <c r="C44" s="269"/>
      <c r="D44" s="271">
        <f>'General risk inputs'!$D$17</f>
        <v>1289</v>
      </c>
      <c r="E44" s="267" t="s">
        <v>262</v>
      </c>
      <c r="G44" s="261"/>
      <c r="H44" s="261"/>
      <c r="I44" s="261"/>
    </row>
    <row r="45" spans="2:9" s="256" customFormat="1" ht="12.5" x14ac:dyDescent="0.25">
      <c r="B45" s="269" t="s">
        <v>317</v>
      </c>
      <c r="C45" s="269" t="s">
        <v>315</v>
      </c>
      <c r="D45" s="313">
        <v>0.7</v>
      </c>
      <c r="E45" s="284" t="s">
        <v>332</v>
      </c>
      <c r="G45" s="261"/>
      <c r="H45" s="261"/>
      <c r="I45" s="261"/>
    </row>
    <row r="46" spans="2:9" x14ac:dyDescent="0.3">
      <c r="B46" s="269" t="s">
        <v>313</v>
      </c>
      <c r="C46" s="269" t="s">
        <v>266</v>
      </c>
      <c r="D46" s="298">
        <f>D44*D45</f>
        <v>902.3</v>
      </c>
      <c r="E46" s="284" t="s">
        <v>52</v>
      </c>
    </row>
    <row r="47" spans="2:9" x14ac:dyDescent="0.3">
      <c r="B47" s="269" t="s">
        <v>351</v>
      </c>
      <c r="C47" s="269" t="s">
        <v>307</v>
      </c>
      <c r="D47" s="271">
        <f>'General risk inputs'!$D$9</f>
        <v>145.78</v>
      </c>
      <c r="E47" s="267" t="s">
        <v>262</v>
      </c>
    </row>
    <row r="48" spans="2:9" ht="25.5" x14ac:dyDescent="0.3">
      <c r="B48" s="269" t="s">
        <v>350</v>
      </c>
      <c r="C48" s="269" t="s">
        <v>288</v>
      </c>
      <c r="D48" s="340">
        <v>12</v>
      </c>
      <c r="E48" s="284" t="s">
        <v>349</v>
      </c>
    </row>
    <row r="49" spans="1:8" ht="14.5" x14ac:dyDescent="0.35">
      <c r="A49" s="244"/>
      <c r="B49" s="244"/>
      <c r="C49" s="244"/>
      <c r="D49" s="244"/>
      <c r="E49" s="260"/>
      <c r="F49" s="244"/>
      <c r="G49" s="244"/>
      <c r="H49" s="244"/>
    </row>
    <row r="77" spans="1:7" x14ac:dyDescent="0.3">
      <c r="B77" s="266" t="s">
        <v>261</v>
      </c>
      <c r="C77" s="265"/>
      <c r="D77" s="265"/>
      <c r="E77" s="264"/>
    </row>
    <row r="78" spans="1:7" ht="14.5" x14ac:dyDescent="0.35">
      <c r="A78" s="244"/>
      <c r="B78" s="261"/>
      <c r="C78" s="261"/>
      <c r="D78" s="261"/>
      <c r="E78" s="305"/>
      <c r="F78" s="261"/>
      <c r="G78" s="244"/>
    </row>
    <row r="79" spans="1:7" ht="14.5" x14ac:dyDescent="0.35">
      <c r="A79" s="244"/>
      <c r="B79" s="262" t="s">
        <v>260</v>
      </c>
      <c r="C79" s="261"/>
      <c r="D79" s="261"/>
      <c r="E79" s="305"/>
      <c r="F79" s="261"/>
      <c r="G79" s="244"/>
    </row>
    <row r="80" spans="1:7" ht="14.5" x14ac:dyDescent="0.35">
      <c r="A80" s="244"/>
      <c r="B80" s="250" t="s">
        <v>1</v>
      </c>
      <c r="C80" s="250" t="s">
        <v>259</v>
      </c>
      <c r="D80" s="250" t="s">
        <v>258</v>
      </c>
      <c r="E80" s="305"/>
      <c r="F80" s="261"/>
      <c r="G80" s="244"/>
    </row>
    <row r="81" spans="1:7" ht="14.5" x14ac:dyDescent="0.35">
      <c r="A81" s="244"/>
      <c r="B81" s="249" t="s">
        <v>249</v>
      </c>
      <c r="C81" s="263">
        <f>D10</f>
        <v>1</v>
      </c>
      <c r="D81" s="249" t="str">
        <f>INDEX(Likelihood,MATCH(C81,'General risk inputs'!$D$54:$D$59,0))</f>
        <v>Annual</v>
      </c>
      <c r="E81" s="305"/>
      <c r="F81" s="261"/>
      <c r="G81" s="244"/>
    </row>
    <row r="82" spans="1:7" ht="14.5" x14ac:dyDescent="0.35">
      <c r="A82" s="244"/>
      <c r="B82" s="249" t="s">
        <v>92</v>
      </c>
      <c r="C82" s="263">
        <f>D21</f>
        <v>0.5</v>
      </c>
      <c r="D82" s="249" t="str">
        <f>INDEX(Likelihood,MATCH(C82,'General risk inputs'!$D$54:$D$59,0))</f>
        <v>Every 2 years</v>
      </c>
      <c r="E82" s="305"/>
      <c r="F82" s="261"/>
    </row>
    <row r="83" spans="1:7" ht="14.5" x14ac:dyDescent="0.35">
      <c r="A83" s="244"/>
      <c r="B83" s="249" t="s">
        <v>93</v>
      </c>
      <c r="C83" s="263">
        <f>D32</f>
        <v>0.2</v>
      </c>
      <c r="D83" s="249" t="str">
        <f>INDEX(Likelihood,MATCH(C83,'General risk inputs'!$D$54:$D$59,0))</f>
        <v>Every 5 years</v>
      </c>
      <c r="E83" s="305"/>
      <c r="F83" s="261"/>
      <c r="G83" s="244"/>
    </row>
    <row r="84" spans="1:7" ht="14.5" x14ac:dyDescent="0.35">
      <c r="A84" s="244"/>
      <c r="B84" s="249" t="s">
        <v>94</v>
      </c>
      <c r="C84" s="263">
        <f>D43</f>
        <v>0.1</v>
      </c>
      <c r="D84" s="249" t="str">
        <f>INDEX(Likelihood,MATCH(C84,'General risk inputs'!$D$54:$D$59,0))</f>
        <v>Every 10 years</v>
      </c>
      <c r="E84" s="305"/>
      <c r="F84" s="261"/>
      <c r="G84" s="244"/>
    </row>
    <row r="85" spans="1:7" ht="14.5" x14ac:dyDescent="0.35">
      <c r="A85" s="244"/>
      <c r="B85" s="261"/>
      <c r="C85" s="261"/>
      <c r="D85" s="261"/>
      <c r="E85" s="305"/>
      <c r="F85" s="261"/>
      <c r="G85" s="244"/>
    </row>
    <row r="86" spans="1:7" ht="14.5" x14ac:dyDescent="0.35">
      <c r="A86" s="244"/>
      <c r="B86" s="262" t="s">
        <v>257</v>
      </c>
      <c r="C86" s="261"/>
      <c r="D86" s="293"/>
      <c r="E86" s="339"/>
      <c r="F86" s="293"/>
      <c r="G86" s="293"/>
    </row>
    <row r="87" spans="1:7" ht="14.5" x14ac:dyDescent="0.35">
      <c r="A87" s="244"/>
      <c r="B87" s="250" t="s">
        <v>257</v>
      </c>
      <c r="C87" s="250" t="s">
        <v>304</v>
      </c>
      <c r="D87" s="261"/>
      <c r="E87" s="339"/>
      <c r="F87" s="293"/>
      <c r="G87" s="293"/>
    </row>
    <row r="88" spans="1:7" x14ac:dyDescent="0.3">
      <c r="B88" s="249" t="s">
        <v>249</v>
      </c>
      <c r="C88" s="307">
        <f>D13*D14*D15</f>
        <v>1578447.5279999999</v>
      </c>
      <c r="D88" s="261"/>
      <c r="E88" s="339"/>
      <c r="F88" s="293"/>
      <c r="G88" s="293"/>
    </row>
    <row r="89" spans="1:7" x14ac:dyDescent="0.3">
      <c r="B89" s="249" t="s">
        <v>92</v>
      </c>
      <c r="C89" s="257">
        <f>D24*D25*D26</f>
        <v>1578447.5279999999</v>
      </c>
      <c r="D89" s="261"/>
      <c r="E89" s="339"/>
      <c r="F89" s="293"/>
      <c r="G89" s="293"/>
    </row>
    <row r="90" spans="1:7" x14ac:dyDescent="0.3">
      <c r="B90" s="249" t="s">
        <v>93</v>
      </c>
      <c r="C90" s="307">
        <f>D35*D36*D37</f>
        <v>1578447.5279999999</v>
      </c>
      <c r="D90" s="261"/>
      <c r="E90" s="339"/>
      <c r="F90" s="293"/>
      <c r="G90" s="293"/>
    </row>
    <row r="91" spans="1:7" x14ac:dyDescent="0.3">
      <c r="B91" s="249" t="s">
        <v>94</v>
      </c>
      <c r="C91" s="307">
        <f>D46*D47*D48</f>
        <v>1578447.5279999999</v>
      </c>
      <c r="D91" s="256"/>
      <c r="E91" s="339"/>
      <c r="F91" s="293"/>
      <c r="G91" s="293"/>
    </row>
    <row r="92" spans="1:7" x14ac:dyDescent="0.3">
      <c r="B92" s="256"/>
      <c r="C92" s="256"/>
      <c r="D92" s="256"/>
      <c r="E92" s="339"/>
      <c r="F92" s="293"/>
      <c r="G92" s="293"/>
    </row>
    <row r="93" spans="1:7" x14ac:dyDescent="0.3">
      <c r="B93" s="251" t="s">
        <v>252</v>
      </c>
      <c r="C93" s="256"/>
      <c r="D93" s="256"/>
      <c r="E93" s="339"/>
      <c r="F93" s="293"/>
      <c r="G93" s="293"/>
    </row>
    <row r="94" spans="1:7" x14ac:dyDescent="0.3">
      <c r="B94" s="250" t="s">
        <v>257</v>
      </c>
      <c r="C94" s="388" t="s">
        <v>409</v>
      </c>
      <c r="D94" s="306"/>
      <c r="E94" s="339"/>
      <c r="F94" s="293"/>
      <c r="G94" s="293"/>
    </row>
    <row r="95" spans="1:7" x14ac:dyDescent="0.3">
      <c r="B95" s="249" t="s">
        <v>249</v>
      </c>
      <c r="C95" s="248">
        <f>C81*C88</f>
        <v>1578447.5279999999</v>
      </c>
      <c r="D95" s="304"/>
      <c r="E95" s="302"/>
      <c r="F95" s="293"/>
      <c r="G95" s="293"/>
    </row>
    <row r="96" spans="1:7" x14ac:dyDescent="0.3">
      <c r="B96" s="249" t="s">
        <v>92</v>
      </c>
      <c r="C96" s="248">
        <f>C82*C89</f>
        <v>789223.76399999997</v>
      </c>
      <c r="D96" s="303"/>
      <c r="E96" s="302"/>
      <c r="F96" s="293"/>
      <c r="G96" s="293"/>
    </row>
    <row r="97" spans="2:7" x14ac:dyDescent="0.3">
      <c r="B97" s="249" t="s">
        <v>93</v>
      </c>
      <c r="C97" s="248">
        <f>C83*C90</f>
        <v>315689.50560000003</v>
      </c>
      <c r="D97" s="303"/>
      <c r="E97" s="302"/>
      <c r="F97" s="293"/>
      <c r="G97" s="293"/>
    </row>
    <row r="98" spans="2:7" x14ac:dyDescent="0.3">
      <c r="B98" s="249" t="s">
        <v>94</v>
      </c>
      <c r="C98" s="248">
        <f>C84*C91</f>
        <v>157844.75280000002</v>
      </c>
      <c r="D98" s="303"/>
      <c r="E98" s="302"/>
      <c r="F98" s="293"/>
      <c r="G98" s="293"/>
    </row>
    <row r="99" spans="2:7" x14ac:dyDescent="0.3">
      <c r="E99" s="302"/>
    </row>
    <row r="100" spans="2:7" x14ac:dyDescent="0.3">
      <c r="B100" s="251" t="s">
        <v>250</v>
      </c>
      <c r="E100" s="302"/>
    </row>
    <row r="101" spans="2:7" x14ac:dyDescent="0.3">
      <c r="B101" s="250" t="s">
        <v>1</v>
      </c>
      <c r="C101" s="250" t="s">
        <v>250</v>
      </c>
      <c r="E101" s="302"/>
    </row>
    <row r="102" spans="2:7" x14ac:dyDescent="0.3">
      <c r="B102" s="249" t="s">
        <v>249</v>
      </c>
      <c r="C102" s="248" t="s">
        <v>248</v>
      </c>
      <c r="E102" s="302"/>
    </row>
    <row r="103" spans="2:7" x14ac:dyDescent="0.3">
      <c r="B103" s="249" t="s">
        <v>92</v>
      </c>
      <c r="C103" s="248">
        <f>$C$95-C96</f>
        <v>789223.76399999997</v>
      </c>
      <c r="E103" s="302"/>
    </row>
    <row r="104" spans="2:7" x14ac:dyDescent="0.3">
      <c r="B104" s="249" t="s">
        <v>93</v>
      </c>
      <c r="C104" s="248">
        <f>$C$95-C97</f>
        <v>1262758.0223999999</v>
      </c>
      <c r="E104" s="302"/>
    </row>
    <row r="105" spans="2:7" x14ac:dyDescent="0.3">
      <c r="B105" s="249" t="s">
        <v>94</v>
      </c>
      <c r="C105" s="248">
        <f>$C$95-C98</f>
        <v>1420602.7752</v>
      </c>
      <c r="E105" s="30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63"/>
  <sheetViews>
    <sheetView showGridLines="0" zoomScale="70" zoomScaleNormal="70" workbookViewId="0">
      <selection sqref="A1:XFD2"/>
    </sheetView>
  </sheetViews>
  <sheetFormatPr defaultRowHeight="13.5" x14ac:dyDescent="0.3"/>
  <cols>
    <col min="2" max="2" width="21.3828125" customWidth="1"/>
    <col min="3" max="3" width="20.4609375" customWidth="1"/>
    <col min="4" max="4" width="14.4609375" style="43" customWidth="1"/>
    <col min="5" max="5" width="14.4609375" customWidth="1"/>
    <col min="8" max="8" width="10.84375" customWidth="1"/>
    <col min="9" max="13" width="11.4609375" bestFit="1" customWidth="1"/>
    <col min="14" max="17" width="10.84375" customWidth="1"/>
    <col min="18" max="18" width="12.61328125" customWidth="1"/>
  </cols>
  <sheetData>
    <row r="1" spans="1:23" ht="18.5" x14ac:dyDescent="0.45">
      <c r="A1" s="14" t="str">
        <f>bus</f>
        <v>United Energy</v>
      </c>
      <c r="B1" s="14"/>
      <c r="C1" s="14"/>
      <c r="D1" s="42"/>
      <c r="E1" s="14"/>
      <c r="F1" s="14"/>
      <c r="G1" s="14"/>
      <c r="H1" s="14"/>
      <c r="I1" s="14"/>
      <c r="J1" s="14"/>
      <c r="K1" s="14"/>
      <c r="L1" s="14"/>
      <c r="M1" s="14"/>
      <c r="N1" s="14"/>
      <c r="O1" s="14"/>
      <c r="P1" s="14"/>
    </row>
    <row r="2" spans="1:23" ht="18.5" x14ac:dyDescent="0.45">
      <c r="A2" s="54" t="str">
        <f>proj</f>
        <v>Infrastructure refresh risk</v>
      </c>
      <c r="B2" s="14"/>
      <c r="C2" s="14"/>
      <c r="D2" s="42"/>
      <c r="E2" s="14"/>
      <c r="F2" s="14"/>
      <c r="G2" s="14"/>
      <c r="H2" s="14"/>
      <c r="I2" s="14"/>
      <c r="J2" s="14"/>
      <c r="K2" s="14"/>
      <c r="L2" s="14"/>
      <c r="M2" s="14"/>
      <c r="N2" s="14"/>
      <c r="O2" s="14"/>
      <c r="P2" s="14"/>
    </row>
    <row r="3" spans="1:23" ht="15.5" x14ac:dyDescent="0.35">
      <c r="A3" s="5"/>
    </row>
    <row r="4" spans="1:23" s="1" customFormat="1" ht="14.5" x14ac:dyDescent="0.3">
      <c r="A4" s="17" t="s">
        <v>139</v>
      </c>
      <c r="B4" s="17"/>
      <c r="C4" s="15"/>
      <c r="D4" s="15"/>
      <c r="E4" s="15"/>
      <c r="F4" s="15"/>
      <c r="G4" s="15"/>
      <c r="H4" s="15"/>
      <c r="I4" s="15"/>
      <c r="J4" s="15"/>
      <c r="K4" s="15"/>
      <c r="L4" s="15"/>
      <c r="M4" s="16"/>
      <c r="N4" s="16"/>
      <c r="O4" s="16"/>
      <c r="P4" s="16"/>
    </row>
    <row r="5" spans="1:23" s="1" customFormat="1" ht="13" x14ac:dyDescent="0.3"/>
    <row r="6" spans="1:23" s="1" customFormat="1" ht="13" x14ac:dyDescent="0.3">
      <c r="B6" s="71" t="s">
        <v>90</v>
      </c>
      <c r="C6" s="71"/>
      <c r="D6" s="44"/>
      <c r="E6" s="28"/>
      <c r="F6" s="40"/>
      <c r="G6" s="28"/>
      <c r="H6" s="41">
        <v>44377</v>
      </c>
      <c r="I6" s="39">
        <f>IF(EOMONTH(H6,12)&gt;output_dollars, output_dollars, EOMONTH(H6,12))</f>
        <v>44742</v>
      </c>
      <c r="J6" s="39">
        <f>IF(EOMONTH(I6,12)&gt;output_dollars, output_dollars, EOMONTH(I6,12))</f>
        <v>45107</v>
      </c>
      <c r="K6" s="39">
        <f>IF(EOMONTH(J6,12)&gt;output_dollars, output_dollars, EOMONTH(J6,12))</f>
        <v>45473</v>
      </c>
      <c r="L6" s="39">
        <f>IF(EOMONTH(K6,12)&gt;output_dollars, output_dollars, EOMONTH(K6,12))</f>
        <v>45838</v>
      </c>
      <c r="M6" s="39">
        <f>IF(EOMONTH(L6,12)&gt;output_dollars, output_dollars, EOMONTH(L6,12))</f>
        <v>46203</v>
      </c>
    </row>
    <row r="7" spans="1:23" s="21" customFormat="1" x14ac:dyDescent="0.3">
      <c r="D7" s="45"/>
      <c r="N7" s="1"/>
      <c r="O7"/>
      <c r="P7"/>
      <c r="Q7"/>
      <c r="R7"/>
      <c r="S7"/>
      <c r="T7"/>
      <c r="U7"/>
      <c r="V7"/>
      <c r="W7"/>
    </row>
    <row r="8" spans="1:23" s="21" customFormat="1" x14ac:dyDescent="0.3">
      <c r="B8" s="21" t="s">
        <v>21</v>
      </c>
      <c r="D8" s="45"/>
      <c r="H8" s="394">
        <v>0</v>
      </c>
      <c r="I8" s="394">
        <v>8.6E-3</v>
      </c>
      <c r="J8" s="394">
        <v>3.5000000000000003E-2</v>
      </c>
      <c r="K8" s="394">
        <v>7.8299999999999995E-2</v>
      </c>
      <c r="L8" s="394">
        <v>4.0500000000000001E-2</v>
      </c>
      <c r="M8" s="394">
        <v>0.03</v>
      </c>
      <c r="N8" s="1"/>
      <c r="O8"/>
      <c r="P8"/>
      <c r="Q8"/>
      <c r="R8"/>
      <c r="S8"/>
      <c r="T8"/>
      <c r="U8"/>
      <c r="V8"/>
      <c r="W8"/>
    </row>
    <row r="9" spans="1:23" s="1" customFormat="1" x14ac:dyDescent="0.3">
      <c r="D9" s="11"/>
      <c r="O9"/>
      <c r="P9"/>
      <c r="Q9"/>
      <c r="R9"/>
      <c r="S9"/>
      <c r="T9"/>
      <c r="U9"/>
      <c r="V9"/>
      <c r="W9"/>
    </row>
    <row r="10" spans="1:23" s="1" customFormat="1" x14ac:dyDescent="0.3">
      <c r="D10" s="11"/>
      <c r="O10"/>
      <c r="P10"/>
      <c r="Q10"/>
      <c r="R10"/>
      <c r="S10"/>
      <c r="T10"/>
      <c r="U10"/>
      <c r="V10"/>
      <c r="W10"/>
    </row>
    <row r="11" spans="1:23" s="1" customFormat="1" x14ac:dyDescent="0.3">
      <c r="A11"/>
      <c r="B11" s="21" t="s">
        <v>58</v>
      </c>
      <c r="C11"/>
      <c r="D11"/>
      <c r="E11"/>
      <c r="F11"/>
      <c r="G11"/>
      <c r="H11" s="72">
        <f>H6</f>
        <v>44377</v>
      </c>
      <c r="I11" s="72">
        <f>EOMONTH(H11,6)</f>
        <v>44561</v>
      </c>
      <c r="J11" s="72">
        <f>EOMONTH(I11,6)</f>
        <v>44742</v>
      </c>
      <c r="K11" s="72">
        <f t="shared" ref="K11:Q11" si="0">EOMONTH(J11,6)</f>
        <v>44926</v>
      </c>
      <c r="L11" s="72">
        <f t="shared" si="0"/>
        <v>45107</v>
      </c>
      <c r="M11" s="72">
        <f t="shared" si="0"/>
        <v>45291</v>
      </c>
      <c r="N11" s="72">
        <f t="shared" si="0"/>
        <v>45473</v>
      </c>
      <c r="O11" s="72">
        <f t="shared" si="0"/>
        <v>45657</v>
      </c>
      <c r="P11" s="72">
        <f t="shared" si="0"/>
        <v>45838</v>
      </c>
      <c r="Q11" s="72">
        <f t="shared" si="0"/>
        <v>46022</v>
      </c>
      <c r="R11" s="72">
        <f t="shared" ref="R11" si="1">EOMONTH(Q11,6)</f>
        <v>46203</v>
      </c>
      <c r="S11"/>
      <c r="T11"/>
      <c r="U11"/>
      <c r="V11"/>
      <c r="W11"/>
    </row>
    <row r="12" spans="1:23" s="1" customFormat="1" x14ac:dyDescent="0.3">
      <c r="A12"/>
      <c r="B12" s="21" t="s">
        <v>59</v>
      </c>
      <c r="C12"/>
      <c r="D12"/>
      <c r="E12"/>
      <c r="F12"/>
      <c r="G12"/>
      <c r="H12" s="70">
        <f t="shared" ref="H12:R12" si="2">IF(MONTH(H11)=12, EOMONTH(H11,6), H11)</f>
        <v>44377</v>
      </c>
      <c r="I12" s="70">
        <f t="shared" si="2"/>
        <v>44742</v>
      </c>
      <c r="J12" s="70">
        <f t="shared" si="2"/>
        <v>44742</v>
      </c>
      <c r="K12" s="70">
        <f t="shared" si="2"/>
        <v>45107</v>
      </c>
      <c r="L12" s="70">
        <f t="shared" si="2"/>
        <v>45107</v>
      </c>
      <c r="M12" s="70">
        <f t="shared" si="2"/>
        <v>45473</v>
      </c>
      <c r="N12" s="70">
        <f t="shared" si="2"/>
        <v>45473</v>
      </c>
      <c r="O12" s="70">
        <f t="shared" si="2"/>
        <v>45838</v>
      </c>
      <c r="P12" s="70">
        <f t="shared" si="2"/>
        <v>45838</v>
      </c>
      <c r="Q12" s="70">
        <f t="shared" si="2"/>
        <v>46203</v>
      </c>
      <c r="R12" s="70">
        <f t="shared" si="2"/>
        <v>46203</v>
      </c>
      <c r="S12"/>
      <c r="T12"/>
      <c r="U12"/>
      <c r="V12"/>
      <c r="W12"/>
    </row>
    <row r="13" spans="1:23" s="1" customFormat="1" x14ac:dyDescent="0.3">
      <c r="A13"/>
      <c r="B13" s="21" t="s">
        <v>21</v>
      </c>
      <c r="C13"/>
      <c r="D13"/>
      <c r="E13"/>
      <c r="F13"/>
      <c r="G13"/>
      <c r="H13" s="73">
        <f t="shared" ref="H13:R13" si="3">IF(output_dollars&lt;H12,0,INDEX($H$8:$M$8,MATCH(H12,CY_years,0)))</f>
        <v>0</v>
      </c>
      <c r="I13" s="73">
        <f>IF(output_dollars&lt;I12,0,INDEX($H$8:$M$8,MATCH(I12,CY_years,0)))</f>
        <v>8.6E-3</v>
      </c>
      <c r="J13" s="73">
        <f t="shared" si="3"/>
        <v>8.6E-3</v>
      </c>
      <c r="K13" s="73">
        <f t="shared" si="3"/>
        <v>3.5000000000000003E-2</v>
      </c>
      <c r="L13" s="73">
        <f t="shared" si="3"/>
        <v>3.5000000000000003E-2</v>
      </c>
      <c r="M13" s="73">
        <f t="shared" si="3"/>
        <v>7.8299999999999995E-2</v>
      </c>
      <c r="N13" s="73">
        <f t="shared" si="3"/>
        <v>7.8299999999999995E-2</v>
      </c>
      <c r="O13" s="73">
        <f t="shared" si="3"/>
        <v>4.0500000000000001E-2</v>
      </c>
      <c r="P13" s="73">
        <f t="shared" si="3"/>
        <v>4.0500000000000001E-2</v>
      </c>
      <c r="Q13" s="73">
        <f t="shared" si="3"/>
        <v>0.03</v>
      </c>
      <c r="R13" s="73">
        <f t="shared" si="3"/>
        <v>0.03</v>
      </c>
      <c r="S13"/>
      <c r="T13"/>
      <c r="U13"/>
      <c r="V13"/>
      <c r="W13"/>
    </row>
    <row r="14" spans="1:23" s="1" customFormat="1" x14ac:dyDescent="0.3">
      <c r="A14"/>
      <c r="B14"/>
      <c r="C14"/>
      <c r="D14"/>
      <c r="E14"/>
      <c r="F14"/>
      <c r="G14"/>
      <c r="S14"/>
      <c r="T14"/>
      <c r="U14"/>
      <c r="V14"/>
      <c r="W14"/>
    </row>
    <row r="15" spans="1:23" s="21" customFormat="1" x14ac:dyDescent="0.3">
      <c r="A15"/>
      <c r="B15" s="21" t="s">
        <v>60</v>
      </c>
      <c r="C15"/>
      <c r="D15"/>
      <c r="E15"/>
      <c r="F15"/>
      <c r="G15"/>
      <c r="H15" s="36">
        <v>1</v>
      </c>
      <c r="I15" s="21">
        <f t="shared" ref="I15:R15" si="4">H15*(1+I$13)^0.5</f>
        <v>1.004290794541103</v>
      </c>
      <c r="J15" s="21">
        <f t="shared" si="4"/>
        <v>1.0085999999999999</v>
      </c>
      <c r="K15" s="21">
        <f t="shared" si="4"/>
        <v>1.0260987031470217</v>
      </c>
      <c r="L15" s="21">
        <f t="shared" si="4"/>
        <v>1.0439009999999997</v>
      </c>
      <c r="M15" s="21">
        <f t="shared" si="4"/>
        <v>1.0839995857097076</v>
      </c>
      <c r="N15" s="21">
        <f t="shared" si="4"/>
        <v>1.1256384482999997</v>
      </c>
      <c r="O15" s="21">
        <f t="shared" si="4"/>
        <v>1.1482063942954794</v>
      </c>
      <c r="P15" s="21">
        <f t="shared" si="4"/>
        <v>1.1712268054561497</v>
      </c>
      <c r="Q15" s="21">
        <f t="shared" si="4"/>
        <v>1.1886653846703823</v>
      </c>
      <c r="R15" s="21">
        <f t="shared" si="4"/>
        <v>1.2063636096198342</v>
      </c>
      <c r="S15"/>
      <c r="T15"/>
      <c r="U15"/>
      <c r="V15"/>
      <c r="W15"/>
    </row>
    <row r="16" spans="1:23" s="21" customFormat="1" x14ac:dyDescent="0.3">
      <c r="A16"/>
      <c r="B16" s="21" t="s">
        <v>125</v>
      </c>
      <c r="C16" s="64">
        <f>input_dollars</f>
        <v>45473</v>
      </c>
      <c r="D16" s="21">
        <f>INDEX(hy_escalation, MATCH(C16,hy_dates,0))</f>
        <v>1.1256384482999997</v>
      </c>
      <c r="E16"/>
      <c r="F16"/>
      <c r="G16"/>
      <c r="S16"/>
      <c r="T16"/>
      <c r="U16"/>
      <c r="V16"/>
      <c r="W16"/>
    </row>
    <row r="17" spans="1:34" s="21" customFormat="1" x14ac:dyDescent="0.3">
      <c r="A17"/>
      <c r="B17" s="21" t="s">
        <v>126</v>
      </c>
      <c r="C17" s="64">
        <f>output_dollars</f>
        <v>46203</v>
      </c>
      <c r="D17" s="21">
        <f>INDEX(hy_escalation, MATCH(C17,hy_dates,0))</f>
        <v>1.2063636096198342</v>
      </c>
      <c r="E17"/>
      <c r="F17"/>
      <c r="G17"/>
      <c r="S17"/>
      <c r="T17"/>
      <c r="U17"/>
      <c r="V17"/>
      <c r="W17"/>
    </row>
    <row r="18" spans="1:34" s="1" customFormat="1" x14ac:dyDescent="0.3">
      <c r="A18"/>
      <c r="B18"/>
      <c r="C18"/>
      <c r="D18"/>
      <c r="E18"/>
      <c r="F18"/>
      <c r="G18"/>
      <c r="H18"/>
      <c r="I18"/>
      <c r="J18"/>
      <c r="K18"/>
      <c r="L18"/>
      <c r="M18"/>
      <c r="N18"/>
      <c r="O18"/>
      <c r="P18"/>
      <c r="Q18"/>
      <c r="R18"/>
      <c r="S18"/>
      <c r="T18"/>
      <c r="U18"/>
      <c r="V18"/>
      <c r="W18"/>
    </row>
    <row r="19" spans="1:34" x14ac:dyDescent="0.3">
      <c r="B19" s="21" t="s">
        <v>61</v>
      </c>
      <c r="D19" s="21">
        <f>D17/D16</f>
        <v>1.071715</v>
      </c>
    </row>
    <row r="20" spans="1:34" x14ac:dyDescent="0.3">
      <c r="B20" s="21"/>
      <c r="D20" s="21"/>
    </row>
    <row r="22" spans="1:34" s="1" customFormat="1" ht="14.5" x14ac:dyDescent="0.3">
      <c r="A22" s="17" t="s">
        <v>142</v>
      </c>
      <c r="B22" s="17"/>
      <c r="C22" s="15"/>
      <c r="D22" s="15"/>
      <c r="E22" s="15"/>
      <c r="F22" s="15"/>
      <c r="G22" s="15"/>
      <c r="H22" s="15"/>
      <c r="I22" s="15"/>
      <c r="J22" s="15"/>
      <c r="K22" s="15"/>
      <c r="L22" s="15"/>
      <c r="M22" s="16"/>
      <c r="N22" s="16"/>
      <c r="O22" s="16"/>
      <c r="P22" s="16"/>
    </row>
    <row r="25" spans="1:34" x14ac:dyDescent="0.3">
      <c r="B25" s="153" t="s">
        <v>1</v>
      </c>
      <c r="C25" s="154" t="s">
        <v>130</v>
      </c>
      <c r="D25" s="155" t="s">
        <v>138</v>
      </c>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x14ac:dyDescent="0.3">
      <c r="B26" s="113" t="s">
        <v>92</v>
      </c>
      <c r="C26" s="152">
        <f>Option2!$G$77</f>
        <v>1</v>
      </c>
      <c r="D26" s="9" t="b">
        <f>NOT(Data!C10)</f>
        <v>1</v>
      </c>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4" x14ac:dyDescent="0.3">
      <c r="B27" s="113" t="s">
        <v>93</v>
      </c>
      <c r="C27" s="152">
        <f>Option3!$G$77</f>
        <v>1</v>
      </c>
      <c r="D27" s="9" t="b">
        <f>NOT(Data!C11)</f>
        <v>1</v>
      </c>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4" x14ac:dyDescent="0.3">
      <c r="B28" s="113" t="s">
        <v>94</v>
      </c>
      <c r="C28" s="152">
        <f>Option4!$G$77</f>
        <v>1</v>
      </c>
      <c r="D28" s="9" t="b">
        <f>NOT(Data!C12)</f>
        <v>1</v>
      </c>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x14ac:dyDescent="0.3">
      <c r="B29" s="9"/>
      <c r="C29" s="76"/>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x14ac:dyDescent="0.3">
      <c r="B30" s="9"/>
      <c r="C30" s="76"/>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x14ac:dyDescent="0.3">
      <c r="B31" s="156" t="s">
        <v>130</v>
      </c>
      <c r="C31" s="156" cm="1">
        <f t="array" ref="C31">IF(OR(NOT(Data!$C$10:$C$12)), _xlfn.MINIFS($C$26:$C$28,$D$26:$D$28,TRUE), 0)</f>
        <v>1</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x14ac:dyDescent="0.3">
      <c r="B32" s="9"/>
      <c r="C32" s="76"/>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x14ac:dyDescent="0.3">
      <c r="A33" s="9"/>
      <c r="B33" s="9"/>
      <c r="C33" s="76"/>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x14ac:dyDescent="0.3">
      <c r="D34"/>
    </row>
    <row r="35" spans="1:34" x14ac:dyDescent="0.3">
      <c r="D35"/>
    </row>
    <row r="36" spans="1:34" s="1" customFormat="1" ht="14.5" x14ac:dyDescent="0.3">
      <c r="A36" s="17" t="s">
        <v>143</v>
      </c>
      <c r="B36" s="17"/>
      <c r="C36" s="15"/>
      <c r="D36" s="15"/>
      <c r="E36" s="15"/>
      <c r="F36" s="15"/>
      <c r="G36" s="15"/>
      <c r="H36" s="15"/>
      <c r="I36" s="15"/>
      <c r="J36" s="15"/>
      <c r="K36" s="15"/>
      <c r="L36" s="15"/>
      <c r="M36" s="16"/>
      <c r="N36" s="16"/>
      <c r="O36" s="16"/>
      <c r="P36" s="16"/>
    </row>
    <row r="39" spans="1:34" x14ac:dyDescent="0.3">
      <c r="B39" t="s">
        <v>103</v>
      </c>
      <c r="C39" t="b">
        <f>AND(SUM('Option1 (base case)'!$I13:$AG13)&lt;&gt;0, 'Option1 (base case)'!E13=0)</f>
        <v>0</v>
      </c>
      <c r="D39" s="43" t="b">
        <f>OR(C39:C41)</f>
        <v>0</v>
      </c>
    </row>
    <row r="40" spans="1:34" x14ac:dyDescent="0.3">
      <c r="C40" t="b">
        <f>AND(SUM('Option1 (base case)'!$I14:$AG14)&lt;&gt;0, 'Option1 (base case)'!E14=0)</f>
        <v>0</v>
      </c>
    </row>
    <row r="41" spans="1:34" x14ac:dyDescent="0.3">
      <c r="C41" t="b">
        <f>AND(SUM('Option1 (base case)'!$I15:$AG15)&lt;&gt;0, 'Option1 (base case)'!E15=0)</f>
        <v>0</v>
      </c>
    </row>
    <row r="43" spans="1:34" x14ac:dyDescent="0.3">
      <c r="B43" t="s">
        <v>92</v>
      </c>
      <c r="C43" t="b">
        <f>AND(SUM(Option2!$I13:$AG13)&lt;&gt;0, Option2!E13=0)</f>
        <v>0</v>
      </c>
      <c r="D43" s="43" t="b">
        <f>OR(C43:C45)</f>
        <v>0</v>
      </c>
    </row>
    <row r="44" spans="1:34" x14ac:dyDescent="0.3">
      <c r="C44" t="b">
        <f>AND(SUM(Option2!$I14:$AG14)&lt;&gt;0, Option2!E14=0)</f>
        <v>0</v>
      </c>
    </row>
    <row r="45" spans="1:34" x14ac:dyDescent="0.3">
      <c r="C45" t="b">
        <f>AND(SUM(Option2!$I15:$AG15)&lt;&gt;0, Option2!E15=0)</f>
        <v>0</v>
      </c>
    </row>
    <row r="47" spans="1:34" x14ac:dyDescent="0.3">
      <c r="B47" t="s">
        <v>93</v>
      </c>
      <c r="C47" t="b">
        <f>AND(SUM(Option3!$I13:$AG13)&lt;&gt;0, Option3!E13=0)</f>
        <v>0</v>
      </c>
      <c r="D47" s="43" t="b">
        <f>OR(C47:C49)</f>
        <v>0</v>
      </c>
    </row>
    <row r="48" spans="1:34" x14ac:dyDescent="0.3">
      <c r="C48" t="b">
        <f>AND(SUM(Option3!$I14:$AG14)&lt;&gt;0, Option3!E14=0)</f>
        <v>0</v>
      </c>
    </row>
    <row r="49" spans="1:4" x14ac:dyDescent="0.3">
      <c r="C49" t="b">
        <f>AND(SUM(Option3!$I15:$AG15)&lt;&gt;0, Option3!E15=0)</f>
        <v>0</v>
      </c>
    </row>
    <row r="51" spans="1:4" x14ac:dyDescent="0.3">
      <c r="B51" t="s">
        <v>94</v>
      </c>
      <c r="C51" t="b">
        <f>AND(SUM(Option4!$I13:$AG13)&lt;&gt;0, Option4!E13=0)</f>
        <v>0</v>
      </c>
      <c r="D51" s="43" t="b">
        <f>OR(C51:C53)</f>
        <v>0</v>
      </c>
    </row>
    <row r="52" spans="1:4" x14ac:dyDescent="0.3">
      <c r="C52" t="b">
        <f>AND(SUM(Option4!$I14:$AG14)&lt;&gt;0, Option4!E14=0)</f>
        <v>0</v>
      </c>
    </row>
    <row r="53" spans="1:4" x14ac:dyDescent="0.3">
      <c r="C53" t="b">
        <f>AND(SUM(Option4!$I15:$AG15)&lt;&gt;0, Option4!E15=0)</f>
        <v>0</v>
      </c>
    </row>
    <row r="57" spans="1:4" x14ac:dyDescent="0.3">
      <c r="A57" t="s">
        <v>119</v>
      </c>
      <c r="B57" s="189" t="s">
        <v>144</v>
      </c>
    </row>
    <row r="61" spans="1:4" x14ac:dyDescent="0.3">
      <c r="B61" s="188" t="str">
        <f>IF(AND(SUM(E60:AC60)&lt;&gt;0, A61=0), "!", "")</f>
        <v/>
      </c>
    </row>
    <row r="63" spans="1:4" x14ac:dyDescent="0.3">
      <c r="B63" t="s">
        <v>141</v>
      </c>
    </row>
  </sheetData>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292"/>
  <sheetViews>
    <sheetView showGridLines="0" zoomScale="80" zoomScaleNormal="80" workbookViewId="0">
      <selection activeCell="D48" sqref="D48"/>
    </sheetView>
  </sheetViews>
  <sheetFormatPr defaultColWidth="9" defaultRowHeight="13" x14ac:dyDescent="0.3"/>
  <cols>
    <col min="1" max="1" width="5.3828125" style="7" customWidth="1"/>
    <col min="2" max="20" width="9" style="7"/>
    <col min="21" max="21" width="11.3828125" style="7" bestFit="1" customWidth="1"/>
    <col min="22" max="26" width="9" style="7"/>
    <col min="27" max="27" width="19.15234375" style="7" customWidth="1"/>
    <col min="28" max="16384" width="9" style="7"/>
  </cols>
  <sheetData>
    <row r="1" spans="1:27" ht="18.5" x14ac:dyDescent="0.45">
      <c r="A1" s="14" t="str">
        <f>bus</f>
        <v>United Energy</v>
      </c>
      <c r="B1" s="14"/>
      <c r="C1" s="14"/>
      <c r="D1" s="14"/>
      <c r="E1" s="14"/>
      <c r="F1" s="14"/>
      <c r="G1" s="14"/>
      <c r="H1" s="14"/>
      <c r="I1" s="14"/>
      <c r="J1" s="14"/>
      <c r="K1" s="42"/>
      <c r="L1" s="42"/>
      <c r="M1" s="42"/>
      <c r="N1" s="14"/>
      <c r="O1" s="14"/>
      <c r="P1" s="14"/>
      <c r="Q1" s="14"/>
      <c r="R1" s="14"/>
      <c r="S1" s="14"/>
      <c r="T1"/>
      <c r="U1" s="122">
        <v>45187</v>
      </c>
      <c r="V1"/>
      <c r="W1"/>
    </row>
    <row r="2" spans="1:27" ht="18.5" x14ac:dyDescent="0.45">
      <c r="A2" s="54" t="str">
        <f>proj</f>
        <v>Infrastructure refresh risk</v>
      </c>
      <c r="B2" s="54"/>
      <c r="C2" s="54"/>
      <c r="D2" s="54"/>
      <c r="E2" s="54"/>
      <c r="F2" s="54"/>
      <c r="G2" s="14"/>
      <c r="H2" s="14"/>
      <c r="I2" s="14"/>
      <c r="J2" s="14"/>
      <c r="K2" s="42"/>
      <c r="L2" s="42"/>
      <c r="M2" s="42"/>
      <c r="N2" s="14"/>
      <c r="O2" s="14"/>
      <c r="P2" s="14"/>
      <c r="Q2" s="14"/>
      <c r="R2" s="14"/>
      <c r="S2" s="14"/>
      <c r="T2"/>
      <c r="U2"/>
      <c r="V2"/>
      <c r="W2"/>
    </row>
    <row r="3" spans="1:27" ht="15.5" x14ac:dyDescent="0.35">
      <c r="A3" s="5"/>
      <c r="B3" s="5"/>
      <c r="C3" s="5"/>
      <c r="D3" s="5"/>
      <c r="E3" s="5"/>
      <c r="F3" s="5"/>
      <c r="T3"/>
      <c r="U3"/>
      <c r="V3"/>
      <c r="W3"/>
    </row>
    <row r="4" spans="1:27" ht="13.5" x14ac:dyDescent="0.3">
      <c r="T4"/>
      <c r="U4"/>
      <c r="V4"/>
    </row>
    <row r="5" spans="1:27" ht="14.5" x14ac:dyDescent="0.35">
      <c r="A5" s="18" t="s">
        <v>40</v>
      </c>
      <c r="B5" s="18"/>
      <c r="C5" s="18"/>
      <c r="D5" s="18"/>
      <c r="E5" s="18"/>
      <c r="F5" s="19"/>
      <c r="G5" s="18"/>
      <c r="H5" s="18"/>
      <c r="I5" s="18"/>
      <c r="J5" s="19"/>
      <c r="K5" s="19"/>
      <c r="L5" s="19"/>
      <c r="M5" s="19"/>
      <c r="N5" s="19"/>
      <c r="O5" s="19"/>
      <c r="P5" s="19"/>
      <c r="Q5" s="19"/>
      <c r="R5" s="19"/>
      <c r="S5" s="19"/>
      <c r="T5"/>
      <c r="U5"/>
      <c r="V5"/>
    </row>
    <row r="6" spans="1:27" ht="13.5" x14ac:dyDescent="0.3">
      <c r="T6"/>
      <c r="U6"/>
      <c r="V6"/>
    </row>
    <row r="7" spans="1:27" ht="13.5" x14ac:dyDescent="0.3">
      <c r="A7" s="13" t="s">
        <v>62</v>
      </c>
      <c r="T7"/>
      <c r="U7"/>
      <c r="V7"/>
    </row>
    <row r="8" spans="1:27" ht="13.5" x14ac:dyDescent="0.3">
      <c r="A8" s="57"/>
      <c r="B8" s="57"/>
      <c r="C8" s="49" t="s">
        <v>63</v>
      </c>
      <c r="D8" s="49" t="s">
        <v>137</v>
      </c>
      <c r="T8"/>
      <c r="U8"/>
      <c r="V8"/>
    </row>
    <row r="9" spans="1:27" ht="13.5" x14ac:dyDescent="0.3">
      <c r="A9" s="26" t="s">
        <v>104</v>
      </c>
      <c r="B9" s="77" t="s">
        <v>103</v>
      </c>
      <c r="C9" s="20" t="b">
        <v>0</v>
      </c>
      <c r="D9" s="7" t="str">
        <f>IF(C9, $C$8, "")</f>
        <v/>
      </c>
      <c r="E9" s="7" t="str">
        <f>B9&amp;": "&amp;Assumptions!E14</f>
        <v>Option 1 (base case): Maintain status quo</v>
      </c>
      <c r="T9"/>
      <c r="U9"/>
      <c r="V9"/>
      <c r="W9"/>
    </row>
    <row r="10" spans="1:27" ht="13.5" x14ac:dyDescent="0.3">
      <c r="A10" s="26" t="s">
        <v>105</v>
      </c>
      <c r="B10" s="77" t="s">
        <v>92</v>
      </c>
      <c r="C10" s="20" t="b">
        <f>SUM(Option2!I$16:AB$16, Option2!I$18:AB$18)=0</f>
        <v>0</v>
      </c>
      <c r="D10" s="7" t="str">
        <f t="shared" ref="D10:D12" si="0">IF(C10, $C$8, "")</f>
        <v/>
      </c>
      <c r="T10"/>
      <c r="U10"/>
      <c r="V10"/>
      <c r="W10"/>
    </row>
    <row r="11" spans="1:27" ht="13.5" x14ac:dyDescent="0.3">
      <c r="A11" s="26" t="s">
        <v>106</v>
      </c>
      <c r="B11" s="77" t="s">
        <v>93</v>
      </c>
      <c r="C11" s="20" t="b">
        <f>SUM(Option3!I$16:AB$16, Option3!I$18:AB$18)=0</f>
        <v>0</v>
      </c>
      <c r="D11" s="7" t="str">
        <f t="shared" si="0"/>
        <v/>
      </c>
      <c r="T11"/>
      <c r="U11"/>
      <c r="V11"/>
      <c r="W11"/>
    </row>
    <row r="12" spans="1:27" ht="13.5" x14ac:dyDescent="0.3">
      <c r="A12" s="26" t="s">
        <v>107</v>
      </c>
      <c r="B12" s="77" t="s">
        <v>94</v>
      </c>
      <c r="C12" s="20" t="b">
        <f>SUM(Option4!I$16:AB$16, Option4!I$18:AB$18)=0</f>
        <v>0</v>
      </c>
      <c r="D12" s="7" t="str">
        <f t="shared" si="0"/>
        <v/>
      </c>
      <c r="T12"/>
      <c r="U12"/>
      <c r="V12"/>
      <c r="W12"/>
    </row>
    <row r="13" spans="1:27" ht="13.5" x14ac:dyDescent="0.3">
      <c r="T13"/>
      <c r="U13"/>
      <c r="V13"/>
      <c r="W13"/>
      <c r="AA13" s="13" t="s">
        <v>53</v>
      </c>
    </row>
    <row r="14" spans="1:27" ht="13.5" x14ac:dyDescent="0.3">
      <c r="T14"/>
      <c r="U14"/>
      <c r="V14"/>
      <c r="W14"/>
      <c r="AA14" s="46" t="s">
        <v>51</v>
      </c>
    </row>
    <row r="15" spans="1:27" ht="13.5" x14ac:dyDescent="0.3">
      <c r="B15" s="77" t="s">
        <v>44</v>
      </c>
      <c r="C15" s="20"/>
      <c r="T15"/>
      <c r="U15"/>
      <c r="V15"/>
      <c r="W15"/>
      <c r="AA15" s="86" t="s">
        <v>50</v>
      </c>
    </row>
    <row r="16" spans="1:27" ht="13.5" x14ac:dyDescent="0.3">
      <c r="B16" s="77" t="s">
        <v>72</v>
      </c>
      <c r="C16" s="20"/>
      <c r="T16"/>
      <c r="U16"/>
      <c r="V16"/>
      <c r="W16"/>
      <c r="AA16" s="7" t="s">
        <v>52</v>
      </c>
    </row>
    <row r="17" spans="1:27" ht="13.5" x14ac:dyDescent="0.3">
      <c r="B17" s="77" t="s">
        <v>73</v>
      </c>
      <c r="T17"/>
      <c r="U17"/>
      <c r="V17"/>
      <c r="W17"/>
      <c r="AA17" s="65" t="s">
        <v>49</v>
      </c>
    </row>
    <row r="18" spans="1:27" ht="13.5" x14ac:dyDescent="0.3">
      <c r="T18"/>
      <c r="U18"/>
      <c r="V18"/>
      <c r="W18"/>
    </row>
    <row r="19" spans="1:27" ht="13.5" x14ac:dyDescent="0.3">
      <c r="B19" s="93"/>
      <c r="T19"/>
      <c r="U19"/>
      <c r="V19"/>
      <c r="W19"/>
    </row>
    <row r="20" spans="1:27" ht="13.5" x14ac:dyDescent="0.3">
      <c r="T20"/>
      <c r="U20"/>
      <c r="V20"/>
      <c r="W20"/>
    </row>
    <row r="21" spans="1:27" ht="13.5" x14ac:dyDescent="0.3">
      <c r="T21"/>
      <c r="U21"/>
      <c r="V21"/>
      <c r="W21"/>
    </row>
    <row r="22" spans="1:27" ht="13.5" x14ac:dyDescent="0.3">
      <c r="T22"/>
      <c r="U22"/>
      <c r="V22"/>
      <c r="W22"/>
    </row>
    <row r="23" spans="1:27" ht="13.5" x14ac:dyDescent="0.3">
      <c r="A23" s="13" t="s">
        <v>64</v>
      </c>
      <c r="T23"/>
      <c r="U23"/>
      <c r="V23"/>
      <c r="W23"/>
    </row>
    <row r="24" spans="1:27" ht="13.5" x14ac:dyDescent="0.3">
      <c r="A24" s="13"/>
      <c r="B24" s="49"/>
      <c r="C24" s="49" t="s">
        <v>66</v>
      </c>
      <c r="T24"/>
      <c r="U24"/>
      <c r="V24"/>
      <c r="W24"/>
    </row>
    <row r="25" spans="1:27" ht="13.5" x14ac:dyDescent="0.3">
      <c r="B25" s="22" t="s">
        <v>168</v>
      </c>
      <c r="C25" s="22">
        <v>-1</v>
      </c>
      <c r="T25"/>
      <c r="U25"/>
      <c r="V25"/>
      <c r="W25"/>
    </row>
    <row r="26" spans="1:27" ht="13.5" x14ac:dyDescent="0.3">
      <c r="B26" s="22" t="s">
        <v>167</v>
      </c>
      <c r="C26" s="22">
        <v>-1</v>
      </c>
      <c r="T26"/>
      <c r="U26"/>
      <c r="V26"/>
      <c r="W26"/>
      <c r="AA26" s="63" t="s">
        <v>25</v>
      </c>
    </row>
    <row r="27" spans="1:27" ht="13.5" x14ac:dyDescent="0.3">
      <c r="B27" s="22" t="s">
        <v>163</v>
      </c>
      <c r="C27" s="22">
        <v>-1</v>
      </c>
      <c r="T27"/>
      <c r="U27"/>
      <c r="V27"/>
      <c r="W27"/>
      <c r="AA27" s="63" t="s">
        <v>26</v>
      </c>
    </row>
    <row r="28" spans="1:27" ht="13.5" x14ac:dyDescent="0.3">
      <c r="B28" s="22" t="s">
        <v>100</v>
      </c>
      <c r="C28" s="22">
        <v>1</v>
      </c>
      <c r="T28"/>
      <c r="U28"/>
      <c r="V28"/>
      <c r="W28"/>
    </row>
    <row r="29" spans="1:27" ht="13.5" x14ac:dyDescent="0.3">
      <c r="B29" s="22" t="s">
        <v>88</v>
      </c>
      <c r="C29" s="22">
        <v>1</v>
      </c>
      <c r="T29"/>
      <c r="U29"/>
      <c r="V29"/>
      <c r="W29"/>
    </row>
    <row r="30" spans="1:27" ht="13.5" x14ac:dyDescent="0.3">
      <c r="B30" s="22" t="s">
        <v>127</v>
      </c>
      <c r="C30" s="22">
        <v>1</v>
      </c>
      <c r="T30"/>
      <c r="U30"/>
      <c r="V30"/>
      <c r="W30"/>
    </row>
    <row r="31" spans="1:27" ht="13.5" x14ac:dyDescent="0.3">
      <c r="B31" s="22" t="s">
        <v>120</v>
      </c>
      <c r="C31" s="22">
        <v>1</v>
      </c>
      <c r="T31"/>
      <c r="U31"/>
      <c r="V31"/>
      <c r="W31"/>
    </row>
    <row r="32" spans="1:27" ht="13.5" x14ac:dyDescent="0.3">
      <c r="T32"/>
      <c r="U32"/>
      <c r="V32"/>
      <c r="W32"/>
    </row>
    <row r="33" spans="1:23" ht="13.5" x14ac:dyDescent="0.3">
      <c r="T33"/>
      <c r="U33"/>
      <c r="V33"/>
      <c r="W33"/>
    </row>
    <row r="34" spans="1:23" ht="13.5" x14ac:dyDescent="0.3">
      <c r="T34"/>
      <c r="U34"/>
      <c r="V34"/>
      <c r="W34"/>
    </row>
    <row r="35" spans="1:23" ht="13.5" x14ac:dyDescent="0.3">
      <c r="T35"/>
      <c r="U35"/>
      <c r="V35"/>
      <c r="W35"/>
    </row>
    <row r="36" spans="1:23" ht="13.5" x14ac:dyDescent="0.3">
      <c r="A36" s="7" t="s">
        <v>115</v>
      </c>
      <c r="T36"/>
      <c r="U36"/>
      <c r="W36"/>
    </row>
    <row r="37" spans="1:23" ht="13.5" x14ac:dyDescent="0.3">
      <c r="B37" s="7" t="s">
        <v>116</v>
      </c>
      <c r="C37" s="83">
        <v>1000</v>
      </c>
      <c r="V37"/>
      <c r="W37"/>
    </row>
    <row r="38" spans="1:23" ht="13.5" x14ac:dyDescent="0.3">
      <c r="B38" s="7" t="s">
        <v>117</v>
      </c>
      <c r="C38" s="83">
        <v>1000000</v>
      </c>
      <c r="V38"/>
      <c r="W38"/>
    </row>
    <row r="39" spans="1:23" ht="13.5" x14ac:dyDescent="0.3">
      <c r="V39"/>
      <c r="W39"/>
    </row>
    <row r="40" spans="1:23" ht="13.5" x14ac:dyDescent="0.3">
      <c r="V40"/>
      <c r="W40"/>
    </row>
    <row r="41" spans="1:23" ht="13.5" x14ac:dyDescent="0.3">
      <c r="A41" s="7" t="s">
        <v>119</v>
      </c>
      <c r="V41"/>
      <c r="W41"/>
    </row>
    <row r="42" spans="1:23" ht="13.5" x14ac:dyDescent="0.3">
      <c r="B42" s="7" t="s">
        <v>119</v>
      </c>
      <c r="C42" s="130" t="s">
        <v>118</v>
      </c>
      <c r="V42"/>
      <c r="W42"/>
    </row>
    <row r="43" spans="1:23" ht="13.5" x14ac:dyDescent="0.3">
      <c r="V43"/>
      <c r="W43"/>
    </row>
    <row r="44" spans="1:23" ht="13.5" x14ac:dyDescent="0.3">
      <c r="V44"/>
      <c r="W44"/>
    </row>
    <row r="45" spans="1:23" ht="13.5" x14ac:dyDescent="0.3">
      <c r="A45" s="7" t="s">
        <v>128</v>
      </c>
      <c r="C45" s="7" t="s">
        <v>129</v>
      </c>
      <c r="V45"/>
      <c r="W45"/>
    </row>
    <row r="46" spans="1:23" ht="13.5" x14ac:dyDescent="0.3">
      <c r="V46"/>
      <c r="W46"/>
    </row>
    <row r="47" spans="1:23" ht="13.5" x14ac:dyDescent="0.3">
      <c r="V47"/>
      <c r="W47"/>
    </row>
    <row r="48" spans="1:23" ht="13.5" x14ac:dyDescent="0.3">
      <c r="V48"/>
      <c r="W48"/>
    </row>
    <row r="49" spans="1:15" x14ac:dyDescent="0.3">
      <c r="A49" s="1"/>
      <c r="B49" s="1"/>
      <c r="C49" s="1"/>
      <c r="D49" s="1"/>
      <c r="E49" s="1"/>
      <c r="F49" s="1"/>
      <c r="K49" s="1"/>
      <c r="L49" s="1"/>
      <c r="M49" s="1"/>
      <c r="N49" s="1"/>
      <c r="O49" s="1"/>
    </row>
    <row r="50" spans="1:15" x14ac:dyDescent="0.3">
      <c r="A50" s="13" t="s">
        <v>75</v>
      </c>
      <c r="B50" s="13"/>
      <c r="K50" s="1"/>
      <c r="L50" s="1"/>
      <c r="M50" s="1"/>
      <c r="N50" s="1"/>
      <c r="O50" s="1"/>
    </row>
    <row r="51" spans="1:15" x14ac:dyDescent="0.3">
      <c r="A51" s="13"/>
      <c r="B51" s="61" t="s">
        <v>38</v>
      </c>
      <c r="F51" s="131">
        <v>0</v>
      </c>
      <c r="K51" s="1"/>
      <c r="L51" s="1"/>
      <c r="M51" s="1"/>
      <c r="N51" s="1"/>
      <c r="O51" s="1"/>
    </row>
    <row r="52" spans="1:15" x14ac:dyDescent="0.3">
      <c r="A52" s="1"/>
      <c r="B52" s="7" t="s">
        <v>76</v>
      </c>
      <c r="F52" s="131">
        <v>1</v>
      </c>
      <c r="K52" s="1"/>
      <c r="L52" s="1"/>
      <c r="M52" s="1"/>
      <c r="N52" s="1"/>
      <c r="O52" s="1"/>
    </row>
    <row r="53" spans="1:15" x14ac:dyDescent="0.3">
      <c r="A53" s="1"/>
      <c r="B53" s="7" t="s">
        <v>77</v>
      </c>
      <c r="F53" s="131">
        <v>1</v>
      </c>
      <c r="K53" s="1"/>
      <c r="L53" s="1"/>
      <c r="M53" s="1"/>
      <c r="N53" s="1"/>
      <c r="O53" s="1"/>
    </row>
    <row r="54" spans="1:15" x14ac:dyDescent="0.3">
      <c r="A54" s="1"/>
      <c r="B54" s="7" t="s">
        <v>78</v>
      </c>
      <c r="F54" s="131">
        <v>1</v>
      </c>
      <c r="K54" s="1"/>
      <c r="L54" s="1"/>
      <c r="M54" s="1"/>
      <c r="N54" s="1"/>
      <c r="O54" s="1"/>
    </row>
    <row r="55" spans="1:15" x14ac:dyDescent="0.3">
      <c r="A55" s="1"/>
      <c r="B55" s="7" t="s">
        <v>79</v>
      </c>
      <c r="F55" s="131">
        <v>1</v>
      </c>
      <c r="K55" s="1"/>
      <c r="L55" s="1"/>
      <c r="M55" s="1"/>
      <c r="N55" s="1"/>
      <c r="O55" s="1"/>
    </row>
    <row r="56" spans="1:15" x14ac:dyDescent="0.3">
      <c r="A56" s="1"/>
      <c r="B56" s="7" t="s">
        <v>83</v>
      </c>
      <c r="F56" s="131">
        <v>3</v>
      </c>
      <c r="K56" s="1"/>
      <c r="L56" s="1"/>
      <c r="M56" s="1"/>
      <c r="N56" s="1"/>
      <c r="O56" s="1"/>
    </row>
    <row r="57" spans="1:15" x14ac:dyDescent="0.3">
      <c r="A57" s="1"/>
      <c r="B57" s="7" t="s">
        <v>80</v>
      </c>
      <c r="F57" s="131">
        <v>3</v>
      </c>
      <c r="K57" s="1"/>
      <c r="L57" s="1"/>
      <c r="M57" s="1"/>
      <c r="N57" s="1"/>
      <c r="O57" s="1"/>
    </row>
    <row r="58" spans="1:15" x14ac:dyDescent="0.3">
      <c r="A58" s="1"/>
      <c r="B58" s="7" t="s">
        <v>84</v>
      </c>
      <c r="F58" s="131">
        <v>6</v>
      </c>
      <c r="K58" s="1"/>
      <c r="L58" s="1"/>
      <c r="M58" s="1"/>
      <c r="N58" s="1"/>
      <c r="O58" s="1"/>
    </row>
    <row r="59" spans="1:15" x14ac:dyDescent="0.3">
      <c r="A59" s="1"/>
      <c r="B59" s="7" t="s">
        <v>121</v>
      </c>
      <c r="F59" s="131">
        <v>6</v>
      </c>
      <c r="K59" s="1"/>
      <c r="L59" s="1"/>
      <c r="M59" s="1"/>
      <c r="N59" s="1"/>
      <c r="O59" s="1"/>
    </row>
    <row r="60" spans="1:15" x14ac:dyDescent="0.3">
      <c r="A60" s="1"/>
      <c r="B60" s="7" t="s">
        <v>122</v>
      </c>
      <c r="F60" s="131">
        <v>10</v>
      </c>
      <c r="K60" s="1"/>
      <c r="L60" s="1"/>
      <c r="M60" s="1"/>
      <c r="N60" s="1"/>
      <c r="O60" s="1"/>
    </row>
    <row r="61" spans="1:15" x14ac:dyDescent="0.3">
      <c r="A61" s="1"/>
      <c r="B61" s="1"/>
      <c r="C61" s="1"/>
      <c r="D61" s="1"/>
      <c r="E61" s="1"/>
      <c r="F61" s="1"/>
      <c r="K61" s="1"/>
      <c r="L61" s="1"/>
      <c r="M61" s="1"/>
      <c r="N61" s="1"/>
      <c r="O61" s="1"/>
    </row>
    <row r="62" spans="1:15" x14ac:dyDescent="0.3">
      <c r="A62" s="1"/>
      <c r="B62" s="1"/>
      <c r="C62" s="1"/>
      <c r="D62" s="1"/>
      <c r="E62" s="1"/>
      <c r="F62" s="1"/>
      <c r="K62" s="1"/>
      <c r="L62" s="1"/>
      <c r="M62" s="1"/>
      <c r="N62" s="1"/>
      <c r="O62" s="1"/>
    </row>
    <row r="63" spans="1:15" x14ac:dyDescent="0.3">
      <c r="A63" s="1"/>
      <c r="B63" s="1"/>
      <c r="C63" s="1"/>
      <c r="D63" s="1"/>
      <c r="E63" s="1"/>
      <c r="F63" s="1"/>
      <c r="K63" s="1"/>
      <c r="L63" s="1"/>
      <c r="M63" s="1"/>
      <c r="N63" s="1"/>
      <c r="O63" s="1"/>
    </row>
    <row r="64" spans="1:15" x14ac:dyDescent="0.3">
      <c r="A64" s="1"/>
      <c r="B64" s="1"/>
      <c r="C64" s="1"/>
      <c r="D64" s="1"/>
      <c r="E64" s="1"/>
      <c r="F64" s="1"/>
      <c r="K64" s="1"/>
      <c r="L64" s="1"/>
      <c r="M64" s="1"/>
      <c r="N64" s="1"/>
      <c r="O64" s="1"/>
    </row>
    <row r="65" spans="1:24" x14ac:dyDescent="0.3">
      <c r="A65" s="1"/>
      <c r="B65" s="1"/>
      <c r="C65" s="1"/>
      <c r="D65" s="1"/>
      <c r="E65" s="1"/>
      <c r="F65" s="1"/>
      <c r="K65" s="1"/>
      <c r="L65" s="1"/>
      <c r="M65" s="1"/>
      <c r="N65" s="1"/>
      <c r="O65" s="1"/>
    </row>
    <row r="66" spans="1:24" x14ac:dyDescent="0.3">
      <c r="A66" s="1"/>
      <c r="B66" s="1"/>
      <c r="C66" s="1"/>
      <c r="D66" s="1"/>
      <c r="E66" s="1"/>
      <c r="F66" s="1"/>
      <c r="K66" s="1"/>
      <c r="L66" s="1"/>
      <c r="M66" s="1"/>
      <c r="N66" s="1"/>
      <c r="O66" s="1"/>
    </row>
    <row r="67" spans="1:24" x14ac:dyDescent="0.3">
      <c r="A67" s="1"/>
      <c r="B67" s="1"/>
      <c r="C67" s="1"/>
      <c r="D67" s="1"/>
      <c r="E67" s="1"/>
      <c r="F67" s="1"/>
      <c r="K67" s="1"/>
      <c r="L67" s="1"/>
      <c r="M67" s="1"/>
      <c r="N67" s="1"/>
      <c r="O67" s="1"/>
    </row>
    <row r="68" spans="1:24" x14ac:dyDescent="0.3">
      <c r="A68" s="1"/>
      <c r="B68" s="1"/>
      <c r="C68" s="1"/>
      <c r="D68" s="1"/>
      <c r="E68" s="1"/>
      <c r="F68" s="1"/>
      <c r="K68" s="1"/>
      <c r="L68" s="1"/>
      <c r="M68" s="1"/>
      <c r="N68" s="1"/>
      <c r="O68" s="1"/>
    </row>
    <row r="69" spans="1:24" x14ac:dyDescent="0.3">
      <c r="A69" s="1"/>
      <c r="B69" s="1"/>
      <c r="C69" s="1"/>
      <c r="D69" s="1"/>
      <c r="E69" s="1"/>
      <c r="F69" s="1"/>
      <c r="K69" s="1"/>
      <c r="L69" s="1"/>
      <c r="M69" s="1"/>
      <c r="N69" s="1"/>
      <c r="O69" s="1"/>
    </row>
    <row r="70" spans="1:24" x14ac:dyDescent="0.3">
      <c r="A70" s="1"/>
      <c r="B70" s="1"/>
      <c r="C70" s="1"/>
      <c r="D70" s="1"/>
      <c r="E70" s="1"/>
      <c r="F70" s="1"/>
      <c r="K70" s="1"/>
      <c r="L70" s="1"/>
      <c r="M70" s="1"/>
      <c r="N70" s="1"/>
      <c r="O70" s="1"/>
    </row>
    <row r="71" spans="1:24" x14ac:dyDescent="0.3">
      <c r="A71" s="1"/>
      <c r="B71" s="1"/>
      <c r="C71" s="1"/>
      <c r="D71" s="1"/>
      <c r="E71" s="1"/>
      <c r="F71" s="1"/>
      <c r="K71" s="1"/>
      <c r="L71" s="1"/>
      <c r="M71" s="1"/>
      <c r="N71" s="1"/>
      <c r="O71" s="1"/>
    </row>
    <row r="72" spans="1:24" ht="13.5" x14ac:dyDescent="0.3">
      <c r="T72"/>
      <c r="U72"/>
      <c r="V72"/>
      <c r="W72"/>
    </row>
    <row r="73" spans="1:24" ht="14.5" x14ac:dyDescent="0.35">
      <c r="A73" s="18" t="s">
        <v>65</v>
      </c>
      <c r="B73" s="18"/>
      <c r="C73" s="18"/>
      <c r="D73" s="18"/>
      <c r="E73" s="18"/>
      <c r="F73" s="19"/>
      <c r="G73" s="18"/>
      <c r="H73" s="18"/>
      <c r="I73" s="18"/>
      <c r="J73" s="19"/>
      <c r="K73" s="19"/>
      <c r="L73" s="19"/>
      <c r="M73" s="19"/>
      <c r="N73" s="19"/>
      <c r="O73" s="19"/>
      <c r="P73" s="19"/>
      <c r="Q73" s="19"/>
      <c r="R73" s="19"/>
      <c r="S73" s="19"/>
      <c r="T73" s="19"/>
      <c r="U73" s="19"/>
      <c r="V73" s="19"/>
      <c r="W73" s="19"/>
    </row>
    <row r="74" spans="1:24" ht="13.5" x14ac:dyDescent="0.3">
      <c r="T74"/>
      <c r="U74"/>
      <c r="V74"/>
      <c r="W74"/>
      <c r="X74"/>
    </row>
    <row r="75" spans="1:24" ht="13.5" x14ac:dyDescent="0.3">
      <c r="B75" s="7" t="s">
        <v>29</v>
      </c>
      <c r="E75" s="7" t="s">
        <v>37</v>
      </c>
      <c r="G75" s="7" t="s">
        <v>41</v>
      </c>
      <c r="I75" s="7" t="s">
        <v>14</v>
      </c>
      <c r="M75" s="7" t="s">
        <v>68</v>
      </c>
      <c r="O75" s="7" t="s">
        <v>115</v>
      </c>
      <c r="Q75" s="7" t="s">
        <v>15</v>
      </c>
      <c r="T75"/>
      <c r="U75"/>
      <c r="V75"/>
      <c r="X75"/>
    </row>
    <row r="76" spans="1:24" ht="13.5" x14ac:dyDescent="0.3">
      <c r="B76" s="24" t="s">
        <v>30</v>
      </c>
      <c r="C76" s="109" t="s">
        <v>97</v>
      </c>
      <c r="E76" s="61" t="s">
        <v>38</v>
      </c>
      <c r="G76" s="24" t="b">
        <v>0</v>
      </c>
      <c r="I76" s="24" t="s">
        <v>33</v>
      </c>
      <c r="J76" s="38">
        <v>6</v>
      </c>
      <c r="K76" s="38" t="s">
        <v>23</v>
      </c>
      <c r="M76" s="38" t="s">
        <v>63</v>
      </c>
      <c r="P76" s="23"/>
      <c r="Q76" s="22">
        <v>2024</v>
      </c>
      <c r="T76"/>
      <c r="U76"/>
      <c r="V76"/>
    </row>
    <row r="77" spans="1:24" ht="13.5" x14ac:dyDescent="0.3">
      <c r="B77" s="24" t="s">
        <v>4</v>
      </c>
      <c r="C77" s="109" t="s">
        <v>98</v>
      </c>
      <c r="E77" s="24" t="s">
        <v>11</v>
      </c>
      <c r="G77" s="24" t="b">
        <v>1</v>
      </c>
      <c r="I77" s="24" t="s">
        <v>22</v>
      </c>
      <c r="J77" s="38">
        <v>12</v>
      </c>
      <c r="K77" s="38" t="s">
        <v>24</v>
      </c>
      <c r="P77" s="23"/>
      <c r="Q77" s="22">
        <v>2023</v>
      </c>
      <c r="T77"/>
      <c r="U77"/>
      <c r="V77"/>
    </row>
    <row r="78" spans="1:24" ht="13.5" x14ac:dyDescent="0.3">
      <c r="B78" s="24" t="s">
        <v>31</v>
      </c>
      <c r="C78" s="109" t="s">
        <v>99</v>
      </c>
      <c r="E78" s="24" t="s">
        <v>2</v>
      </c>
      <c r="I78" s="20"/>
      <c r="J78" s="20"/>
      <c r="K78" s="23"/>
      <c r="P78" s="23"/>
      <c r="Q78" s="22">
        <f>Q77-1</f>
        <v>2022</v>
      </c>
      <c r="T78"/>
      <c r="U78"/>
      <c r="V78"/>
      <c r="W78"/>
      <c r="X78"/>
    </row>
    <row r="79" spans="1:24" ht="13.5" x14ac:dyDescent="0.3">
      <c r="C79" s="108"/>
      <c r="E79" s="24"/>
      <c r="I79" s="20"/>
      <c r="J79" s="20"/>
      <c r="P79" s="23"/>
      <c r="Q79" s="22">
        <f>Q78-1</f>
        <v>2021</v>
      </c>
      <c r="T79"/>
      <c r="U79"/>
      <c r="V79"/>
      <c r="W79"/>
      <c r="X79"/>
    </row>
    <row r="80" spans="1:24" ht="13.5" x14ac:dyDescent="0.3">
      <c r="C80" s="108"/>
      <c r="I80" s="20"/>
      <c r="J80" s="20"/>
      <c r="Q80" s="22">
        <f>Q79-1</f>
        <v>2020</v>
      </c>
      <c r="T80"/>
      <c r="U80"/>
      <c r="V80"/>
      <c r="W80"/>
      <c r="X80"/>
    </row>
    <row r="81" spans="9:24" ht="13.5" x14ac:dyDescent="0.3">
      <c r="I81" s="20"/>
      <c r="J81" s="20"/>
      <c r="Q81" s="22"/>
      <c r="T81"/>
      <c r="U81"/>
      <c r="V81"/>
      <c r="W81"/>
      <c r="X81"/>
    </row>
    <row r="82" spans="9:24" ht="13.5" x14ac:dyDescent="0.3">
      <c r="T82"/>
      <c r="U82"/>
      <c r="V82"/>
      <c r="W82"/>
      <c r="X82"/>
    </row>
    <row r="83" spans="9:24" ht="13.5" x14ac:dyDescent="0.3">
      <c r="T83"/>
      <c r="U83"/>
      <c r="V83"/>
      <c r="W83"/>
      <c r="X83"/>
    </row>
    <row r="84" spans="9:24" ht="13.5" x14ac:dyDescent="0.3">
      <c r="T84"/>
      <c r="U84"/>
      <c r="V84"/>
      <c r="W84"/>
      <c r="X84"/>
    </row>
    <row r="85" spans="9:24" ht="13.5" x14ac:dyDescent="0.3">
      <c r="T85"/>
      <c r="U85"/>
      <c r="V85"/>
      <c r="W85"/>
      <c r="X85"/>
    </row>
    <row r="86" spans="9:24" ht="13.5" x14ac:dyDescent="0.3">
      <c r="T86"/>
      <c r="U86"/>
      <c r="V86"/>
      <c r="W86"/>
      <c r="X86"/>
    </row>
    <row r="87" spans="9:24" ht="13.5" x14ac:dyDescent="0.3">
      <c r="T87"/>
      <c r="U87"/>
      <c r="V87"/>
      <c r="W87"/>
    </row>
    <row r="88" spans="9:24" ht="13.5" x14ac:dyDescent="0.3">
      <c r="T88"/>
      <c r="U88"/>
      <c r="V88"/>
      <c r="W88"/>
    </row>
    <row r="89" spans="9:24" ht="13.5" x14ac:dyDescent="0.3">
      <c r="U89"/>
      <c r="V89"/>
      <c r="W89"/>
    </row>
    <row r="90" spans="9:24" ht="13.5" x14ac:dyDescent="0.3">
      <c r="T90"/>
      <c r="U90"/>
      <c r="V90"/>
      <c r="W90"/>
    </row>
    <row r="91" spans="9:24" ht="13.5" x14ac:dyDescent="0.3">
      <c r="T91"/>
      <c r="U91"/>
      <c r="V91"/>
      <c r="W91"/>
    </row>
    <row r="92" spans="9:24" ht="13.5" x14ac:dyDescent="0.3">
      <c r="T92"/>
      <c r="U92"/>
      <c r="V92"/>
      <c r="W92"/>
    </row>
    <row r="93" spans="9:24" ht="13.5" x14ac:dyDescent="0.3">
      <c r="T93"/>
      <c r="U93"/>
      <c r="V93"/>
      <c r="W93"/>
    </row>
    <row r="94" spans="9:24" ht="13.5" x14ac:dyDescent="0.3">
      <c r="T94"/>
      <c r="U94"/>
      <c r="V94"/>
      <c r="W94"/>
    </row>
    <row r="95" spans="9:24" ht="13.5" x14ac:dyDescent="0.3">
      <c r="T95"/>
      <c r="U95"/>
      <c r="V95"/>
      <c r="W95"/>
    </row>
    <row r="96" spans="9:24" ht="13.5" x14ac:dyDescent="0.3">
      <c r="T96"/>
      <c r="U96"/>
      <c r="V96"/>
      <c r="W96"/>
    </row>
    <row r="97" spans="20:23" ht="13.5" x14ac:dyDescent="0.3">
      <c r="T97"/>
      <c r="U97"/>
      <c r="V97"/>
      <c r="W97"/>
    </row>
    <row r="98" spans="20:23" ht="13.5" x14ac:dyDescent="0.3">
      <c r="T98"/>
      <c r="U98"/>
      <c r="V98"/>
      <c r="W98"/>
    </row>
    <row r="99" spans="20:23" ht="13.5" x14ac:dyDescent="0.3">
      <c r="T99"/>
      <c r="U99"/>
      <c r="V99"/>
      <c r="W99"/>
    </row>
    <row r="100" spans="20:23" ht="13.5" x14ac:dyDescent="0.3">
      <c r="T100"/>
      <c r="U100"/>
      <c r="V100"/>
      <c r="W100"/>
    </row>
    <row r="101" spans="20:23" ht="13.5" x14ac:dyDescent="0.3">
      <c r="T101"/>
      <c r="U101"/>
      <c r="V101"/>
      <c r="W101"/>
    </row>
    <row r="102" spans="20:23" ht="13.5" x14ac:dyDescent="0.3">
      <c r="T102"/>
      <c r="U102"/>
      <c r="V102"/>
      <c r="W102"/>
    </row>
    <row r="103" spans="20:23" ht="13.5" x14ac:dyDescent="0.3">
      <c r="T103"/>
      <c r="U103"/>
      <c r="V103"/>
      <c r="W103"/>
    </row>
    <row r="104" spans="20:23" ht="13.5" x14ac:dyDescent="0.3">
      <c r="T104"/>
      <c r="U104"/>
      <c r="V104"/>
      <c r="W104"/>
    </row>
    <row r="105" spans="20:23" ht="13.5" x14ac:dyDescent="0.3">
      <c r="T105"/>
      <c r="U105"/>
      <c r="V105"/>
      <c r="W105"/>
    </row>
    <row r="106" spans="20:23" ht="13.5" x14ac:dyDescent="0.3">
      <c r="T106"/>
      <c r="U106"/>
      <c r="V106"/>
      <c r="W106"/>
    </row>
    <row r="107" spans="20:23" ht="13.5" x14ac:dyDescent="0.3">
      <c r="T107"/>
      <c r="U107"/>
      <c r="V107"/>
      <c r="W107"/>
    </row>
    <row r="108" spans="20:23" ht="13.5" x14ac:dyDescent="0.3">
      <c r="T108"/>
      <c r="U108"/>
      <c r="V108"/>
      <c r="W108"/>
    </row>
    <row r="109" spans="20:23" ht="13.5" x14ac:dyDescent="0.3">
      <c r="T109"/>
      <c r="U109"/>
      <c r="V109"/>
      <c r="W109"/>
    </row>
    <row r="110" spans="20:23" ht="13.5" x14ac:dyDescent="0.3">
      <c r="T110"/>
      <c r="U110"/>
      <c r="V110"/>
      <c r="W110"/>
    </row>
    <row r="111" spans="20:23" ht="13.5" x14ac:dyDescent="0.3">
      <c r="T111"/>
      <c r="U111"/>
      <c r="V111"/>
      <c r="W111"/>
    </row>
    <row r="112" spans="20:23" ht="13.5" x14ac:dyDescent="0.3">
      <c r="T112"/>
      <c r="U112"/>
      <c r="V112"/>
      <c r="W112"/>
    </row>
    <row r="113" spans="20:23" ht="13.5" x14ac:dyDescent="0.3">
      <c r="T113"/>
      <c r="U113"/>
      <c r="V113"/>
      <c r="W113"/>
    </row>
    <row r="114" spans="20:23" ht="13.5" x14ac:dyDescent="0.3">
      <c r="T114"/>
      <c r="U114"/>
      <c r="V114"/>
      <c r="W114"/>
    </row>
    <row r="115" spans="20:23" ht="13.5" x14ac:dyDescent="0.3">
      <c r="T115"/>
      <c r="U115"/>
      <c r="V115"/>
      <c r="W115"/>
    </row>
    <row r="116" spans="20:23" ht="13.5" x14ac:dyDescent="0.3">
      <c r="T116"/>
      <c r="U116"/>
      <c r="V116"/>
      <c r="W116"/>
    </row>
    <row r="117" spans="20:23" ht="13.5" x14ac:dyDescent="0.3">
      <c r="T117"/>
      <c r="U117"/>
      <c r="V117"/>
      <c r="W117"/>
    </row>
    <row r="118" spans="20:23" ht="13.5" x14ac:dyDescent="0.3">
      <c r="T118"/>
      <c r="U118"/>
      <c r="V118"/>
      <c r="W118"/>
    </row>
    <row r="119" spans="20:23" ht="13.5" x14ac:dyDescent="0.3">
      <c r="T119"/>
      <c r="U119"/>
      <c r="V119"/>
      <c r="W119"/>
    </row>
    <row r="120" spans="20:23" ht="13.5" x14ac:dyDescent="0.3">
      <c r="T120"/>
      <c r="U120"/>
      <c r="V120"/>
      <c r="W120"/>
    </row>
    <row r="121" spans="20:23" ht="13.5" x14ac:dyDescent="0.3">
      <c r="T121"/>
      <c r="U121"/>
      <c r="V121"/>
      <c r="W121"/>
    </row>
    <row r="122" spans="20:23" ht="13.5" x14ac:dyDescent="0.3">
      <c r="T122"/>
      <c r="U122"/>
      <c r="V122"/>
      <c r="W122"/>
    </row>
    <row r="123" spans="20:23" ht="13.5" x14ac:dyDescent="0.3">
      <c r="T123"/>
      <c r="U123"/>
      <c r="V123"/>
      <c r="W123"/>
    </row>
    <row r="124" spans="20:23" ht="13.5" x14ac:dyDescent="0.3">
      <c r="T124"/>
      <c r="U124"/>
      <c r="V124"/>
      <c r="W124"/>
    </row>
    <row r="125" spans="20:23" ht="13.5" x14ac:dyDescent="0.3">
      <c r="T125"/>
      <c r="U125"/>
      <c r="V125"/>
      <c r="W125"/>
    </row>
    <row r="126" spans="20:23" ht="13.5" x14ac:dyDescent="0.3">
      <c r="T126"/>
      <c r="U126"/>
      <c r="V126"/>
      <c r="W126"/>
    </row>
    <row r="127" spans="20:23" ht="13.5" x14ac:dyDescent="0.3">
      <c r="T127"/>
      <c r="U127"/>
      <c r="V127"/>
      <c r="W127"/>
    </row>
    <row r="128" spans="20:23" ht="13.5" x14ac:dyDescent="0.3">
      <c r="T128"/>
      <c r="U128"/>
      <c r="V128"/>
      <c r="W128"/>
    </row>
    <row r="129" spans="20:23" ht="13.5" x14ac:dyDescent="0.3">
      <c r="T129"/>
      <c r="U129"/>
      <c r="V129"/>
      <c r="W129"/>
    </row>
    <row r="130" spans="20:23" ht="13.5" x14ac:dyDescent="0.3">
      <c r="T130"/>
      <c r="U130"/>
      <c r="V130"/>
      <c r="W130"/>
    </row>
    <row r="131" spans="20:23" ht="13.5" x14ac:dyDescent="0.3">
      <c r="T131"/>
      <c r="U131"/>
      <c r="V131"/>
      <c r="W131"/>
    </row>
    <row r="132" spans="20:23" ht="13.5" x14ac:dyDescent="0.3">
      <c r="T132"/>
      <c r="U132"/>
      <c r="V132"/>
      <c r="W132"/>
    </row>
    <row r="133" spans="20:23" ht="13.5" x14ac:dyDescent="0.3">
      <c r="T133"/>
      <c r="U133"/>
      <c r="V133"/>
      <c r="W133"/>
    </row>
    <row r="134" spans="20:23" ht="13.5" x14ac:dyDescent="0.3">
      <c r="T134"/>
      <c r="U134"/>
      <c r="V134"/>
      <c r="W134"/>
    </row>
    <row r="135" spans="20:23" ht="13.5" x14ac:dyDescent="0.3">
      <c r="T135"/>
      <c r="U135"/>
      <c r="V135"/>
      <c r="W135"/>
    </row>
    <row r="136" spans="20:23" ht="13.5" x14ac:dyDescent="0.3">
      <c r="T136"/>
      <c r="U136"/>
      <c r="V136"/>
      <c r="W136"/>
    </row>
    <row r="137" spans="20:23" ht="13.5" x14ac:dyDescent="0.3">
      <c r="T137"/>
      <c r="U137"/>
      <c r="V137"/>
      <c r="W137"/>
    </row>
    <row r="138" spans="20:23" ht="13.5" x14ac:dyDescent="0.3">
      <c r="T138"/>
      <c r="U138"/>
      <c r="V138"/>
      <c r="W138"/>
    </row>
    <row r="139" spans="20:23" ht="13.5" x14ac:dyDescent="0.3">
      <c r="T139"/>
      <c r="U139"/>
      <c r="V139"/>
      <c r="W139"/>
    </row>
    <row r="140" spans="20:23" ht="13.5" x14ac:dyDescent="0.3">
      <c r="T140"/>
      <c r="U140"/>
      <c r="V140"/>
      <c r="W140"/>
    </row>
    <row r="141" spans="20:23" ht="13.5" x14ac:dyDescent="0.3">
      <c r="T141"/>
      <c r="U141"/>
      <c r="V141"/>
      <c r="W141"/>
    </row>
    <row r="142" spans="20:23" ht="13.5" x14ac:dyDescent="0.3">
      <c r="T142"/>
      <c r="U142"/>
      <c r="V142"/>
      <c r="W142"/>
    </row>
    <row r="143" spans="20:23" ht="13.5" x14ac:dyDescent="0.3">
      <c r="T143"/>
      <c r="U143"/>
      <c r="V143"/>
      <c r="W143"/>
    </row>
    <row r="144" spans="20:23" ht="13.5" x14ac:dyDescent="0.3">
      <c r="T144"/>
      <c r="U144"/>
      <c r="V144"/>
      <c r="W144"/>
    </row>
    <row r="145" spans="20:23" ht="13.5" x14ac:dyDescent="0.3">
      <c r="T145"/>
      <c r="U145"/>
      <c r="V145"/>
      <c r="W145"/>
    </row>
    <row r="146" spans="20:23" ht="13.5" x14ac:dyDescent="0.3">
      <c r="T146"/>
      <c r="U146"/>
      <c r="V146"/>
      <c r="W146"/>
    </row>
    <row r="147" spans="20:23" ht="13.5" x14ac:dyDescent="0.3">
      <c r="T147"/>
      <c r="U147"/>
      <c r="V147"/>
      <c r="W147"/>
    </row>
    <row r="148" spans="20:23" ht="13.5" x14ac:dyDescent="0.3">
      <c r="T148"/>
      <c r="U148"/>
      <c r="V148"/>
      <c r="W148"/>
    </row>
    <row r="149" spans="20:23" ht="13.5" x14ac:dyDescent="0.3">
      <c r="T149"/>
      <c r="U149"/>
      <c r="V149"/>
      <c r="W149"/>
    </row>
    <row r="150" spans="20:23" ht="13.5" x14ac:dyDescent="0.3">
      <c r="T150"/>
      <c r="U150"/>
      <c r="V150"/>
      <c r="W150"/>
    </row>
    <row r="151" spans="20:23" ht="13.5" x14ac:dyDescent="0.3">
      <c r="T151"/>
      <c r="U151"/>
      <c r="V151"/>
      <c r="W151"/>
    </row>
    <row r="152" spans="20:23" ht="13.5" x14ac:dyDescent="0.3">
      <c r="T152"/>
      <c r="U152"/>
      <c r="V152"/>
      <c r="W152"/>
    </row>
    <row r="153" spans="20:23" ht="13.5" x14ac:dyDescent="0.3">
      <c r="T153"/>
      <c r="U153"/>
      <c r="V153"/>
      <c r="W153"/>
    </row>
    <row r="154" spans="20:23" ht="13.5" x14ac:dyDescent="0.3">
      <c r="T154"/>
      <c r="U154"/>
      <c r="V154"/>
      <c r="W154"/>
    </row>
    <row r="155" spans="20:23" ht="13.5" x14ac:dyDescent="0.3">
      <c r="T155"/>
      <c r="U155"/>
      <c r="V155"/>
      <c r="W155"/>
    </row>
    <row r="156" spans="20:23" ht="13.5" x14ac:dyDescent="0.3">
      <c r="T156"/>
      <c r="U156"/>
      <c r="V156"/>
      <c r="W156"/>
    </row>
    <row r="157" spans="20:23" ht="13.5" x14ac:dyDescent="0.3">
      <c r="T157"/>
      <c r="U157"/>
      <c r="V157"/>
      <c r="W157"/>
    </row>
    <row r="158" spans="20:23" ht="13.5" x14ac:dyDescent="0.3">
      <c r="T158"/>
      <c r="U158"/>
      <c r="V158"/>
      <c r="W158"/>
    </row>
    <row r="159" spans="20:23" ht="13.5" x14ac:dyDescent="0.3">
      <c r="T159"/>
      <c r="U159"/>
      <c r="V159"/>
      <c r="W159"/>
    </row>
    <row r="160" spans="20:23" ht="13.5" x14ac:dyDescent="0.3">
      <c r="T160"/>
      <c r="U160"/>
      <c r="V160"/>
      <c r="W160"/>
    </row>
    <row r="161" spans="20:23" ht="13.5" x14ac:dyDescent="0.3">
      <c r="T161"/>
      <c r="U161"/>
      <c r="V161"/>
      <c r="W161"/>
    </row>
    <row r="162" spans="20:23" ht="13.5" x14ac:dyDescent="0.3">
      <c r="T162"/>
      <c r="U162"/>
      <c r="V162"/>
      <c r="W162"/>
    </row>
    <row r="163" spans="20:23" ht="13.5" x14ac:dyDescent="0.3">
      <c r="T163"/>
      <c r="U163"/>
      <c r="V163"/>
      <c r="W163"/>
    </row>
    <row r="164" spans="20:23" ht="13.5" x14ac:dyDescent="0.3">
      <c r="T164"/>
      <c r="U164"/>
      <c r="V164"/>
      <c r="W164"/>
    </row>
    <row r="165" spans="20:23" ht="13.5" x14ac:dyDescent="0.3">
      <c r="T165"/>
      <c r="U165"/>
      <c r="V165"/>
      <c r="W165"/>
    </row>
    <row r="166" spans="20:23" ht="13.5" x14ac:dyDescent="0.3">
      <c r="T166"/>
      <c r="U166"/>
      <c r="V166"/>
      <c r="W166"/>
    </row>
    <row r="167" spans="20:23" ht="13.5" x14ac:dyDescent="0.3">
      <c r="T167"/>
      <c r="U167"/>
      <c r="V167"/>
      <c r="W167"/>
    </row>
    <row r="168" spans="20:23" ht="13.5" x14ac:dyDescent="0.3">
      <c r="T168"/>
      <c r="U168"/>
      <c r="V168"/>
      <c r="W168"/>
    </row>
    <row r="169" spans="20:23" ht="13.5" x14ac:dyDescent="0.3">
      <c r="T169"/>
      <c r="U169"/>
      <c r="V169"/>
      <c r="W169"/>
    </row>
    <row r="170" spans="20:23" ht="13.5" x14ac:dyDescent="0.3">
      <c r="T170"/>
      <c r="U170"/>
      <c r="V170"/>
      <c r="W170"/>
    </row>
    <row r="171" spans="20:23" ht="13.5" x14ac:dyDescent="0.3">
      <c r="T171"/>
      <c r="U171"/>
      <c r="V171"/>
      <c r="W171"/>
    </row>
    <row r="172" spans="20:23" ht="13.5" x14ac:dyDescent="0.3">
      <c r="T172"/>
      <c r="U172"/>
      <c r="V172"/>
      <c r="W172"/>
    </row>
    <row r="173" spans="20:23" ht="13.5" x14ac:dyDescent="0.3">
      <c r="T173"/>
      <c r="U173"/>
      <c r="V173"/>
      <c r="W173"/>
    </row>
    <row r="174" spans="20:23" ht="13.5" x14ac:dyDescent="0.3">
      <c r="T174"/>
      <c r="U174"/>
      <c r="V174"/>
      <c r="W174"/>
    </row>
    <row r="175" spans="20:23" ht="13.5" x14ac:dyDescent="0.3">
      <c r="T175"/>
      <c r="U175"/>
      <c r="V175"/>
      <c r="W175"/>
    </row>
    <row r="176" spans="20:23" ht="13.5" x14ac:dyDescent="0.3">
      <c r="T176"/>
      <c r="U176"/>
      <c r="V176"/>
      <c r="W176"/>
    </row>
    <row r="177" spans="20:23" ht="13.5" x14ac:dyDescent="0.3">
      <c r="T177"/>
      <c r="U177"/>
      <c r="V177"/>
      <c r="W177"/>
    </row>
    <row r="178" spans="20:23" ht="13.5" x14ac:dyDescent="0.3">
      <c r="T178"/>
      <c r="U178"/>
      <c r="V178"/>
      <c r="W178"/>
    </row>
    <row r="179" spans="20:23" ht="13.5" x14ac:dyDescent="0.3">
      <c r="T179"/>
      <c r="U179"/>
      <c r="V179"/>
      <c r="W179"/>
    </row>
    <row r="180" spans="20:23" ht="13.5" x14ac:dyDescent="0.3">
      <c r="T180"/>
      <c r="U180"/>
      <c r="V180"/>
      <c r="W180"/>
    </row>
    <row r="181" spans="20:23" ht="13.5" x14ac:dyDescent="0.3">
      <c r="T181"/>
      <c r="U181"/>
      <c r="V181"/>
      <c r="W181"/>
    </row>
    <row r="182" spans="20:23" ht="13.5" x14ac:dyDescent="0.3">
      <c r="T182"/>
      <c r="U182"/>
      <c r="V182"/>
      <c r="W182"/>
    </row>
    <row r="183" spans="20:23" ht="13.5" x14ac:dyDescent="0.3">
      <c r="T183"/>
      <c r="U183"/>
      <c r="V183"/>
      <c r="W183"/>
    </row>
    <row r="184" spans="20:23" ht="13.5" x14ac:dyDescent="0.3">
      <c r="T184"/>
      <c r="U184"/>
      <c r="V184"/>
      <c r="W184"/>
    </row>
    <row r="185" spans="20:23" ht="13.5" x14ac:dyDescent="0.3">
      <c r="T185"/>
      <c r="U185"/>
      <c r="V185"/>
      <c r="W185"/>
    </row>
    <row r="186" spans="20:23" ht="13.5" x14ac:dyDescent="0.3">
      <c r="T186"/>
      <c r="U186"/>
      <c r="V186"/>
      <c r="W186"/>
    </row>
    <row r="187" spans="20:23" ht="13.5" x14ac:dyDescent="0.3">
      <c r="T187"/>
      <c r="U187"/>
      <c r="V187"/>
      <c r="W187"/>
    </row>
    <row r="188" spans="20:23" ht="13.5" x14ac:dyDescent="0.3">
      <c r="T188"/>
      <c r="U188"/>
      <c r="V188"/>
      <c r="W188"/>
    </row>
    <row r="189" spans="20:23" ht="13.5" x14ac:dyDescent="0.3">
      <c r="T189"/>
      <c r="U189"/>
      <c r="V189"/>
      <c r="W189"/>
    </row>
    <row r="190" spans="20:23" ht="13.5" x14ac:dyDescent="0.3">
      <c r="T190"/>
      <c r="U190"/>
      <c r="V190"/>
      <c r="W190"/>
    </row>
    <row r="191" spans="20:23" ht="13.5" x14ac:dyDescent="0.3">
      <c r="T191"/>
      <c r="U191"/>
      <c r="V191"/>
      <c r="W191"/>
    </row>
    <row r="192" spans="20:23" ht="13.5" x14ac:dyDescent="0.3">
      <c r="T192"/>
      <c r="U192"/>
      <c r="V192"/>
      <c r="W192"/>
    </row>
    <row r="193" spans="20:23" ht="13.5" x14ac:dyDescent="0.3">
      <c r="T193"/>
      <c r="U193"/>
      <c r="V193"/>
      <c r="W193"/>
    </row>
    <row r="194" spans="20:23" ht="13.5" x14ac:dyDescent="0.3">
      <c r="T194"/>
      <c r="U194"/>
      <c r="V194"/>
      <c r="W194"/>
    </row>
    <row r="195" spans="20:23" ht="13.5" x14ac:dyDescent="0.3">
      <c r="T195"/>
      <c r="U195"/>
      <c r="V195"/>
      <c r="W195"/>
    </row>
    <row r="196" spans="20:23" ht="13.5" x14ac:dyDescent="0.3">
      <c r="T196"/>
      <c r="U196"/>
      <c r="V196"/>
      <c r="W196"/>
    </row>
    <row r="197" spans="20:23" ht="13.5" x14ac:dyDescent="0.3">
      <c r="T197"/>
      <c r="U197"/>
      <c r="V197"/>
      <c r="W197"/>
    </row>
    <row r="198" spans="20:23" ht="13.5" x14ac:dyDescent="0.3">
      <c r="T198"/>
      <c r="U198"/>
      <c r="V198"/>
      <c r="W198"/>
    </row>
    <row r="199" spans="20:23" ht="13.5" x14ac:dyDescent="0.3">
      <c r="T199"/>
      <c r="U199"/>
      <c r="V199"/>
      <c r="W199"/>
    </row>
    <row r="200" spans="20:23" ht="13.5" x14ac:dyDescent="0.3">
      <c r="T200"/>
      <c r="U200"/>
      <c r="V200"/>
      <c r="W200"/>
    </row>
    <row r="201" spans="20:23" ht="13.5" x14ac:dyDescent="0.3">
      <c r="T201"/>
      <c r="U201"/>
      <c r="V201"/>
      <c r="W201"/>
    </row>
    <row r="202" spans="20:23" ht="13.5" x14ac:dyDescent="0.3">
      <c r="T202"/>
      <c r="U202"/>
      <c r="V202"/>
      <c r="W202"/>
    </row>
    <row r="203" spans="20:23" ht="13.5" x14ac:dyDescent="0.3">
      <c r="T203"/>
      <c r="U203"/>
      <c r="V203"/>
      <c r="W203"/>
    </row>
    <row r="204" spans="20:23" ht="13.5" x14ac:dyDescent="0.3">
      <c r="T204"/>
      <c r="U204"/>
      <c r="V204"/>
      <c r="W204"/>
    </row>
    <row r="205" spans="20:23" ht="13.5" x14ac:dyDescent="0.3">
      <c r="T205"/>
      <c r="U205"/>
      <c r="V205"/>
      <c r="W205"/>
    </row>
    <row r="206" spans="20:23" ht="13.5" x14ac:dyDescent="0.3">
      <c r="T206"/>
      <c r="U206"/>
      <c r="V206"/>
      <c r="W206"/>
    </row>
    <row r="207" spans="20:23" ht="13.5" x14ac:dyDescent="0.3">
      <c r="T207"/>
      <c r="U207"/>
      <c r="V207"/>
      <c r="W207"/>
    </row>
    <row r="208" spans="20:23" ht="13.5" x14ac:dyDescent="0.3">
      <c r="T208"/>
      <c r="U208"/>
      <c r="V208"/>
      <c r="W208"/>
    </row>
    <row r="209" spans="20:23" ht="13.5" x14ac:dyDescent="0.3">
      <c r="T209"/>
      <c r="U209"/>
      <c r="V209"/>
      <c r="W209"/>
    </row>
    <row r="210" spans="20:23" ht="13.5" x14ac:dyDescent="0.3">
      <c r="T210"/>
      <c r="U210"/>
      <c r="V210"/>
      <c r="W210"/>
    </row>
    <row r="211" spans="20:23" ht="13.5" x14ac:dyDescent="0.3">
      <c r="T211"/>
      <c r="U211"/>
      <c r="V211"/>
      <c r="W211"/>
    </row>
    <row r="212" spans="20:23" ht="13.5" x14ac:dyDescent="0.3">
      <c r="T212"/>
      <c r="U212"/>
      <c r="V212"/>
      <c r="W212"/>
    </row>
    <row r="213" spans="20:23" ht="13.5" x14ac:dyDescent="0.3">
      <c r="T213"/>
      <c r="U213"/>
      <c r="V213"/>
      <c r="W213"/>
    </row>
    <row r="214" spans="20:23" ht="13.5" x14ac:dyDescent="0.3">
      <c r="T214"/>
      <c r="U214"/>
      <c r="V214"/>
      <c r="W214"/>
    </row>
    <row r="215" spans="20:23" ht="13.5" x14ac:dyDescent="0.3">
      <c r="T215"/>
      <c r="U215"/>
      <c r="V215"/>
      <c r="W215"/>
    </row>
    <row r="216" spans="20:23" ht="13.5" x14ac:dyDescent="0.3">
      <c r="T216"/>
      <c r="U216"/>
      <c r="V216"/>
      <c r="W216"/>
    </row>
    <row r="217" spans="20:23" ht="13.5" x14ac:dyDescent="0.3">
      <c r="T217"/>
      <c r="U217"/>
      <c r="V217"/>
      <c r="W217"/>
    </row>
    <row r="218" spans="20:23" ht="13.5" x14ac:dyDescent="0.3">
      <c r="T218"/>
      <c r="U218"/>
      <c r="V218"/>
      <c r="W218"/>
    </row>
    <row r="219" spans="20:23" ht="13.5" x14ac:dyDescent="0.3">
      <c r="T219"/>
      <c r="U219"/>
      <c r="V219"/>
      <c r="W219"/>
    </row>
    <row r="220" spans="20:23" ht="13.5" x14ac:dyDescent="0.3">
      <c r="T220"/>
      <c r="U220"/>
      <c r="V220"/>
      <c r="W220"/>
    </row>
    <row r="221" spans="20:23" ht="13.5" x14ac:dyDescent="0.3">
      <c r="T221"/>
      <c r="U221"/>
      <c r="V221"/>
      <c r="W221"/>
    </row>
    <row r="222" spans="20:23" ht="13.5" x14ac:dyDescent="0.3">
      <c r="T222"/>
      <c r="U222"/>
      <c r="V222"/>
      <c r="W222"/>
    </row>
    <row r="223" spans="20:23" ht="13.5" x14ac:dyDescent="0.3">
      <c r="T223"/>
      <c r="U223"/>
      <c r="V223"/>
      <c r="W223"/>
    </row>
    <row r="224" spans="20:23" ht="13.5" x14ac:dyDescent="0.3">
      <c r="T224"/>
      <c r="U224"/>
      <c r="V224"/>
      <c r="W224"/>
    </row>
    <row r="225" spans="20:23" ht="13.5" x14ac:dyDescent="0.3">
      <c r="T225"/>
      <c r="U225"/>
      <c r="V225"/>
      <c r="W225"/>
    </row>
    <row r="226" spans="20:23" ht="13.5" x14ac:dyDescent="0.3">
      <c r="T226"/>
      <c r="U226"/>
      <c r="V226"/>
      <c r="W226"/>
    </row>
    <row r="227" spans="20:23" ht="13.5" x14ac:dyDescent="0.3">
      <c r="T227"/>
      <c r="U227"/>
      <c r="V227"/>
      <c r="W227"/>
    </row>
    <row r="228" spans="20:23" ht="13.5" x14ac:dyDescent="0.3">
      <c r="T228"/>
      <c r="U228"/>
      <c r="V228"/>
      <c r="W228"/>
    </row>
    <row r="229" spans="20:23" ht="13.5" x14ac:dyDescent="0.3">
      <c r="T229"/>
      <c r="U229"/>
      <c r="V229"/>
      <c r="W229"/>
    </row>
    <row r="230" spans="20:23" ht="13.5" x14ac:dyDescent="0.3">
      <c r="T230"/>
      <c r="U230"/>
      <c r="V230"/>
      <c r="W230"/>
    </row>
    <row r="231" spans="20:23" ht="13.5" x14ac:dyDescent="0.3">
      <c r="T231"/>
      <c r="U231"/>
      <c r="V231"/>
      <c r="W231"/>
    </row>
    <row r="232" spans="20:23" ht="13.5" x14ac:dyDescent="0.3">
      <c r="T232"/>
      <c r="U232"/>
      <c r="V232"/>
      <c r="W232"/>
    </row>
    <row r="233" spans="20:23" ht="13.5" x14ac:dyDescent="0.3">
      <c r="T233"/>
      <c r="U233"/>
      <c r="V233"/>
      <c r="W233"/>
    </row>
    <row r="234" spans="20:23" ht="13.5" x14ac:dyDescent="0.3">
      <c r="T234"/>
      <c r="U234"/>
      <c r="V234"/>
      <c r="W234"/>
    </row>
    <row r="235" spans="20:23" ht="13.5" x14ac:dyDescent="0.3">
      <c r="T235"/>
      <c r="U235"/>
      <c r="V235"/>
    </row>
    <row r="236" spans="20:23" ht="13.5" x14ac:dyDescent="0.3">
      <c r="T236"/>
      <c r="U236"/>
      <c r="V236"/>
    </row>
    <row r="237" spans="20:23" ht="13.5" x14ac:dyDescent="0.3">
      <c r="T237"/>
      <c r="U237"/>
      <c r="V237"/>
    </row>
    <row r="238" spans="20:23" ht="13.5" x14ac:dyDescent="0.3">
      <c r="T238"/>
      <c r="U238"/>
      <c r="V238"/>
    </row>
    <row r="239" spans="20:23" ht="13.5" x14ac:dyDescent="0.3">
      <c r="T239"/>
      <c r="U239"/>
      <c r="V239"/>
    </row>
    <row r="240" spans="20:23" ht="13.5" x14ac:dyDescent="0.3">
      <c r="T240"/>
      <c r="U240"/>
      <c r="V240"/>
    </row>
    <row r="241" spans="20:22" ht="13.5" x14ac:dyDescent="0.3">
      <c r="T241"/>
      <c r="U241"/>
      <c r="V241"/>
    </row>
    <row r="242" spans="20:22" ht="13.5" x14ac:dyDescent="0.3">
      <c r="T242"/>
      <c r="U242"/>
      <c r="V242"/>
    </row>
    <row r="243" spans="20:22" ht="13.5" x14ac:dyDescent="0.3">
      <c r="T243"/>
      <c r="U243"/>
      <c r="V243"/>
    </row>
    <row r="244" spans="20:22" ht="13.5" x14ac:dyDescent="0.3">
      <c r="T244"/>
      <c r="U244"/>
      <c r="V244"/>
    </row>
    <row r="245" spans="20:22" ht="13.5" x14ac:dyDescent="0.3">
      <c r="T245"/>
      <c r="U245"/>
      <c r="V245"/>
    </row>
    <row r="246" spans="20:22" ht="13.5" x14ac:dyDescent="0.3">
      <c r="T246"/>
      <c r="U246"/>
      <c r="V246"/>
    </row>
    <row r="247" spans="20:22" ht="13.5" x14ac:dyDescent="0.3">
      <c r="T247"/>
      <c r="U247"/>
      <c r="V247"/>
    </row>
    <row r="248" spans="20:22" ht="13.5" x14ac:dyDescent="0.3">
      <c r="T248"/>
      <c r="U248"/>
      <c r="V248"/>
    </row>
    <row r="249" spans="20:22" ht="13.5" x14ac:dyDescent="0.3">
      <c r="T249"/>
      <c r="U249"/>
      <c r="V249"/>
    </row>
    <row r="250" spans="20:22" ht="13.5" x14ac:dyDescent="0.3">
      <c r="T250"/>
      <c r="U250"/>
      <c r="V250"/>
    </row>
    <row r="251" spans="20:22" ht="13.5" x14ac:dyDescent="0.3">
      <c r="T251"/>
      <c r="U251"/>
      <c r="V251"/>
    </row>
    <row r="252" spans="20:22" ht="13.5" x14ac:dyDescent="0.3">
      <c r="T252"/>
      <c r="U252"/>
      <c r="V252"/>
    </row>
    <row r="253" spans="20:22" ht="13.5" x14ac:dyDescent="0.3">
      <c r="T253"/>
      <c r="U253"/>
      <c r="V253"/>
    </row>
    <row r="254" spans="20:22" ht="13.5" x14ac:dyDescent="0.3">
      <c r="T254"/>
      <c r="U254"/>
      <c r="V254"/>
    </row>
    <row r="255" spans="20:22" ht="13.5" x14ac:dyDescent="0.3">
      <c r="T255"/>
      <c r="U255"/>
      <c r="V255"/>
    </row>
    <row r="256" spans="20:22" ht="13.5" x14ac:dyDescent="0.3">
      <c r="T256"/>
      <c r="U256"/>
      <c r="V256"/>
    </row>
    <row r="257" spans="20:22" ht="13.5" x14ac:dyDescent="0.3">
      <c r="T257"/>
      <c r="U257"/>
      <c r="V257"/>
    </row>
    <row r="258" spans="20:22" ht="13.5" x14ac:dyDescent="0.3">
      <c r="T258"/>
      <c r="U258"/>
      <c r="V258"/>
    </row>
    <row r="259" spans="20:22" ht="13.5" x14ac:dyDescent="0.3">
      <c r="T259"/>
      <c r="U259"/>
      <c r="V259"/>
    </row>
    <row r="260" spans="20:22" ht="13.5" x14ac:dyDescent="0.3">
      <c r="T260"/>
      <c r="U260"/>
      <c r="V260"/>
    </row>
    <row r="261" spans="20:22" ht="13.5" x14ac:dyDescent="0.3">
      <c r="T261"/>
      <c r="U261"/>
      <c r="V261"/>
    </row>
    <row r="262" spans="20:22" ht="13.5" x14ac:dyDescent="0.3">
      <c r="T262"/>
      <c r="U262"/>
      <c r="V262"/>
    </row>
    <row r="263" spans="20:22" ht="13.5" x14ac:dyDescent="0.3">
      <c r="T263"/>
      <c r="U263"/>
      <c r="V263"/>
    </row>
    <row r="264" spans="20:22" ht="13.5" x14ac:dyDescent="0.3">
      <c r="T264"/>
      <c r="U264"/>
      <c r="V264"/>
    </row>
    <row r="265" spans="20:22" ht="13.5" x14ac:dyDescent="0.3">
      <c r="T265"/>
      <c r="U265"/>
      <c r="V265"/>
    </row>
    <row r="266" spans="20:22" ht="13.5" x14ac:dyDescent="0.3">
      <c r="T266"/>
      <c r="U266"/>
      <c r="V266"/>
    </row>
    <row r="267" spans="20:22" ht="13.5" x14ac:dyDescent="0.3">
      <c r="T267"/>
      <c r="U267"/>
      <c r="V267"/>
    </row>
    <row r="268" spans="20:22" ht="13.5" x14ac:dyDescent="0.3">
      <c r="T268"/>
      <c r="U268"/>
      <c r="V268"/>
    </row>
    <row r="269" spans="20:22" ht="13.5" x14ac:dyDescent="0.3">
      <c r="T269"/>
      <c r="U269"/>
      <c r="V269"/>
    </row>
    <row r="270" spans="20:22" ht="13.5" x14ac:dyDescent="0.3">
      <c r="T270"/>
      <c r="U270"/>
      <c r="V270"/>
    </row>
    <row r="271" spans="20:22" ht="13.5" x14ac:dyDescent="0.3">
      <c r="T271"/>
      <c r="U271"/>
      <c r="V271"/>
    </row>
    <row r="272" spans="20:22" ht="13.5" x14ac:dyDescent="0.3">
      <c r="T272"/>
      <c r="U272"/>
      <c r="V272"/>
    </row>
    <row r="273" spans="20:22" ht="13.5" x14ac:dyDescent="0.3">
      <c r="T273"/>
      <c r="U273"/>
      <c r="V273"/>
    </row>
    <row r="274" spans="20:22" ht="13.5" x14ac:dyDescent="0.3">
      <c r="T274"/>
      <c r="U274"/>
      <c r="V274"/>
    </row>
    <row r="275" spans="20:22" ht="13.5" x14ac:dyDescent="0.3">
      <c r="T275"/>
      <c r="U275"/>
      <c r="V275"/>
    </row>
    <row r="276" spans="20:22" ht="13.5" x14ac:dyDescent="0.3">
      <c r="T276"/>
      <c r="U276"/>
      <c r="V276"/>
    </row>
    <row r="277" spans="20:22" ht="13.5" x14ac:dyDescent="0.3">
      <c r="T277"/>
      <c r="U277"/>
      <c r="V277"/>
    </row>
    <row r="278" spans="20:22" ht="13.5" x14ac:dyDescent="0.3">
      <c r="T278"/>
      <c r="U278"/>
      <c r="V278"/>
    </row>
    <row r="279" spans="20:22" ht="13.5" x14ac:dyDescent="0.3">
      <c r="T279"/>
      <c r="U279"/>
      <c r="V279"/>
    </row>
    <row r="280" spans="20:22" ht="13.5" x14ac:dyDescent="0.3">
      <c r="T280"/>
      <c r="U280"/>
      <c r="V280"/>
    </row>
    <row r="281" spans="20:22" ht="13.5" x14ac:dyDescent="0.3">
      <c r="T281"/>
      <c r="U281"/>
      <c r="V281"/>
    </row>
    <row r="282" spans="20:22" ht="13.5" x14ac:dyDescent="0.3">
      <c r="T282"/>
      <c r="U282"/>
      <c r="V282"/>
    </row>
    <row r="283" spans="20:22" ht="13.5" x14ac:dyDescent="0.3">
      <c r="T283"/>
      <c r="U283"/>
      <c r="V283"/>
    </row>
    <row r="284" spans="20:22" ht="13.5" x14ac:dyDescent="0.3">
      <c r="T284"/>
      <c r="U284"/>
      <c r="V284"/>
    </row>
    <row r="285" spans="20:22" ht="13.5" x14ac:dyDescent="0.3">
      <c r="T285"/>
      <c r="U285"/>
      <c r="V285"/>
    </row>
    <row r="286" spans="20:22" ht="13.5" x14ac:dyDescent="0.3">
      <c r="T286"/>
      <c r="U286"/>
      <c r="V286"/>
    </row>
    <row r="287" spans="20:22" ht="13.5" x14ac:dyDescent="0.3">
      <c r="T287"/>
      <c r="U287"/>
    </row>
    <row r="288" spans="20:22" ht="13.5" x14ac:dyDescent="0.3">
      <c r="T288"/>
    </row>
    <row r="289" spans="20:20" ht="13.5" x14ac:dyDescent="0.3">
      <c r="T289"/>
    </row>
    <row r="290" spans="20:20" ht="13.5" x14ac:dyDescent="0.3">
      <c r="T290"/>
    </row>
    <row r="291" spans="20:20" ht="13.5" x14ac:dyDescent="0.3">
      <c r="T291"/>
    </row>
    <row r="292" spans="20:20" ht="13.5" x14ac:dyDescent="0.3">
      <c r="T292"/>
    </row>
  </sheetData>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Cover</vt:lpstr>
      <vt:lpstr>Summary</vt:lpstr>
      <vt:lpstr>Assumptions</vt:lpstr>
      <vt:lpstr>Option1 (base case)</vt:lpstr>
      <vt:lpstr>Option2</vt:lpstr>
      <vt:lpstr>Option3</vt:lpstr>
      <vt:lpstr>Option4</vt:lpstr>
      <vt:lpstr>Consol</vt:lpstr>
      <vt:lpstr>Cost summary</vt:lpstr>
      <vt:lpstr>Risk summary</vt:lpstr>
      <vt:lpstr>General risk inputs</vt:lpstr>
      <vt:lpstr>Reduction in Business Risks&gt;&gt;</vt:lpstr>
      <vt:lpstr>Benefit BR3</vt:lpstr>
      <vt:lpstr>Benefit BR5</vt:lpstr>
      <vt:lpstr>Benefit BC1</vt:lpstr>
      <vt:lpstr>Reduction in IT risks&gt;&gt;</vt:lpstr>
      <vt:lpstr>Benefit ITO1</vt:lpstr>
      <vt:lpstr>Benefit ITS2</vt:lpstr>
      <vt:lpstr>Benefit ITS3</vt:lpstr>
      <vt:lpstr>Misc_calcs</vt:lpstr>
      <vt:lpstr>Data</vt:lpstr>
      <vt:lpstr>bus</vt:lpstr>
      <vt:lpstr>conv_2026</vt:lpstr>
      <vt:lpstr>customers_total</vt:lpstr>
      <vt:lpstr>custval_date</vt:lpstr>
      <vt:lpstr>CY_years</vt:lpstr>
      <vt:lpstr>first_year</vt:lpstr>
      <vt:lpstr>hy_dates</vt:lpstr>
      <vt:lpstr>hy_escalation</vt:lpstr>
      <vt:lpstr>input_dollars</vt:lpstr>
      <vt:lpstr>Likelihood</vt:lpstr>
      <vt:lpstr>mill_conv</vt:lpstr>
      <vt:lpstr>options</vt:lpstr>
      <vt:lpstr>output_dollars</vt:lpstr>
      <vt:lpstr>proj</vt:lpstr>
      <vt:lpstr>real_disc</vt:lpstr>
      <vt:lpstr>solarcustomers_total</vt:lpstr>
      <vt:lpstr>start</vt:lpstr>
      <vt:lpstr>thous_conv</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2025-01-27T11:50:20Z</dcterms:created>
  <dcterms:modified xsi:type="dcterms:W3CDTF">2025-01-27T11:50:53Z</dcterms:modified>
</cp:coreProperties>
</file>