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C15AD784-216D-4341-A3BF-64CC49173B04}" xr6:coauthVersionLast="47" xr6:coauthVersionMax="47" xr10:uidLastSave="{00000000-0000-0000-0000-000000000000}"/>
  <bookViews>
    <workbookView xWindow="28680" yWindow="135" windowWidth="29040" windowHeight="15720" tabRatio="896" activeTab="1" xr2:uid="{00000000-000D-0000-FFFF-FFFF00000000}"/>
  </bookViews>
  <sheets>
    <sheet name="Cover" sheetId="91" r:id="rId1"/>
    <sheet name="UE summary" sheetId="82" r:id="rId2"/>
    <sheet name="Assumptions" sheetId="74" r:id="rId3"/>
    <sheet name="Option 1" sheetId="79" r:id="rId4"/>
    <sheet name="Option 2" sheetId="90" r:id="rId5"/>
    <sheet name="Option 3" sheetId="89" r:id="rId6"/>
    <sheet name="Option 4" sheetId="92" r:id="rId7"/>
  </sheets>
  <definedNames>
    <definedName name="Business">Assumptions!$B$8</definedName>
    <definedName name="business_case_dollars">Assumptions!$C$41</definedName>
    <definedName name="_xlnm.Print_Area" localSheetId="1">'UE summary'!$A$1:$J$41</definedName>
    <definedName name="Project_name">Assumptions!$B$6</definedName>
    <definedName name="Real_Discount_rate">Assumptions!$B$10</definedName>
    <definedName name="years" localSheetId="3">'Option 1'!$R$8:$V$8</definedName>
    <definedName name="years" localSheetId="4">'Option 2'!$R$8:$V$8</definedName>
    <definedName name="years" localSheetId="5">'Option 3'!$R$8:$V$8</definedName>
    <definedName name="years" localSheetId="6">'Option 4'!$R$8:$V$8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82" l="1"/>
  <c r="H48" i="82"/>
  <c r="I48" i="82"/>
  <c r="J48" i="82"/>
  <c r="K48" i="82"/>
  <c r="F48" i="82"/>
  <c r="G26" i="82"/>
  <c r="H26" i="82"/>
  <c r="I26" i="82"/>
  <c r="J26" i="82"/>
  <c r="K26" i="82"/>
  <c r="F26" i="82"/>
  <c r="G44" i="82"/>
  <c r="H44" i="82"/>
  <c r="I44" i="82"/>
  <c r="J44" i="82"/>
  <c r="G45" i="82"/>
  <c r="H45" i="82"/>
  <c r="I45" i="82"/>
  <c r="J45" i="82"/>
  <c r="F45" i="82"/>
  <c r="F44" i="82"/>
  <c r="G33" i="82"/>
  <c r="H33" i="82"/>
  <c r="I33" i="82"/>
  <c r="J33" i="82"/>
  <c r="G34" i="82"/>
  <c r="H34" i="82"/>
  <c r="I34" i="82"/>
  <c r="J34" i="82"/>
  <c r="F34" i="82"/>
  <c r="F33" i="82"/>
  <c r="G23" i="82"/>
  <c r="H23" i="82"/>
  <c r="I23" i="82"/>
  <c r="J23" i="82"/>
  <c r="F23" i="82"/>
  <c r="G22" i="82"/>
  <c r="H22" i="82"/>
  <c r="I22" i="82"/>
  <c r="J22" i="82"/>
  <c r="F22" i="82"/>
  <c r="G11" i="82"/>
  <c r="H11" i="82"/>
  <c r="I11" i="82"/>
  <c r="J11" i="82"/>
  <c r="G12" i="82"/>
  <c r="H12" i="82"/>
  <c r="I12" i="82"/>
  <c r="J12" i="82"/>
  <c r="F12" i="82"/>
  <c r="F11" i="82"/>
  <c r="H47" i="82" l="1"/>
  <c r="I47" i="82"/>
  <c r="J47" i="82"/>
  <c r="G47" i="82"/>
  <c r="F47" i="82"/>
  <c r="F49" i="82" s="1"/>
  <c r="K46" i="82"/>
  <c r="K44" i="82"/>
  <c r="K45" i="82"/>
  <c r="H36" i="82"/>
  <c r="I36" i="82"/>
  <c r="J36" i="82"/>
  <c r="F36" i="82"/>
  <c r="G36" i="82"/>
  <c r="K35" i="82"/>
  <c r="K34" i="82"/>
  <c r="K33" i="82"/>
  <c r="K36" i="82" s="1"/>
  <c r="J25" i="82"/>
  <c r="J14" i="82"/>
  <c r="I25" i="82"/>
  <c r="G25" i="82"/>
  <c r="K23" i="82"/>
  <c r="H25" i="82"/>
  <c r="K24" i="82"/>
  <c r="K22" i="82"/>
  <c r="I14" i="82"/>
  <c r="H14" i="82"/>
  <c r="G14" i="82"/>
  <c r="K13" i="82"/>
  <c r="K12" i="82"/>
  <c r="F14" i="82"/>
  <c r="K11" i="82"/>
  <c r="C137" i="92"/>
  <c r="C126" i="92"/>
  <c r="C124" i="92"/>
  <c r="C103" i="92"/>
  <c r="U99" i="92"/>
  <c r="T99" i="92"/>
  <c r="C92" i="92"/>
  <c r="C89" i="92"/>
  <c r="V86" i="92"/>
  <c r="U86" i="92"/>
  <c r="T86" i="92"/>
  <c r="S86" i="92"/>
  <c r="R86" i="92"/>
  <c r="V81" i="92"/>
  <c r="U81" i="92"/>
  <c r="T81" i="92"/>
  <c r="S81" i="92"/>
  <c r="R81" i="92"/>
  <c r="V78" i="92"/>
  <c r="U78" i="92"/>
  <c r="V77" i="92"/>
  <c r="U77" i="92"/>
  <c r="T77" i="92"/>
  <c r="S77" i="92"/>
  <c r="R77" i="92"/>
  <c r="V70" i="92"/>
  <c r="U70" i="92"/>
  <c r="T70" i="92"/>
  <c r="S70" i="92"/>
  <c r="R70" i="92"/>
  <c r="J70" i="92"/>
  <c r="I70" i="92"/>
  <c r="V69" i="92"/>
  <c r="U69" i="92"/>
  <c r="T69" i="92"/>
  <c r="S69" i="92"/>
  <c r="R69" i="92"/>
  <c r="J69" i="92"/>
  <c r="I69" i="92"/>
  <c r="V68" i="92"/>
  <c r="U68" i="92"/>
  <c r="T68" i="92"/>
  <c r="S68" i="92"/>
  <c r="R68" i="92"/>
  <c r="J68" i="92"/>
  <c r="I68" i="92"/>
  <c r="V67" i="92"/>
  <c r="U67" i="92"/>
  <c r="T67" i="92"/>
  <c r="S67" i="92"/>
  <c r="R67" i="92"/>
  <c r="J67" i="92"/>
  <c r="I67" i="92"/>
  <c r="V66" i="92"/>
  <c r="U66" i="92"/>
  <c r="T66" i="92"/>
  <c r="S66" i="92"/>
  <c r="R66" i="92"/>
  <c r="J66" i="92"/>
  <c r="I66" i="92"/>
  <c r="V65" i="92"/>
  <c r="U65" i="92"/>
  <c r="T65" i="92"/>
  <c r="S65" i="92"/>
  <c r="R65" i="92"/>
  <c r="J65" i="92"/>
  <c r="I65" i="92"/>
  <c r="V64" i="92"/>
  <c r="U64" i="92"/>
  <c r="T64" i="92"/>
  <c r="S64" i="92"/>
  <c r="R64" i="92"/>
  <c r="J64" i="92"/>
  <c r="I64" i="92"/>
  <c r="V63" i="92"/>
  <c r="U63" i="92"/>
  <c r="T63" i="92"/>
  <c r="S63" i="92"/>
  <c r="R63" i="92"/>
  <c r="J63" i="92"/>
  <c r="I63" i="92"/>
  <c r="V62" i="92"/>
  <c r="U62" i="92"/>
  <c r="T62" i="92"/>
  <c r="S62" i="92"/>
  <c r="R62" i="92"/>
  <c r="J62" i="92"/>
  <c r="I62" i="92"/>
  <c r="V61" i="92"/>
  <c r="U61" i="92"/>
  <c r="T61" i="92"/>
  <c r="S61" i="92"/>
  <c r="R61" i="92"/>
  <c r="J61" i="92"/>
  <c r="I61" i="92"/>
  <c r="V60" i="92"/>
  <c r="U60" i="92"/>
  <c r="T60" i="92"/>
  <c r="S60" i="92"/>
  <c r="R60" i="92"/>
  <c r="J60" i="92"/>
  <c r="I60" i="92"/>
  <c r="V59" i="92"/>
  <c r="U59" i="92"/>
  <c r="T59" i="92"/>
  <c r="S59" i="92"/>
  <c r="R59" i="92"/>
  <c r="J59" i="92"/>
  <c r="I59" i="92"/>
  <c r="V58" i="92"/>
  <c r="U58" i="92"/>
  <c r="T58" i="92"/>
  <c r="S58" i="92"/>
  <c r="R58" i="92"/>
  <c r="J58" i="92"/>
  <c r="I58" i="92"/>
  <c r="V57" i="92"/>
  <c r="U57" i="92"/>
  <c r="T57" i="92"/>
  <c r="S57" i="92"/>
  <c r="R57" i="92"/>
  <c r="J57" i="92"/>
  <c r="I57" i="92"/>
  <c r="V56" i="92"/>
  <c r="U56" i="92"/>
  <c r="T56" i="92"/>
  <c r="S56" i="92"/>
  <c r="R56" i="92"/>
  <c r="J56" i="92"/>
  <c r="I56" i="92"/>
  <c r="V55" i="92"/>
  <c r="U55" i="92"/>
  <c r="T55" i="92"/>
  <c r="S55" i="92"/>
  <c r="R55" i="92"/>
  <c r="J55" i="92"/>
  <c r="I55" i="92"/>
  <c r="V54" i="92"/>
  <c r="U54" i="92"/>
  <c r="T54" i="92"/>
  <c r="S54" i="92"/>
  <c r="R54" i="92"/>
  <c r="J54" i="92"/>
  <c r="I54" i="92"/>
  <c r="V53" i="92"/>
  <c r="U53" i="92"/>
  <c r="T53" i="92"/>
  <c r="S53" i="92"/>
  <c r="R53" i="92"/>
  <c r="J53" i="92"/>
  <c r="I53" i="92"/>
  <c r="V52" i="92"/>
  <c r="U52" i="92"/>
  <c r="T52" i="92"/>
  <c r="S52" i="92"/>
  <c r="R52" i="92"/>
  <c r="J52" i="92"/>
  <c r="I52" i="92"/>
  <c r="V51" i="92"/>
  <c r="U51" i="92"/>
  <c r="T51" i="92"/>
  <c r="S51" i="92"/>
  <c r="R51" i="92"/>
  <c r="J51" i="92"/>
  <c r="I51" i="92"/>
  <c r="V50" i="92"/>
  <c r="U50" i="92"/>
  <c r="T50" i="92"/>
  <c r="S50" i="92"/>
  <c r="S79" i="92" s="1"/>
  <c r="R50" i="92"/>
  <c r="R79" i="92" s="1"/>
  <c r="J50" i="92"/>
  <c r="I50" i="92"/>
  <c r="V49" i="92"/>
  <c r="V99" i="92" s="1"/>
  <c r="U49" i="92"/>
  <c r="T49" i="92"/>
  <c r="S49" i="92"/>
  <c r="R49" i="92"/>
  <c r="J49" i="92"/>
  <c r="I49" i="92"/>
  <c r="V48" i="92"/>
  <c r="U48" i="92"/>
  <c r="T48" i="92"/>
  <c r="T78" i="92" s="1"/>
  <c r="S48" i="92"/>
  <c r="R48" i="92"/>
  <c r="J48" i="92"/>
  <c r="I48" i="92"/>
  <c r="V47" i="92"/>
  <c r="U47" i="92"/>
  <c r="T47" i="92"/>
  <c r="S47" i="92"/>
  <c r="R47" i="92"/>
  <c r="J47" i="92"/>
  <c r="I47" i="92"/>
  <c r="V46" i="92"/>
  <c r="U46" i="92"/>
  <c r="T46" i="92"/>
  <c r="S46" i="92"/>
  <c r="R46" i="92"/>
  <c r="J46" i="92"/>
  <c r="I46" i="92"/>
  <c r="V45" i="92"/>
  <c r="U45" i="92"/>
  <c r="T45" i="92"/>
  <c r="S45" i="92"/>
  <c r="R45" i="92"/>
  <c r="J45" i="92"/>
  <c r="I45" i="92"/>
  <c r="V44" i="92"/>
  <c r="U44" i="92"/>
  <c r="T44" i="92"/>
  <c r="S44" i="92"/>
  <c r="R44" i="92"/>
  <c r="J44" i="92"/>
  <c r="I44" i="92"/>
  <c r="V43" i="92"/>
  <c r="U43" i="92"/>
  <c r="T43" i="92"/>
  <c r="S43" i="92"/>
  <c r="R43" i="92"/>
  <c r="J43" i="92"/>
  <c r="I43" i="92"/>
  <c r="V42" i="92"/>
  <c r="U42" i="92"/>
  <c r="T42" i="92"/>
  <c r="S42" i="92"/>
  <c r="R42" i="92"/>
  <c r="J42" i="92"/>
  <c r="I42" i="92"/>
  <c r="V41" i="92"/>
  <c r="U41" i="92"/>
  <c r="T41" i="92"/>
  <c r="S41" i="92"/>
  <c r="R41" i="92"/>
  <c r="J41" i="92"/>
  <c r="I41" i="92"/>
  <c r="V40" i="92"/>
  <c r="U40" i="92"/>
  <c r="T40" i="92"/>
  <c r="S40" i="92"/>
  <c r="R40" i="92"/>
  <c r="J40" i="92"/>
  <c r="I40" i="92"/>
  <c r="V39" i="92"/>
  <c r="U39" i="92"/>
  <c r="T39" i="92"/>
  <c r="S39" i="92"/>
  <c r="R39" i="92"/>
  <c r="J39" i="92"/>
  <c r="I39" i="92"/>
  <c r="V38" i="92"/>
  <c r="U38" i="92"/>
  <c r="T38" i="92"/>
  <c r="S38" i="92"/>
  <c r="R38" i="92"/>
  <c r="J38" i="92"/>
  <c r="I38" i="92"/>
  <c r="V37" i="92"/>
  <c r="U37" i="92"/>
  <c r="T37" i="92"/>
  <c r="S37" i="92"/>
  <c r="R37" i="92"/>
  <c r="J37" i="92"/>
  <c r="I37" i="92"/>
  <c r="V36" i="92"/>
  <c r="U36" i="92"/>
  <c r="T36" i="92"/>
  <c r="S36" i="92"/>
  <c r="R36" i="92"/>
  <c r="J36" i="92"/>
  <c r="I36" i="92"/>
  <c r="V35" i="92"/>
  <c r="U35" i="92"/>
  <c r="T35" i="92"/>
  <c r="S35" i="92"/>
  <c r="R35" i="92"/>
  <c r="J35" i="92"/>
  <c r="I35" i="92"/>
  <c r="J34" i="92"/>
  <c r="J33" i="92"/>
  <c r="J32" i="92"/>
  <c r="J31" i="92"/>
  <c r="V30" i="92"/>
  <c r="U30" i="92"/>
  <c r="T30" i="92"/>
  <c r="S30" i="92"/>
  <c r="R30" i="92"/>
  <c r="J30" i="92"/>
  <c r="I30" i="92"/>
  <c r="V29" i="92"/>
  <c r="U29" i="92"/>
  <c r="T29" i="92"/>
  <c r="S29" i="92"/>
  <c r="R29" i="92"/>
  <c r="J29" i="92"/>
  <c r="I29" i="92"/>
  <c r="V28" i="92"/>
  <c r="U28" i="92"/>
  <c r="T28" i="92"/>
  <c r="S28" i="92"/>
  <c r="R28" i="92"/>
  <c r="J28" i="92"/>
  <c r="I28" i="92"/>
  <c r="V27" i="92"/>
  <c r="U27" i="92"/>
  <c r="T27" i="92"/>
  <c r="S27" i="92"/>
  <c r="R27" i="92"/>
  <c r="J27" i="92"/>
  <c r="I27" i="92"/>
  <c r="V26" i="92"/>
  <c r="U26" i="92"/>
  <c r="T26" i="92"/>
  <c r="S26" i="92"/>
  <c r="R26" i="92"/>
  <c r="J26" i="92"/>
  <c r="I26" i="92"/>
  <c r="V25" i="92"/>
  <c r="U25" i="92"/>
  <c r="T25" i="92"/>
  <c r="S25" i="92"/>
  <c r="R25" i="92"/>
  <c r="J25" i="92"/>
  <c r="I25" i="92"/>
  <c r="V24" i="92"/>
  <c r="U24" i="92"/>
  <c r="T24" i="92"/>
  <c r="S24" i="92"/>
  <c r="R24" i="92"/>
  <c r="J24" i="92"/>
  <c r="I24" i="92"/>
  <c r="J23" i="92"/>
  <c r="J22" i="92"/>
  <c r="J21" i="92"/>
  <c r="J20" i="92"/>
  <c r="V19" i="92"/>
  <c r="U19" i="92"/>
  <c r="T19" i="92"/>
  <c r="S19" i="92"/>
  <c r="R19" i="92"/>
  <c r="J19" i="92"/>
  <c r="I19" i="92"/>
  <c r="V18" i="92"/>
  <c r="U18" i="92"/>
  <c r="T18" i="92"/>
  <c r="S18" i="92"/>
  <c r="R18" i="92"/>
  <c r="J18" i="92"/>
  <c r="I18" i="92"/>
  <c r="V17" i="92"/>
  <c r="U17" i="92"/>
  <c r="T17" i="92"/>
  <c r="S17" i="92"/>
  <c r="R17" i="92"/>
  <c r="J17" i="92"/>
  <c r="I17" i="92"/>
  <c r="V16" i="92"/>
  <c r="U16" i="92"/>
  <c r="T16" i="92"/>
  <c r="S16" i="92"/>
  <c r="R16" i="92"/>
  <c r="J16" i="92"/>
  <c r="I16" i="92"/>
  <c r="V15" i="92"/>
  <c r="V85" i="92" s="1"/>
  <c r="U15" i="92"/>
  <c r="U85" i="92" s="1"/>
  <c r="T15" i="92"/>
  <c r="S15" i="92"/>
  <c r="R15" i="92"/>
  <c r="J15" i="92"/>
  <c r="I15" i="92"/>
  <c r="J14" i="92"/>
  <c r="I14" i="92"/>
  <c r="J13" i="92"/>
  <c r="J12" i="92"/>
  <c r="J11" i="92"/>
  <c r="J10" i="92"/>
  <c r="A5" i="92"/>
  <c r="X3" i="92"/>
  <c r="A2" i="92"/>
  <c r="A1" i="92"/>
  <c r="J43" i="82"/>
  <c r="I43" i="82"/>
  <c r="H43" i="82"/>
  <c r="G43" i="82"/>
  <c r="F43" i="82"/>
  <c r="D6" i="91" a="1"/>
  <c r="D6" i="91" s="1"/>
  <c r="C5" i="91" a="1"/>
  <c r="C5" i="91" s="1"/>
  <c r="C137" i="89"/>
  <c r="C137" i="79"/>
  <c r="C137" i="90"/>
  <c r="K47" i="82" l="1"/>
  <c r="F38" i="82"/>
  <c r="K14" i="82"/>
  <c r="F16" i="82"/>
  <c r="K25" i="82"/>
  <c r="F25" i="82"/>
  <c r="F27" i="82" s="1"/>
  <c r="V97" i="92"/>
  <c r="T83" i="92"/>
  <c r="R85" i="92"/>
  <c r="U83" i="92"/>
  <c r="S85" i="92"/>
  <c r="V83" i="92"/>
  <c r="T76" i="92"/>
  <c r="W77" i="92"/>
  <c r="R82" i="92"/>
  <c r="S82" i="92"/>
  <c r="T82" i="92"/>
  <c r="R76" i="92"/>
  <c r="U97" i="92"/>
  <c r="S83" i="92"/>
  <c r="S76" i="92"/>
  <c r="S97" i="92"/>
  <c r="U76" i="92"/>
  <c r="V76" i="92"/>
  <c r="R97" i="92"/>
  <c r="T97" i="92"/>
  <c r="R83" i="92"/>
  <c r="U82" i="92"/>
  <c r="V82" i="92"/>
  <c r="T85" i="92"/>
  <c r="W81" i="92"/>
  <c r="W86" i="92"/>
  <c r="S99" i="92"/>
  <c r="V14" i="92"/>
  <c r="V75" i="92" s="1"/>
  <c r="U14" i="92"/>
  <c r="U75" i="92" s="1"/>
  <c r="R14" i="92"/>
  <c r="R75" i="92" s="1"/>
  <c r="S14" i="92"/>
  <c r="S75" i="92" s="1"/>
  <c r="U79" i="92"/>
  <c r="S78" i="92"/>
  <c r="R99" i="92"/>
  <c r="T79" i="92"/>
  <c r="R78" i="92"/>
  <c r="T14" i="92"/>
  <c r="T75" i="92" s="1"/>
  <c r="V79" i="92"/>
  <c r="W76" i="92" l="1"/>
  <c r="W83" i="92"/>
  <c r="W97" i="92"/>
  <c r="W82" i="92"/>
  <c r="W85" i="92"/>
  <c r="W78" i="92"/>
  <c r="W99" i="92"/>
  <c r="W75" i="92"/>
  <c r="W79" i="92"/>
  <c r="C51" i="74"/>
  <c r="I70" i="89"/>
  <c r="I69" i="89"/>
  <c r="I68" i="89"/>
  <c r="I67" i="89"/>
  <c r="I66" i="89"/>
  <c r="I65" i="89"/>
  <c r="I64" i="89"/>
  <c r="I63" i="89"/>
  <c r="I62" i="89"/>
  <c r="I61" i="89"/>
  <c r="I60" i="89"/>
  <c r="I59" i="89"/>
  <c r="I58" i="89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I42" i="89"/>
  <c r="I41" i="89"/>
  <c r="I40" i="89"/>
  <c r="I39" i="89"/>
  <c r="I38" i="89"/>
  <c r="I37" i="89"/>
  <c r="I36" i="89"/>
  <c r="I35" i="89"/>
  <c r="I34" i="89"/>
  <c r="I33" i="89"/>
  <c r="I28" i="89"/>
  <c r="I27" i="89"/>
  <c r="I26" i="89"/>
  <c r="I25" i="89"/>
  <c r="I24" i="89"/>
  <c r="I23" i="89"/>
  <c r="I18" i="89"/>
  <c r="I17" i="89"/>
  <c r="I16" i="89"/>
  <c r="I15" i="89"/>
  <c r="I70" i="90"/>
  <c r="I69" i="90"/>
  <c r="I68" i="90"/>
  <c r="I67" i="90"/>
  <c r="I66" i="90"/>
  <c r="I65" i="90"/>
  <c r="I64" i="90"/>
  <c r="I63" i="90"/>
  <c r="I62" i="90"/>
  <c r="I61" i="90"/>
  <c r="I60" i="90"/>
  <c r="I59" i="90"/>
  <c r="I58" i="90"/>
  <c r="I57" i="90"/>
  <c r="I56" i="90"/>
  <c r="I55" i="90"/>
  <c r="I54" i="90"/>
  <c r="I53" i="90"/>
  <c r="I52" i="90"/>
  <c r="I51" i="90"/>
  <c r="I48" i="90"/>
  <c r="I47" i="90"/>
  <c r="I46" i="90"/>
  <c r="I45" i="90"/>
  <c r="I44" i="90"/>
  <c r="I43" i="90"/>
  <c r="I42" i="90"/>
  <c r="I41" i="90"/>
  <c r="I40" i="90"/>
  <c r="I33" i="90"/>
  <c r="I32" i="90"/>
  <c r="I31" i="90"/>
  <c r="I30" i="90"/>
  <c r="I29" i="90"/>
  <c r="I28" i="90"/>
  <c r="I27" i="90"/>
  <c r="I23" i="90"/>
  <c r="I19" i="90"/>
  <c r="I18" i="90"/>
  <c r="I69" i="79" l="1"/>
  <c r="I68" i="79"/>
  <c r="I67" i="79"/>
  <c r="I66" i="79"/>
  <c r="I65" i="79"/>
  <c r="I64" i="79"/>
  <c r="I61" i="79"/>
  <c r="I60" i="79"/>
  <c r="I59" i="79"/>
  <c r="I58" i="79"/>
  <c r="I57" i="79"/>
  <c r="I56" i="79"/>
  <c r="I55" i="79"/>
  <c r="I54" i="79"/>
  <c r="I53" i="79"/>
  <c r="I52" i="79"/>
  <c r="I51" i="79"/>
  <c r="I50" i="79"/>
  <c r="I49" i="79"/>
  <c r="I48" i="79"/>
  <c r="I47" i="79"/>
  <c r="I46" i="79"/>
  <c r="I43" i="79"/>
  <c r="I42" i="79"/>
  <c r="I41" i="79"/>
  <c r="I38" i="79"/>
  <c r="I37" i="79"/>
  <c r="I34" i="79"/>
  <c r="I33" i="79"/>
  <c r="I32" i="79"/>
  <c r="I31" i="79"/>
  <c r="I30" i="79"/>
  <c r="I29" i="79"/>
  <c r="I28" i="79"/>
  <c r="I27" i="79"/>
  <c r="I26" i="79"/>
  <c r="I23" i="79"/>
  <c r="I22" i="79"/>
  <c r="I21" i="79"/>
  <c r="I20" i="79"/>
  <c r="I19" i="79"/>
  <c r="I18" i="79"/>
  <c r="I16" i="79"/>
  <c r="I14" i="79"/>
  <c r="I12" i="79"/>
  <c r="B16" i="74"/>
  <c r="B14" i="74"/>
  <c r="I17" i="79" s="1"/>
  <c r="J70" i="79"/>
  <c r="J69" i="79"/>
  <c r="J68" i="79"/>
  <c r="J67" i="79"/>
  <c r="V70" i="90"/>
  <c r="U70" i="90"/>
  <c r="T70" i="90"/>
  <c r="S70" i="90"/>
  <c r="R70" i="90"/>
  <c r="J70" i="90"/>
  <c r="V69" i="90"/>
  <c r="U69" i="90"/>
  <c r="T69" i="90"/>
  <c r="S69" i="90"/>
  <c r="R69" i="90"/>
  <c r="J69" i="90"/>
  <c r="V68" i="90"/>
  <c r="U68" i="90"/>
  <c r="T68" i="90"/>
  <c r="S68" i="90"/>
  <c r="R68" i="90"/>
  <c r="J68" i="90"/>
  <c r="V67" i="90"/>
  <c r="U67" i="90"/>
  <c r="T67" i="90"/>
  <c r="S67" i="90"/>
  <c r="R67" i="90"/>
  <c r="J67" i="90"/>
  <c r="V70" i="89"/>
  <c r="U70" i="89"/>
  <c r="T70" i="89"/>
  <c r="S70" i="89"/>
  <c r="R70" i="89"/>
  <c r="J70" i="89"/>
  <c r="V69" i="89"/>
  <c r="U69" i="89"/>
  <c r="T69" i="89"/>
  <c r="S69" i="89"/>
  <c r="R69" i="89"/>
  <c r="J69" i="89"/>
  <c r="V68" i="89"/>
  <c r="U68" i="89"/>
  <c r="T68" i="89"/>
  <c r="S68" i="89"/>
  <c r="R68" i="89"/>
  <c r="J68" i="89"/>
  <c r="V67" i="89"/>
  <c r="U67" i="89"/>
  <c r="T67" i="89"/>
  <c r="S67" i="89"/>
  <c r="R67" i="89"/>
  <c r="J67" i="89"/>
  <c r="J39" i="79"/>
  <c r="J38" i="79"/>
  <c r="J37" i="79"/>
  <c r="J36" i="79"/>
  <c r="J35" i="79"/>
  <c r="J34" i="79"/>
  <c r="J33" i="79"/>
  <c r="J32" i="79"/>
  <c r="J31" i="79"/>
  <c r="J30" i="79"/>
  <c r="J29" i="79"/>
  <c r="J28" i="79"/>
  <c r="J27" i="79"/>
  <c r="J26" i="79"/>
  <c r="J25" i="79"/>
  <c r="J24" i="79"/>
  <c r="J23" i="79"/>
  <c r="J22" i="79"/>
  <c r="J21" i="79"/>
  <c r="J20" i="79"/>
  <c r="J19" i="79"/>
  <c r="J18" i="79"/>
  <c r="J17" i="79"/>
  <c r="J16" i="79"/>
  <c r="J39" i="90"/>
  <c r="J38" i="90"/>
  <c r="J37" i="90"/>
  <c r="J36" i="90"/>
  <c r="J35" i="90"/>
  <c r="J34" i="90"/>
  <c r="J33" i="90"/>
  <c r="J32" i="90"/>
  <c r="J31" i="90"/>
  <c r="J30" i="90"/>
  <c r="J29" i="90"/>
  <c r="J28" i="90"/>
  <c r="J27" i="90"/>
  <c r="J26" i="90"/>
  <c r="J25" i="90"/>
  <c r="J24" i="90"/>
  <c r="J23" i="90"/>
  <c r="J22" i="90"/>
  <c r="J21" i="90"/>
  <c r="J20" i="90"/>
  <c r="J19" i="90"/>
  <c r="J18" i="90"/>
  <c r="J17" i="90"/>
  <c r="J16" i="90"/>
  <c r="V39" i="89"/>
  <c r="U39" i="89"/>
  <c r="T39" i="89"/>
  <c r="S39" i="89"/>
  <c r="R39" i="89"/>
  <c r="J39" i="89"/>
  <c r="V38" i="89"/>
  <c r="U38" i="89"/>
  <c r="T38" i="89"/>
  <c r="S38" i="89"/>
  <c r="R38" i="89"/>
  <c r="J38" i="89"/>
  <c r="V37" i="89"/>
  <c r="U37" i="89"/>
  <c r="T37" i="89"/>
  <c r="S37" i="89"/>
  <c r="R37" i="89"/>
  <c r="J37" i="89"/>
  <c r="V36" i="89"/>
  <c r="U36" i="89"/>
  <c r="T36" i="89"/>
  <c r="S36" i="89"/>
  <c r="R36" i="89"/>
  <c r="J36" i="89"/>
  <c r="V35" i="89"/>
  <c r="U35" i="89"/>
  <c r="T35" i="89"/>
  <c r="S35" i="89"/>
  <c r="R35" i="89"/>
  <c r="J35" i="89"/>
  <c r="V34" i="89"/>
  <c r="U34" i="89"/>
  <c r="T34" i="89"/>
  <c r="S34" i="89"/>
  <c r="R34" i="89"/>
  <c r="J34" i="89"/>
  <c r="V33" i="89"/>
  <c r="U33" i="89"/>
  <c r="T33" i="89"/>
  <c r="S33" i="89"/>
  <c r="R33" i="89"/>
  <c r="J33" i="89"/>
  <c r="J32" i="89"/>
  <c r="J31" i="89"/>
  <c r="J30" i="89"/>
  <c r="J29" i="89"/>
  <c r="V28" i="89"/>
  <c r="U28" i="89"/>
  <c r="T28" i="89"/>
  <c r="S28" i="89"/>
  <c r="R28" i="89"/>
  <c r="J28" i="89"/>
  <c r="V27" i="89"/>
  <c r="U27" i="89"/>
  <c r="T27" i="89"/>
  <c r="S27" i="89"/>
  <c r="R27" i="89"/>
  <c r="J27" i="89"/>
  <c r="V26" i="89"/>
  <c r="U26" i="89"/>
  <c r="T26" i="89"/>
  <c r="S26" i="89"/>
  <c r="R26" i="89"/>
  <c r="J26" i="89"/>
  <c r="V25" i="89"/>
  <c r="U25" i="89"/>
  <c r="T25" i="89"/>
  <c r="S25" i="89"/>
  <c r="R25" i="89"/>
  <c r="J25" i="89"/>
  <c r="V24" i="89"/>
  <c r="U24" i="89"/>
  <c r="T24" i="89"/>
  <c r="S24" i="89"/>
  <c r="R24" i="89"/>
  <c r="J24" i="89"/>
  <c r="V23" i="89"/>
  <c r="U23" i="89"/>
  <c r="T23" i="89"/>
  <c r="S23" i="89"/>
  <c r="R23" i="89"/>
  <c r="J23" i="89"/>
  <c r="J22" i="89"/>
  <c r="J21" i="89"/>
  <c r="J20" i="89"/>
  <c r="J19" i="89"/>
  <c r="V18" i="89"/>
  <c r="U18" i="89"/>
  <c r="T18" i="89"/>
  <c r="S18" i="89"/>
  <c r="R18" i="89"/>
  <c r="J18" i="89"/>
  <c r="V17" i="89"/>
  <c r="U17" i="89"/>
  <c r="T17" i="89"/>
  <c r="S17" i="89"/>
  <c r="R17" i="89"/>
  <c r="J17" i="89"/>
  <c r="V16" i="89"/>
  <c r="U16" i="89"/>
  <c r="T16" i="89"/>
  <c r="S16" i="89"/>
  <c r="R16" i="89"/>
  <c r="J16" i="89"/>
  <c r="C126" i="90"/>
  <c r="C124" i="90"/>
  <c r="C103" i="90"/>
  <c r="C92" i="90"/>
  <c r="C89" i="90"/>
  <c r="V66" i="90"/>
  <c r="U66" i="90"/>
  <c r="T66" i="90"/>
  <c r="S66" i="90"/>
  <c r="R66" i="90"/>
  <c r="J66" i="90"/>
  <c r="V65" i="90"/>
  <c r="U65" i="90"/>
  <c r="T65" i="90"/>
  <c r="S65" i="90"/>
  <c r="R65" i="90"/>
  <c r="J65" i="90"/>
  <c r="V64" i="90"/>
  <c r="U64" i="90"/>
  <c r="T64" i="90"/>
  <c r="S64" i="90"/>
  <c r="R64" i="90"/>
  <c r="J64" i="90"/>
  <c r="V63" i="90"/>
  <c r="U63" i="90"/>
  <c r="T63" i="90"/>
  <c r="S63" i="90"/>
  <c r="R63" i="90"/>
  <c r="J63" i="90"/>
  <c r="V62" i="90"/>
  <c r="U62" i="90"/>
  <c r="T62" i="90"/>
  <c r="S62" i="90"/>
  <c r="R62" i="90"/>
  <c r="J62" i="90"/>
  <c r="V61" i="90"/>
  <c r="U61" i="90"/>
  <c r="T61" i="90"/>
  <c r="S61" i="90"/>
  <c r="R61" i="90"/>
  <c r="J61" i="90"/>
  <c r="J60" i="90"/>
  <c r="J59" i="90"/>
  <c r="J58" i="90"/>
  <c r="J57" i="90"/>
  <c r="J56" i="90"/>
  <c r="J55" i="90"/>
  <c r="J54" i="90"/>
  <c r="J53" i="90"/>
  <c r="J52" i="90"/>
  <c r="J51" i="90"/>
  <c r="J50" i="90"/>
  <c r="J49" i="90"/>
  <c r="J48" i="90"/>
  <c r="J47" i="90"/>
  <c r="J46" i="90"/>
  <c r="J45" i="90"/>
  <c r="J44" i="90"/>
  <c r="J43" i="90"/>
  <c r="J42" i="90"/>
  <c r="J41" i="90"/>
  <c r="J40" i="90"/>
  <c r="J15" i="90"/>
  <c r="J14" i="90"/>
  <c r="J13" i="90"/>
  <c r="J12" i="90"/>
  <c r="J11" i="90"/>
  <c r="J10" i="90"/>
  <c r="A5" i="90"/>
  <c r="X3" i="90"/>
  <c r="A2" i="90"/>
  <c r="A1" i="90"/>
  <c r="C126" i="89"/>
  <c r="C124" i="89"/>
  <c r="C103" i="89"/>
  <c r="C92" i="89"/>
  <c r="C89" i="89"/>
  <c r="V77" i="89"/>
  <c r="U77" i="89"/>
  <c r="T77" i="89"/>
  <c r="S77" i="89"/>
  <c r="R77" i="89"/>
  <c r="V66" i="89"/>
  <c r="U66" i="89"/>
  <c r="T66" i="89"/>
  <c r="S66" i="89"/>
  <c r="R66" i="89"/>
  <c r="J66" i="89"/>
  <c r="V65" i="89"/>
  <c r="U65" i="89"/>
  <c r="T65" i="89"/>
  <c r="S65" i="89"/>
  <c r="R65" i="89"/>
  <c r="J65" i="89"/>
  <c r="V64" i="89"/>
  <c r="U64" i="89"/>
  <c r="T64" i="89"/>
  <c r="S64" i="89"/>
  <c r="R64" i="89"/>
  <c r="J64" i="89"/>
  <c r="V63" i="89"/>
  <c r="U63" i="89"/>
  <c r="T63" i="89"/>
  <c r="S63" i="89"/>
  <c r="R63" i="89"/>
  <c r="J63" i="89"/>
  <c r="V62" i="89"/>
  <c r="U62" i="89"/>
  <c r="T62" i="89"/>
  <c r="S62" i="89"/>
  <c r="R62" i="89"/>
  <c r="J62" i="89"/>
  <c r="V61" i="89"/>
  <c r="U61" i="89"/>
  <c r="T61" i="89"/>
  <c r="S61" i="89"/>
  <c r="R61" i="89"/>
  <c r="J61" i="89"/>
  <c r="V60" i="89"/>
  <c r="U60" i="89"/>
  <c r="T60" i="89"/>
  <c r="S60" i="89"/>
  <c r="R60" i="89"/>
  <c r="J60" i="89"/>
  <c r="V59" i="89"/>
  <c r="U59" i="89"/>
  <c r="T59" i="89"/>
  <c r="S59" i="89"/>
  <c r="R59" i="89"/>
  <c r="J59" i="89"/>
  <c r="V58" i="89"/>
  <c r="U58" i="89"/>
  <c r="T58" i="89"/>
  <c r="S58" i="89"/>
  <c r="R58" i="89"/>
  <c r="J58" i="89"/>
  <c r="V57" i="89"/>
  <c r="U57" i="89"/>
  <c r="T57" i="89"/>
  <c r="S57" i="89"/>
  <c r="R57" i="89"/>
  <c r="J57" i="89"/>
  <c r="V56" i="89"/>
  <c r="U56" i="89"/>
  <c r="T56" i="89"/>
  <c r="S56" i="89"/>
  <c r="R56" i="89"/>
  <c r="J56" i="89"/>
  <c r="V55" i="89"/>
  <c r="U55" i="89"/>
  <c r="T55" i="89"/>
  <c r="S55" i="89"/>
  <c r="R55" i="89"/>
  <c r="J55" i="89"/>
  <c r="V54" i="89"/>
  <c r="U54" i="89"/>
  <c r="T54" i="89"/>
  <c r="S54" i="89"/>
  <c r="R54" i="89"/>
  <c r="J54" i="89"/>
  <c r="J53" i="89"/>
  <c r="V52" i="89"/>
  <c r="U52" i="89"/>
  <c r="T52" i="89"/>
  <c r="S52" i="89"/>
  <c r="R52" i="89"/>
  <c r="J52" i="89"/>
  <c r="V51" i="89"/>
  <c r="V86" i="89" s="1"/>
  <c r="U51" i="89"/>
  <c r="U86" i="89" s="1"/>
  <c r="T51" i="89"/>
  <c r="T86" i="89" s="1"/>
  <c r="S51" i="89"/>
  <c r="S86" i="89" s="1"/>
  <c r="R51" i="89"/>
  <c r="R86" i="89" s="1"/>
  <c r="J51" i="89"/>
  <c r="V50" i="89"/>
  <c r="U50" i="89"/>
  <c r="T50" i="89"/>
  <c r="S50" i="89"/>
  <c r="R50" i="89"/>
  <c r="J50" i="89"/>
  <c r="V49" i="89"/>
  <c r="U49" i="89"/>
  <c r="T49" i="89"/>
  <c r="S49" i="89"/>
  <c r="R49" i="89"/>
  <c r="J49" i="89"/>
  <c r="V48" i="89"/>
  <c r="U48" i="89"/>
  <c r="T48" i="89"/>
  <c r="S48" i="89"/>
  <c r="R48" i="89"/>
  <c r="J48" i="89"/>
  <c r="V47" i="89"/>
  <c r="U47" i="89"/>
  <c r="T47" i="89"/>
  <c r="S47" i="89"/>
  <c r="R47" i="89"/>
  <c r="J47" i="89"/>
  <c r="V46" i="89"/>
  <c r="U46" i="89"/>
  <c r="T46" i="89"/>
  <c r="S46" i="89"/>
  <c r="R46" i="89"/>
  <c r="J46" i="89"/>
  <c r="V45" i="89"/>
  <c r="U45" i="89"/>
  <c r="T45" i="89"/>
  <c r="S45" i="89"/>
  <c r="R45" i="89"/>
  <c r="J45" i="89"/>
  <c r="V44" i="89"/>
  <c r="U44" i="89"/>
  <c r="T44" i="89"/>
  <c r="S44" i="89"/>
  <c r="R44" i="89"/>
  <c r="J44" i="89"/>
  <c r="J43" i="89"/>
  <c r="V42" i="89"/>
  <c r="V83" i="89" s="1"/>
  <c r="U42" i="89"/>
  <c r="U83" i="89" s="1"/>
  <c r="T42" i="89"/>
  <c r="T83" i="89" s="1"/>
  <c r="S42" i="89"/>
  <c r="R42" i="89"/>
  <c r="J42" i="89"/>
  <c r="V41" i="89"/>
  <c r="U41" i="89"/>
  <c r="T41" i="89"/>
  <c r="S41" i="89"/>
  <c r="R41" i="89"/>
  <c r="J41" i="89"/>
  <c r="V40" i="89"/>
  <c r="U40" i="89"/>
  <c r="T40" i="89"/>
  <c r="S40" i="89"/>
  <c r="R40" i="89"/>
  <c r="J40" i="89"/>
  <c r="V15" i="89"/>
  <c r="U15" i="89"/>
  <c r="T15" i="89"/>
  <c r="S15" i="89"/>
  <c r="R15" i="89"/>
  <c r="J15" i="89"/>
  <c r="J14" i="89"/>
  <c r="J13" i="89"/>
  <c r="J12" i="89"/>
  <c r="J11" i="89"/>
  <c r="J10" i="89"/>
  <c r="A5" i="89"/>
  <c r="X3" i="89"/>
  <c r="A2" i="89"/>
  <c r="A1" i="89"/>
  <c r="C103" i="79"/>
  <c r="V77" i="79"/>
  <c r="U77" i="79"/>
  <c r="T77" i="79"/>
  <c r="S77" i="79"/>
  <c r="R77" i="79"/>
  <c r="I13" i="79" l="1"/>
  <c r="I15" i="79"/>
  <c r="I20" i="92"/>
  <c r="I33" i="92"/>
  <c r="I12" i="92"/>
  <c r="I31" i="92"/>
  <c r="I10" i="92"/>
  <c r="I22" i="92"/>
  <c r="I15" i="90"/>
  <c r="I21" i="89"/>
  <c r="I19" i="89"/>
  <c r="I31" i="89"/>
  <c r="I29" i="89"/>
  <c r="I20" i="90"/>
  <c r="R83" i="89"/>
  <c r="S83" i="89"/>
  <c r="I23" i="92"/>
  <c r="I34" i="92"/>
  <c r="I13" i="92"/>
  <c r="I21" i="92"/>
  <c r="I32" i="92"/>
  <c r="I11" i="92"/>
  <c r="I32" i="89"/>
  <c r="I20" i="89"/>
  <c r="I30" i="89"/>
  <c r="I26" i="90"/>
  <c r="I22" i="89"/>
  <c r="V82" i="89"/>
  <c r="S82" i="89"/>
  <c r="R82" i="89"/>
  <c r="T82" i="89"/>
  <c r="U82" i="89"/>
  <c r="U79" i="89"/>
  <c r="V79" i="89"/>
  <c r="I24" i="79"/>
  <c r="I39" i="79"/>
  <c r="I44" i="79"/>
  <c r="I70" i="79"/>
  <c r="I14" i="89"/>
  <c r="I13" i="89"/>
  <c r="I13" i="90"/>
  <c r="I24" i="90"/>
  <c r="I38" i="90"/>
  <c r="I21" i="90"/>
  <c r="I16" i="90"/>
  <c r="I12" i="89"/>
  <c r="I12" i="90"/>
  <c r="I10" i="89"/>
  <c r="I10" i="90"/>
  <c r="I36" i="90"/>
  <c r="I49" i="90"/>
  <c r="I34" i="90"/>
  <c r="I35" i="79"/>
  <c r="I62" i="79"/>
  <c r="T79" i="89"/>
  <c r="I10" i="79"/>
  <c r="I50" i="90"/>
  <c r="I39" i="90"/>
  <c r="I37" i="90"/>
  <c r="I35" i="90"/>
  <c r="I25" i="90"/>
  <c r="I22" i="90"/>
  <c r="I17" i="90"/>
  <c r="I14" i="90"/>
  <c r="I63" i="79"/>
  <c r="I45" i="79"/>
  <c r="I40" i="79"/>
  <c r="I36" i="79"/>
  <c r="I25" i="79"/>
  <c r="R78" i="90"/>
  <c r="S78" i="90"/>
  <c r="T78" i="90"/>
  <c r="V78" i="90"/>
  <c r="R83" i="90"/>
  <c r="S83" i="90"/>
  <c r="T86" i="90"/>
  <c r="R86" i="90"/>
  <c r="S86" i="90"/>
  <c r="V86" i="90"/>
  <c r="T83" i="90"/>
  <c r="U83" i="90"/>
  <c r="V83" i="90"/>
  <c r="U86" i="90"/>
  <c r="I11" i="90"/>
  <c r="I11" i="89"/>
  <c r="I11" i="79"/>
  <c r="R79" i="89"/>
  <c r="S79" i="89"/>
  <c r="R76" i="89"/>
  <c r="U76" i="89"/>
  <c r="S76" i="89"/>
  <c r="R85" i="89"/>
  <c r="T76" i="89"/>
  <c r="S85" i="89"/>
  <c r="R85" i="90"/>
  <c r="V76" i="89"/>
  <c r="U78" i="90"/>
  <c r="S85" i="90"/>
  <c r="T85" i="90"/>
  <c r="U85" i="90"/>
  <c r="V85" i="90"/>
  <c r="W86" i="89"/>
  <c r="T85" i="89"/>
  <c r="U85" i="89"/>
  <c r="V85" i="89"/>
  <c r="W77" i="89"/>
  <c r="T29" i="89" l="1"/>
  <c r="R29" i="89"/>
  <c r="V29" i="89"/>
  <c r="U29" i="89"/>
  <c r="S29" i="89"/>
  <c r="S19" i="89"/>
  <c r="R19" i="89"/>
  <c r="V19" i="89"/>
  <c r="T19" i="89"/>
  <c r="U19" i="89"/>
  <c r="V21" i="89"/>
  <c r="U21" i="89"/>
  <c r="T21" i="89"/>
  <c r="S21" i="89"/>
  <c r="R21" i="89"/>
  <c r="R22" i="92"/>
  <c r="S22" i="92"/>
  <c r="T22" i="92"/>
  <c r="U22" i="92"/>
  <c r="V22" i="92"/>
  <c r="R10" i="92"/>
  <c r="V10" i="92"/>
  <c r="S10" i="92"/>
  <c r="T10" i="92"/>
  <c r="U10" i="92"/>
  <c r="V31" i="89"/>
  <c r="U31" i="89"/>
  <c r="T31" i="89"/>
  <c r="S31" i="89"/>
  <c r="R31" i="89"/>
  <c r="R31" i="92"/>
  <c r="U31" i="92"/>
  <c r="V31" i="92"/>
  <c r="S31" i="92"/>
  <c r="T31" i="92"/>
  <c r="R12" i="92"/>
  <c r="S12" i="92"/>
  <c r="T12" i="92"/>
  <c r="U12" i="92"/>
  <c r="V12" i="92"/>
  <c r="V33" i="92"/>
  <c r="S33" i="92"/>
  <c r="T33" i="92"/>
  <c r="U33" i="92"/>
  <c r="R33" i="92"/>
  <c r="T20" i="92"/>
  <c r="R20" i="92"/>
  <c r="S20" i="92"/>
  <c r="V20" i="92"/>
  <c r="U20" i="92"/>
  <c r="W83" i="89"/>
  <c r="U22" i="89"/>
  <c r="T22" i="89"/>
  <c r="S22" i="89"/>
  <c r="R22" i="89"/>
  <c r="V22" i="89"/>
  <c r="U30" i="89"/>
  <c r="T30" i="89"/>
  <c r="S30" i="89"/>
  <c r="R30" i="89"/>
  <c r="V30" i="89"/>
  <c r="U20" i="89"/>
  <c r="T20" i="89"/>
  <c r="S20" i="89"/>
  <c r="R20" i="89"/>
  <c r="V20" i="89"/>
  <c r="U32" i="89"/>
  <c r="T32" i="89"/>
  <c r="S32" i="89"/>
  <c r="R32" i="89"/>
  <c r="V32" i="89"/>
  <c r="S11" i="92"/>
  <c r="R11" i="92"/>
  <c r="V11" i="92"/>
  <c r="U11" i="92"/>
  <c r="T11" i="92"/>
  <c r="T32" i="92"/>
  <c r="V32" i="92"/>
  <c r="U32" i="92"/>
  <c r="S32" i="92"/>
  <c r="R32" i="92"/>
  <c r="V21" i="92"/>
  <c r="T21" i="92"/>
  <c r="R21" i="92"/>
  <c r="U21" i="92"/>
  <c r="S21" i="92"/>
  <c r="U13" i="92"/>
  <c r="R13" i="92"/>
  <c r="T13" i="92"/>
  <c r="S13" i="92"/>
  <c r="V13" i="92"/>
  <c r="R34" i="92"/>
  <c r="S34" i="92"/>
  <c r="T34" i="92"/>
  <c r="U34" i="92"/>
  <c r="V34" i="92"/>
  <c r="V23" i="92"/>
  <c r="T23" i="92"/>
  <c r="R23" i="92"/>
  <c r="U23" i="92"/>
  <c r="S23" i="92"/>
  <c r="W82" i="89"/>
  <c r="R14" i="89"/>
  <c r="V14" i="89"/>
  <c r="U14" i="89"/>
  <c r="T14" i="89"/>
  <c r="S14" i="89"/>
  <c r="W79" i="89"/>
  <c r="W86" i="90"/>
  <c r="W83" i="90"/>
  <c r="W76" i="89"/>
  <c r="W85" i="89"/>
  <c r="W85" i="90"/>
  <c r="W78" i="90"/>
  <c r="V74" i="92" l="1"/>
  <c r="V96" i="92"/>
  <c r="R96" i="92"/>
  <c r="R74" i="92"/>
  <c r="V100" i="92"/>
  <c r="V84" i="92"/>
  <c r="S74" i="92"/>
  <c r="S96" i="92"/>
  <c r="S84" i="92"/>
  <c r="S100" i="92"/>
  <c r="T100" i="92"/>
  <c r="T84" i="92"/>
  <c r="R100" i="92"/>
  <c r="R84" i="92"/>
  <c r="U100" i="92"/>
  <c r="U84" i="92"/>
  <c r="T74" i="92"/>
  <c r="T96" i="92"/>
  <c r="U96" i="92"/>
  <c r="U74" i="92"/>
  <c r="A3" i="82"/>
  <c r="T101" i="92" l="1"/>
  <c r="S101" i="92"/>
  <c r="U80" i="92"/>
  <c r="S87" i="92"/>
  <c r="S89" i="92" s="1"/>
  <c r="S90" i="92" s="1"/>
  <c r="U98" i="92"/>
  <c r="S98" i="92"/>
  <c r="T98" i="92"/>
  <c r="T103" i="92" s="1"/>
  <c r="T104" i="92" s="1"/>
  <c r="S80" i="92"/>
  <c r="T80" i="92"/>
  <c r="V87" i="92"/>
  <c r="U87" i="92"/>
  <c r="V101" i="92"/>
  <c r="U101" i="92"/>
  <c r="R80" i="92"/>
  <c r="R89" i="92" s="1"/>
  <c r="W74" i="92"/>
  <c r="W80" i="92" s="1"/>
  <c r="R98" i="92"/>
  <c r="W96" i="92"/>
  <c r="W98" i="92" s="1"/>
  <c r="R87" i="92"/>
  <c r="W84" i="92"/>
  <c r="W87" i="92" s="1"/>
  <c r="V98" i="92"/>
  <c r="W100" i="92"/>
  <c r="W101" i="92" s="1"/>
  <c r="R101" i="92"/>
  <c r="V80" i="92"/>
  <c r="T87" i="92"/>
  <c r="V53" i="89"/>
  <c r="T53" i="89"/>
  <c r="U53" i="89"/>
  <c r="S53" i="89"/>
  <c r="R53" i="89"/>
  <c r="U11" i="89"/>
  <c r="V11" i="89"/>
  <c r="R11" i="89"/>
  <c r="S11" i="89"/>
  <c r="T11" i="89"/>
  <c r="V13" i="89"/>
  <c r="S13" i="89"/>
  <c r="R13" i="89"/>
  <c r="T13" i="89"/>
  <c r="U13" i="89"/>
  <c r="V12" i="89"/>
  <c r="R12" i="89"/>
  <c r="S12" i="89"/>
  <c r="T12" i="89"/>
  <c r="U12" i="89"/>
  <c r="U43" i="89"/>
  <c r="U75" i="89" s="1"/>
  <c r="V43" i="89"/>
  <c r="V75" i="89" s="1"/>
  <c r="S43" i="89"/>
  <c r="S75" i="89" s="1"/>
  <c r="T43" i="89"/>
  <c r="T75" i="89" s="1"/>
  <c r="R43" i="89"/>
  <c r="R75" i="89" s="1"/>
  <c r="T10" i="89"/>
  <c r="V10" i="89"/>
  <c r="U10" i="89"/>
  <c r="S10" i="89"/>
  <c r="R10" i="89"/>
  <c r="B23" i="74"/>
  <c r="U103" i="92" l="1"/>
  <c r="U104" i="92" s="1"/>
  <c r="V103" i="92"/>
  <c r="V104" i="92" s="1"/>
  <c r="U89" i="92"/>
  <c r="U90" i="92" s="1"/>
  <c r="V89" i="92"/>
  <c r="V90" i="92" s="1"/>
  <c r="R90" i="92"/>
  <c r="T89" i="92"/>
  <c r="T90" i="92" s="1"/>
  <c r="S103" i="92"/>
  <c r="S104" i="92" s="1"/>
  <c r="R103" i="92"/>
  <c r="T77" i="90"/>
  <c r="U77" i="90"/>
  <c r="S77" i="90"/>
  <c r="R77" i="90"/>
  <c r="V77" i="90"/>
  <c r="T99" i="90"/>
  <c r="T79" i="90"/>
  <c r="S79" i="90"/>
  <c r="S99" i="90"/>
  <c r="R79" i="90"/>
  <c r="R99" i="90"/>
  <c r="V79" i="90"/>
  <c r="V99" i="90"/>
  <c r="U99" i="90"/>
  <c r="U79" i="90"/>
  <c r="W75" i="89"/>
  <c r="R99" i="89"/>
  <c r="R78" i="89"/>
  <c r="S99" i="89"/>
  <c r="S78" i="89"/>
  <c r="U78" i="89"/>
  <c r="U99" i="89"/>
  <c r="T78" i="89"/>
  <c r="T99" i="89"/>
  <c r="V78" i="89"/>
  <c r="V99" i="89"/>
  <c r="U96" i="89"/>
  <c r="T96" i="89"/>
  <c r="T81" i="89"/>
  <c r="T97" i="89"/>
  <c r="R74" i="89"/>
  <c r="R96" i="89"/>
  <c r="U74" i="89"/>
  <c r="V84" i="90"/>
  <c r="V100" i="90"/>
  <c r="S81" i="89"/>
  <c r="S97" i="89"/>
  <c r="V81" i="89"/>
  <c r="V97" i="89"/>
  <c r="U81" i="89"/>
  <c r="U97" i="89"/>
  <c r="R84" i="89"/>
  <c r="R100" i="89"/>
  <c r="U84" i="90"/>
  <c r="U100" i="90"/>
  <c r="U84" i="89"/>
  <c r="U100" i="89"/>
  <c r="S84" i="90"/>
  <c r="S100" i="90"/>
  <c r="S96" i="89"/>
  <c r="T74" i="89"/>
  <c r="T84" i="89"/>
  <c r="T100" i="89"/>
  <c r="V96" i="89"/>
  <c r="V74" i="89"/>
  <c r="S84" i="89"/>
  <c r="S100" i="89"/>
  <c r="T84" i="90"/>
  <c r="T100" i="90"/>
  <c r="R84" i="90"/>
  <c r="R100" i="90"/>
  <c r="R81" i="89"/>
  <c r="R97" i="89"/>
  <c r="S74" i="89"/>
  <c r="V84" i="89"/>
  <c r="V100" i="89"/>
  <c r="J32" i="82"/>
  <c r="I32" i="82"/>
  <c r="H32" i="82"/>
  <c r="G32" i="82"/>
  <c r="F32" i="82"/>
  <c r="J21" i="82"/>
  <c r="I21" i="82"/>
  <c r="H21" i="82"/>
  <c r="G21" i="82"/>
  <c r="F21" i="82"/>
  <c r="A2" i="82"/>
  <c r="A1" i="82"/>
  <c r="C126" i="79"/>
  <c r="C124" i="79"/>
  <c r="C40" i="74"/>
  <c r="C41" i="74" s="1"/>
  <c r="S112" i="92" l="1"/>
  <c r="T112" i="92"/>
  <c r="S116" i="92"/>
  <c r="R112" i="92"/>
  <c r="T121" i="92"/>
  <c r="U133" i="92"/>
  <c r="U112" i="92"/>
  <c r="T113" i="92"/>
  <c r="U121" i="92"/>
  <c r="S114" i="92"/>
  <c r="T116" i="92"/>
  <c r="V133" i="92"/>
  <c r="V112" i="92"/>
  <c r="R121" i="92"/>
  <c r="V121" i="92"/>
  <c r="S121" i="92"/>
  <c r="R114" i="92"/>
  <c r="U120" i="92"/>
  <c r="U113" i="92"/>
  <c r="U116" i="92"/>
  <c r="V120" i="92"/>
  <c r="V113" i="92"/>
  <c r="R116" i="92"/>
  <c r="V116" i="92"/>
  <c r="T133" i="92"/>
  <c r="S113" i="92"/>
  <c r="V114" i="92"/>
  <c r="U118" i="92"/>
  <c r="T120" i="92"/>
  <c r="T117" i="92"/>
  <c r="U114" i="92"/>
  <c r="S120" i="92"/>
  <c r="V111" i="92"/>
  <c r="S133" i="92"/>
  <c r="U111" i="92"/>
  <c r="V131" i="92"/>
  <c r="S117" i="92"/>
  <c r="S131" i="92"/>
  <c r="R117" i="92"/>
  <c r="S110" i="92"/>
  <c r="S111" i="92"/>
  <c r="T114" i="92"/>
  <c r="R113" i="92"/>
  <c r="S118" i="92"/>
  <c r="T131" i="92"/>
  <c r="R118" i="92"/>
  <c r="V110" i="92"/>
  <c r="V117" i="92"/>
  <c r="U131" i="92"/>
  <c r="R120" i="92"/>
  <c r="R133" i="92"/>
  <c r="T111" i="92"/>
  <c r="R131" i="92"/>
  <c r="U110" i="92"/>
  <c r="T118" i="92"/>
  <c r="R111" i="92"/>
  <c r="T110" i="92"/>
  <c r="V118" i="92"/>
  <c r="U117" i="92"/>
  <c r="R110" i="92"/>
  <c r="T134" i="92"/>
  <c r="T135" i="92" s="1"/>
  <c r="S130" i="92"/>
  <c r="S132" i="92" s="1"/>
  <c r="R130" i="92"/>
  <c r="U119" i="92"/>
  <c r="V109" i="92"/>
  <c r="S134" i="92"/>
  <c r="T130" i="92"/>
  <c r="T109" i="92"/>
  <c r="V130" i="92"/>
  <c r="R109" i="92"/>
  <c r="U130" i="92"/>
  <c r="T119" i="92"/>
  <c r="S109" i="92"/>
  <c r="V134" i="92"/>
  <c r="R119" i="92"/>
  <c r="U109" i="92"/>
  <c r="U134" i="92"/>
  <c r="S119" i="92"/>
  <c r="R134" i="92"/>
  <c r="W134" i="92" s="1"/>
  <c r="V119" i="92"/>
  <c r="W89" i="92"/>
  <c r="W90" i="92" s="1"/>
  <c r="X90" i="92" s="1"/>
  <c r="D92" i="92"/>
  <c r="R104" i="92"/>
  <c r="W103" i="92"/>
  <c r="W104" i="92" s="1"/>
  <c r="X104" i="92" s="1"/>
  <c r="W77" i="90"/>
  <c r="W99" i="90"/>
  <c r="W79" i="90"/>
  <c r="W78" i="89"/>
  <c r="W99" i="89"/>
  <c r="T130" i="89"/>
  <c r="T98" i="89"/>
  <c r="R134" i="90"/>
  <c r="R101" i="90"/>
  <c r="W100" i="90"/>
  <c r="W84" i="89"/>
  <c r="R119" i="89"/>
  <c r="V116" i="89"/>
  <c r="V87" i="89"/>
  <c r="U109" i="89"/>
  <c r="U80" i="89"/>
  <c r="V134" i="89"/>
  <c r="V101" i="89"/>
  <c r="V98" i="89"/>
  <c r="V130" i="89"/>
  <c r="U131" i="89"/>
  <c r="R130" i="89"/>
  <c r="W96" i="89"/>
  <c r="R98" i="89"/>
  <c r="R134" i="89"/>
  <c r="W100" i="89"/>
  <c r="R101" i="89"/>
  <c r="V80" i="89"/>
  <c r="V109" i="89"/>
  <c r="S109" i="89"/>
  <c r="S80" i="89"/>
  <c r="T134" i="89"/>
  <c r="T101" i="89"/>
  <c r="S101" i="90"/>
  <c r="S134" i="90"/>
  <c r="U116" i="89"/>
  <c r="U87" i="89"/>
  <c r="R109" i="89"/>
  <c r="W74" i="89"/>
  <c r="R80" i="89"/>
  <c r="R131" i="89"/>
  <c r="W97" i="89"/>
  <c r="T119" i="90"/>
  <c r="T119" i="89"/>
  <c r="S119" i="90"/>
  <c r="S131" i="89"/>
  <c r="T131" i="89"/>
  <c r="V131" i="89"/>
  <c r="V119" i="89"/>
  <c r="T101" i="90"/>
  <c r="T134" i="90"/>
  <c r="W81" i="89"/>
  <c r="R87" i="89"/>
  <c r="R116" i="89"/>
  <c r="S134" i="89"/>
  <c r="S101" i="89"/>
  <c r="T80" i="89"/>
  <c r="T109" i="89"/>
  <c r="U134" i="89"/>
  <c r="U101" i="89"/>
  <c r="S116" i="89"/>
  <c r="S87" i="89"/>
  <c r="T116" i="89"/>
  <c r="T87" i="89"/>
  <c r="T113" i="90"/>
  <c r="S112" i="79"/>
  <c r="T118" i="89"/>
  <c r="T114" i="89"/>
  <c r="U112" i="79"/>
  <c r="U111" i="89"/>
  <c r="R112" i="90"/>
  <c r="R117" i="89"/>
  <c r="R114" i="89"/>
  <c r="T113" i="89"/>
  <c r="S113" i="89"/>
  <c r="V112" i="79"/>
  <c r="V118" i="90"/>
  <c r="T117" i="89"/>
  <c r="S113" i="90"/>
  <c r="U121" i="89"/>
  <c r="U114" i="89"/>
  <c r="V114" i="89"/>
  <c r="T114" i="90"/>
  <c r="V118" i="89"/>
  <c r="R114" i="90"/>
  <c r="R113" i="89"/>
  <c r="R118" i="90"/>
  <c r="R112" i="79"/>
  <c r="T118" i="90"/>
  <c r="V121" i="89"/>
  <c r="S121" i="90"/>
  <c r="R112" i="89"/>
  <c r="U121" i="90"/>
  <c r="R121" i="90"/>
  <c r="S121" i="89"/>
  <c r="S114" i="89"/>
  <c r="V113" i="90"/>
  <c r="U118" i="90"/>
  <c r="V112" i="90"/>
  <c r="S114" i="90"/>
  <c r="U112" i="89"/>
  <c r="U117" i="89"/>
  <c r="R121" i="89"/>
  <c r="V114" i="90"/>
  <c r="T121" i="89"/>
  <c r="T112" i="89"/>
  <c r="R120" i="90"/>
  <c r="V112" i="89"/>
  <c r="S118" i="90"/>
  <c r="T112" i="90"/>
  <c r="U118" i="89"/>
  <c r="S118" i="89"/>
  <c r="T121" i="90"/>
  <c r="U114" i="90"/>
  <c r="R113" i="90"/>
  <c r="R118" i="89"/>
  <c r="T112" i="79"/>
  <c r="S112" i="89"/>
  <c r="S117" i="89"/>
  <c r="U112" i="90"/>
  <c r="V117" i="89"/>
  <c r="U113" i="89"/>
  <c r="V113" i="89"/>
  <c r="V121" i="90"/>
  <c r="S112" i="90"/>
  <c r="R111" i="89"/>
  <c r="S120" i="89"/>
  <c r="V120" i="89"/>
  <c r="U133" i="90"/>
  <c r="V133" i="90"/>
  <c r="U120" i="90"/>
  <c r="T120" i="90"/>
  <c r="V133" i="89"/>
  <c r="S133" i="90"/>
  <c r="T133" i="89"/>
  <c r="U113" i="90"/>
  <c r="V120" i="90"/>
  <c r="S133" i="89"/>
  <c r="T110" i="89"/>
  <c r="V111" i="89"/>
  <c r="V110" i="89"/>
  <c r="U110" i="89"/>
  <c r="R110" i="89"/>
  <c r="U133" i="89"/>
  <c r="U120" i="89"/>
  <c r="S120" i="90"/>
  <c r="R133" i="89"/>
  <c r="T120" i="89"/>
  <c r="R120" i="89"/>
  <c r="T133" i="90"/>
  <c r="R133" i="90"/>
  <c r="T111" i="89"/>
  <c r="S110" i="89"/>
  <c r="S111" i="89"/>
  <c r="S119" i="89"/>
  <c r="S130" i="89"/>
  <c r="S98" i="89"/>
  <c r="U119" i="89"/>
  <c r="U101" i="90"/>
  <c r="U134" i="90"/>
  <c r="U98" i="89"/>
  <c r="V119" i="90"/>
  <c r="W84" i="90"/>
  <c r="R119" i="90"/>
  <c r="U119" i="90"/>
  <c r="U130" i="89"/>
  <c r="V134" i="90"/>
  <c r="V101" i="90"/>
  <c r="W112" i="92" l="1"/>
  <c r="U132" i="92"/>
  <c r="W116" i="92"/>
  <c r="R122" i="92"/>
  <c r="V132" i="92"/>
  <c r="T115" i="92"/>
  <c r="W111" i="92"/>
  <c r="U122" i="92"/>
  <c r="T132" i="92"/>
  <c r="T137" i="92" s="1"/>
  <c r="T138" i="92" s="1"/>
  <c r="W113" i="92"/>
  <c r="S135" i="92"/>
  <c r="S137" i="92" s="1"/>
  <c r="S138" i="92" s="1"/>
  <c r="U135" i="92"/>
  <c r="U137" i="92" s="1"/>
  <c r="U138" i="92" s="1"/>
  <c r="V115" i="92"/>
  <c r="W131" i="92"/>
  <c r="W114" i="92"/>
  <c r="W110" i="92"/>
  <c r="V122" i="92"/>
  <c r="T122" i="92"/>
  <c r="T124" i="92" s="1"/>
  <c r="T125" i="92" s="1"/>
  <c r="W109" i="92"/>
  <c r="R115" i="92"/>
  <c r="W118" i="92"/>
  <c r="U115" i="92"/>
  <c r="W119" i="92"/>
  <c r="W130" i="92"/>
  <c r="R132" i="92"/>
  <c r="W133" i="92"/>
  <c r="W135" i="92" s="1"/>
  <c r="R135" i="92"/>
  <c r="W117" i="92"/>
  <c r="S122" i="92"/>
  <c r="V135" i="92"/>
  <c r="W120" i="92"/>
  <c r="W121" i="92"/>
  <c r="S115" i="92"/>
  <c r="W101" i="89"/>
  <c r="W80" i="89"/>
  <c r="W101" i="90"/>
  <c r="T132" i="89"/>
  <c r="V89" i="89"/>
  <c r="V90" i="89" s="1"/>
  <c r="U135" i="90"/>
  <c r="T103" i="89"/>
  <c r="T104" i="89" s="1"/>
  <c r="S103" i="89"/>
  <c r="S104" i="89" s="1"/>
  <c r="T89" i="89"/>
  <c r="T90" i="89" s="1"/>
  <c r="W133" i="90"/>
  <c r="W87" i="89"/>
  <c r="U89" i="89"/>
  <c r="U90" i="89" s="1"/>
  <c r="T135" i="90"/>
  <c r="W120" i="90"/>
  <c r="U135" i="89"/>
  <c r="S135" i="89"/>
  <c r="R103" i="89"/>
  <c r="R104" i="89" s="1"/>
  <c r="W119" i="90"/>
  <c r="W133" i="89"/>
  <c r="U132" i="89"/>
  <c r="V135" i="89"/>
  <c r="W112" i="89"/>
  <c r="S89" i="89"/>
  <c r="S90" i="89" s="1"/>
  <c r="U122" i="89"/>
  <c r="S115" i="89"/>
  <c r="W112" i="90"/>
  <c r="R122" i="89"/>
  <c r="W116" i="89"/>
  <c r="W109" i="89"/>
  <c r="R115" i="89"/>
  <c r="W119" i="89"/>
  <c r="W120" i="89"/>
  <c r="W111" i="89"/>
  <c r="U103" i="89"/>
  <c r="U104" i="89" s="1"/>
  <c r="V115" i="89"/>
  <c r="W98" i="89"/>
  <c r="R135" i="90"/>
  <c r="W134" i="90"/>
  <c r="T122" i="89"/>
  <c r="R132" i="89"/>
  <c r="W130" i="89"/>
  <c r="W110" i="89"/>
  <c r="V135" i="90"/>
  <c r="W121" i="89"/>
  <c r="W112" i="79"/>
  <c r="T115" i="89"/>
  <c r="V132" i="89"/>
  <c r="U115" i="89"/>
  <c r="V103" i="89"/>
  <c r="V104" i="89" s="1"/>
  <c r="W118" i="89"/>
  <c r="W121" i="90"/>
  <c r="S122" i="89"/>
  <c r="S132" i="89"/>
  <c r="W113" i="89"/>
  <c r="W114" i="89"/>
  <c r="W131" i="89"/>
  <c r="T135" i="89"/>
  <c r="W118" i="90"/>
  <c r="S135" i="90"/>
  <c r="W113" i="90"/>
  <c r="W114" i="90"/>
  <c r="W117" i="89"/>
  <c r="R89" i="89"/>
  <c r="R135" i="89"/>
  <c r="W134" i="89"/>
  <c r="V122" i="89"/>
  <c r="C92" i="79"/>
  <c r="R137" i="92" l="1"/>
  <c r="R124" i="92"/>
  <c r="R125" i="92" s="1"/>
  <c r="U124" i="92"/>
  <c r="U125" i="92" s="1"/>
  <c r="W115" i="92"/>
  <c r="V124" i="92"/>
  <c r="V125" i="92" s="1"/>
  <c r="V137" i="92"/>
  <c r="V138" i="92" s="1"/>
  <c r="W137" i="92"/>
  <c r="W138" i="92" s="1"/>
  <c r="R138" i="92"/>
  <c r="X138" i="92" s="1"/>
  <c r="W132" i="92"/>
  <c r="S124" i="92"/>
  <c r="S125" i="92" s="1"/>
  <c r="W122" i="92"/>
  <c r="D92" i="89"/>
  <c r="T137" i="89"/>
  <c r="T138" i="89" s="1"/>
  <c r="W135" i="90"/>
  <c r="R124" i="89"/>
  <c r="U124" i="89"/>
  <c r="U137" i="89"/>
  <c r="U138" i="89" s="1"/>
  <c r="S137" i="89"/>
  <c r="S138" i="89" s="1"/>
  <c r="V137" i="89"/>
  <c r="V138" i="89" s="1"/>
  <c r="S124" i="89"/>
  <c r="W135" i="89"/>
  <c r="W132" i="89"/>
  <c r="W103" i="89"/>
  <c r="W104" i="89" s="1"/>
  <c r="X104" i="89" s="1"/>
  <c r="R137" i="89"/>
  <c r="W115" i="89"/>
  <c r="W89" i="89"/>
  <c r="R90" i="89"/>
  <c r="T124" i="89"/>
  <c r="V124" i="89"/>
  <c r="W122" i="89"/>
  <c r="A2" i="79"/>
  <c r="A1" i="79"/>
  <c r="A2" i="74"/>
  <c r="A1" i="74"/>
  <c r="C89" i="79"/>
  <c r="J66" i="79"/>
  <c r="J65" i="79"/>
  <c r="J64" i="79"/>
  <c r="J63" i="79"/>
  <c r="J62" i="79"/>
  <c r="J61" i="79"/>
  <c r="J60" i="79"/>
  <c r="J59" i="79"/>
  <c r="J58" i="79"/>
  <c r="J57" i="79"/>
  <c r="J56" i="79"/>
  <c r="J55" i="79"/>
  <c r="J54" i="79"/>
  <c r="J53" i="79"/>
  <c r="J52" i="79"/>
  <c r="J51" i="79"/>
  <c r="J50" i="79"/>
  <c r="J49" i="79"/>
  <c r="J48" i="79"/>
  <c r="J47" i="79"/>
  <c r="J46" i="79"/>
  <c r="J45" i="79"/>
  <c r="J44" i="79"/>
  <c r="J43" i="79"/>
  <c r="J42" i="79"/>
  <c r="J41" i="79"/>
  <c r="J40" i="79"/>
  <c r="J15" i="79"/>
  <c r="J14" i="79"/>
  <c r="J13" i="79"/>
  <c r="J12" i="79"/>
  <c r="J11" i="79"/>
  <c r="J10" i="79"/>
  <c r="A5" i="79"/>
  <c r="X3" i="79"/>
  <c r="D126" i="92" l="1"/>
  <c r="W124" i="92"/>
  <c r="W125" i="92" s="1"/>
  <c r="X125" i="92" s="1"/>
  <c r="S125" i="89"/>
  <c r="V125" i="89"/>
  <c r="T125" i="89"/>
  <c r="U125" i="89"/>
  <c r="R125" i="89"/>
  <c r="D126" i="89"/>
  <c r="R79" i="79"/>
  <c r="R114" i="79" s="1"/>
  <c r="W124" i="89"/>
  <c r="W90" i="89"/>
  <c r="X90" i="89" s="1"/>
  <c r="R138" i="89"/>
  <c r="W137" i="89"/>
  <c r="W138" i="89" s="1"/>
  <c r="R85" i="79"/>
  <c r="R120" i="79" s="1"/>
  <c r="R100" i="79"/>
  <c r="R134" i="79" s="1"/>
  <c r="R84" i="79"/>
  <c r="R119" i="79" s="1"/>
  <c r="T85" i="79"/>
  <c r="T120" i="79" s="1"/>
  <c r="U85" i="79"/>
  <c r="U120" i="79" s="1"/>
  <c r="V85" i="79"/>
  <c r="V120" i="79" s="1"/>
  <c r="U82" i="79"/>
  <c r="U117" i="79" s="1"/>
  <c r="T82" i="79"/>
  <c r="T117" i="79" s="1"/>
  <c r="R82" i="79"/>
  <c r="V97" i="79"/>
  <c r="V131" i="79" s="1"/>
  <c r="V82" i="79"/>
  <c r="V117" i="79" s="1"/>
  <c r="S82" i="79"/>
  <c r="S117" i="79" s="1"/>
  <c r="U79" i="79" l="1"/>
  <c r="U114" i="79" s="1"/>
  <c r="S79" i="79"/>
  <c r="S114" i="79" s="1"/>
  <c r="T79" i="79"/>
  <c r="T114" i="79" s="1"/>
  <c r="V79" i="79"/>
  <c r="V114" i="79" s="1"/>
  <c r="R83" i="79"/>
  <c r="T83" i="79"/>
  <c r="W125" i="89"/>
  <c r="X125" i="89" s="1"/>
  <c r="T100" i="79"/>
  <c r="T134" i="79" s="1"/>
  <c r="X138" i="89"/>
  <c r="R117" i="79"/>
  <c r="T97" i="79"/>
  <c r="T131" i="79" s="1"/>
  <c r="S83" i="79"/>
  <c r="S84" i="79"/>
  <c r="S119" i="79" s="1"/>
  <c r="S100" i="79"/>
  <c r="V83" i="79"/>
  <c r="V118" i="79" s="1"/>
  <c r="V84" i="79"/>
  <c r="U83" i="79"/>
  <c r="U84" i="79"/>
  <c r="R97" i="79"/>
  <c r="R131" i="79" s="1"/>
  <c r="U97" i="79"/>
  <c r="U131" i="79" s="1"/>
  <c r="S97" i="79"/>
  <c r="S131" i="79" s="1"/>
  <c r="W82" i="79"/>
  <c r="W79" i="79" l="1"/>
  <c r="W114" i="79"/>
  <c r="R118" i="79"/>
  <c r="T118" i="79"/>
  <c r="W131" i="79"/>
  <c r="U119" i="79"/>
  <c r="S134" i="79"/>
  <c r="U118" i="79"/>
  <c r="W117" i="79"/>
  <c r="S118" i="79"/>
  <c r="V119" i="79"/>
  <c r="W83" i="79"/>
  <c r="W97" i="79"/>
  <c r="W77" i="79"/>
  <c r="W118" i="79" l="1"/>
  <c r="S81" i="90" l="1"/>
  <c r="S116" i="90" s="1"/>
  <c r="T81" i="90" l="1"/>
  <c r="T116" i="90" s="1"/>
  <c r="U81" i="90"/>
  <c r="V81" i="90"/>
  <c r="V116" i="90" l="1"/>
  <c r="U116" i="90"/>
  <c r="U15" i="79" l="1"/>
  <c r="V70" i="79"/>
  <c r="U19" i="79"/>
  <c r="R44" i="79"/>
  <c r="V56" i="79"/>
  <c r="S56" i="79"/>
  <c r="S53" i="79"/>
  <c r="S85" i="79" s="1"/>
  <c r="S120" i="79" s="1"/>
  <c r="T68" i="79"/>
  <c r="U18" i="79"/>
  <c r="T32" i="79"/>
  <c r="R19" i="79"/>
  <c r="T19" i="79"/>
  <c r="T56" i="79"/>
  <c r="S38" i="79"/>
  <c r="V15" i="79"/>
  <c r="V18" i="79"/>
  <c r="S40" i="79"/>
  <c r="T65" i="79"/>
  <c r="U50" i="79"/>
  <c r="R66" i="79"/>
  <c r="T43" i="79"/>
  <c r="T81" i="79" s="1"/>
  <c r="R40" i="79"/>
  <c r="V10" i="79"/>
  <c r="U68" i="79"/>
  <c r="T29" i="79"/>
  <c r="T33" i="79"/>
  <c r="R57" i="79"/>
  <c r="T54" i="79"/>
  <c r="S31" i="79"/>
  <c r="T53" i="79"/>
  <c r="T84" i="79" s="1"/>
  <c r="R34" i="79"/>
  <c r="U23" i="79"/>
  <c r="V32" i="79"/>
  <c r="R65" i="79"/>
  <c r="R59" i="79"/>
  <c r="R51" i="79"/>
  <c r="R86" i="79" s="1"/>
  <c r="S46" i="79"/>
  <c r="T23" i="79"/>
  <c r="R11" i="79"/>
  <c r="T10" i="79"/>
  <c r="U41" i="79"/>
  <c r="T44" i="79"/>
  <c r="S29" i="79"/>
  <c r="S70" i="79"/>
  <c r="U52" i="79"/>
  <c r="V68" i="79"/>
  <c r="T62" i="79"/>
  <c r="R49" i="79"/>
  <c r="U29" i="79"/>
  <c r="T11" i="79"/>
  <c r="R10" i="79"/>
  <c r="U51" i="79"/>
  <c r="U86" i="79" s="1"/>
  <c r="R60" i="79"/>
  <c r="V62" i="79"/>
  <c r="R43" i="79"/>
  <c r="R81" i="79" s="1"/>
  <c r="R27" i="79"/>
  <c r="R55" i="79"/>
  <c r="T55" i="79"/>
  <c r="U55" i="79"/>
  <c r="R63" i="79"/>
  <c r="U47" i="79"/>
  <c r="R69" i="79"/>
  <c r="R52" i="79"/>
  <c r="S44" i="79"/>
  <c r="V51" i="79"/>
  <c r="V86" i="79" s="1"/>
  <c r="V44" i="79"/>
  <c r="S15" i="79"/>
  <c r="V66" i="79"/>
  <c r="S34" i="79"/>
  <c r="S19" i="79"/>
  <c r="R16" i="79"/>
  <c r="U35" i="79"/>
  <c r="R35" i="79"/>
  <c r="S47" i="79"/>
  <c r="S50" i="79"/>
  <c r="U14" i="79"/>
  <c r="T14" i="79"/>
  <c r="S12" i="79"/>
  <c r="S22" i="79"/>
  <c r="V17" i="79"/>
  <c r="U60" i="79" l="1"/>
  <c r="S62" i="79"/>
  <c r="U11" i="79"/>
  <c r="S17" i="79"/>
  <c r="U17" i="79"/>
  <c r="U63" i="79"/>
  <c r="V55" i="79"/>
  <c r="W85" i="79"/>
  <c r="T35" i="79"/>
  <c r="V50" i="79"/>
  <c r="S55" i="79"/>
  <c r="U66" i="79"/>
  <c r="T47" i="79"/>
  <c r="V19" i="79"/>
  <c r="R56" i="79"/>
  <c r="V33" i="79"/>
  <c r="T17" i="79"/>
  <c r="S23" i="79"/>
  <c r="S10" i="79"/>
  <c r="R53" i="79"/>
  <c r="R14" i="79"/>
  <c r="V14" i="79"/>
  <c r="R18" i="79"/>
  <c r="V63" i="79"/>
  <c r="W120" i="79"/>
  <c r="R121" i="79"/>
  <c r="S14" i="79"/>
  <c r="R116" i="79"/>
  <c r="R87" i="79"/>
  <c r="T116" i="79"/>
  <c r="U121" i="79"/>
  <c r="V121" i="79"/>
  <c r="T40" i="79"/>
  <c r="T119" i="79"/>
  <c r="W119" i="79" s="1"/>
  <c r="W84" i="79"/>
  <c r="S49" i="79"/>
  <c r="S63" i="79"/>
  <c r="V27" i="79"/>
  <c r="T51" i="79"/>
  <c r="T86" i="79" s="1"/>
  <c r="T87" i="79" s="1"/>
  <c r="V53" i="79"/>
  <c r="V100" i="79" s="1"/>
  <c r="V134" i="79" s="1"/>
  <c r="S43" i="79"/>
  <c r="S81" i="79" s="1"/>
  <c r="U33" i="79"/>
  <c r="V34" i="79"/>
  <c r="T63" i="79"/>
  <c r="S54" i="79"/>
  <c r="S51" i="79"/>
  <c r="S86" i="79" s="1"/>
  <c r="U32" i="79"/>
  <c r="U26" i="79"/>
  <c r="V36" i="79"/>
  <c r="U39" i="79"/>
  <c r="T21" i="79"/>
  <c r="V11" i="79"/>
  <c r="V29" i="79"/>
  <c r="U31" i="79"/>
  <c r="T60" i="79"/>
  <c r="U70" i="79"/>
  <c r="U28" i="79"/>
  <c r="U12" i="79"/>
  <c r="T28" i="79"/>
  <c r="T69" i="79"/>
  <c r="V24" i="79"/>
  <c r="T50" i="79"/>
  <c r="V48" i="79"/>
  <c r="U67" i="79"/>
  <c r="V64" i="79"/>
  <c r="T42" i="79"/>
  <c r="S11" i="79"/>
  <c r="U22" i="79"/>
  <c r="U57" i="79"/>
  <c r="R29" i="79"/>
  <c r="V43" i="79"/>
  <c r="V81" i="79" s="1"/>
  <c r="U13" i="79"/>
  <c r="T66" i="79"/>
  <c r="T27" i="79"/>
  <c r="U30" i="79"/>
  <c r="T37" i="79"/>
  <c r="T25" i="79"/>
  <c r="U24" i="79"/>
  <c r="T70" i="79"/>
  <c r="T48" i="79"/>
  <c r="U64" i="79"/>
  <c r="R22" i="79"/>
  <c r="T57" i="79"/>
  <c r="U59" i="79"/>
  <c r="S65" i="79"/>
  <c r="R32" i="79"/>
  <c r="V54" i="79"/>
  <c r="T13" i="79"/>
  <c r="U44" i="79"/>
  <c r="V26" i="79"/>
  <c r="T41" i="79"/>
  <c r="U54" i="79"/>
  <c r="T24" i="79"/>
  <c r="V42" i="79"/>
  <c r="U10" i="79"/>
  <c r="V23" i="79"/>
  <c r="V38" i="79"/>
  <c r="T59" i="79"/>
  <c r="S60" i="79"/>
  <c r="V60" i="79"/>
  <c r="S32" i="79"/>
  <c r="U20" i="79"/>
  <c r="U53" i="79"/>
  <c r="U100" i="79" s="1"/>
  <c r="S57" i="79"/>
  <c r="V22" i="79"/>
  <c r="V59" i="79"/>
  <c r="V67" i="79"/>
  <c r="U42" i="79"/>
  <c r="U69" i="79"/>
  <c r="T38" i="79"/>
  <c r="S59" i="79"/>
  <c r="R23" i="79"/>
  <c r="U25" i="79"/>
  <c r="V28" i="79"/>
  <c r="V49" i="79"/>
  <c r="U27" i="79"/>
  <c r="U62" i="79"/>
  <c r="T30" i="79"/>
  <c r="T36" i="79"/>
  <c r="T45" i="79"/>
  <c r="T15" i="79"/>
  <c r="V13" i="79"/>
  <c r="V58" i="79"/>
  <c r="T67" i="79"/>
  <c r="V40" i="79"/>
  <c r="U65" i="79"/>
  <c r="U37" i="79"/>
  <c r="V39" i="79"/>
  <c r="U56" i="79"/>
  <c r="U58" i="79"/>
  <c r="V61" i="79"/>
  <c r="S18" i="79"/>
  <c r="R38" i="79"/>
  <c r="R41" i="79"/>
  <c r="V20" i="79"/>
  <c r="V46" i="79"/>
  <c r="T26" i="79"/>
  <c r="V41" i="79"/>
  <c r="T58" i="79"/>
  <c r="U45" i="79"/>
  <c r="U61" i="79"/>
  <c r="S20" i="79"/>
  <c r="U40" i="79"/>
  <c r="U38" i="79"/>
  <c r="V65" i="79"/>
  <c r="V47" i="79"/>
  <c r="U16" i="79"/>
  <c r="U48" i="79"/>
  <c r="T12" i="79"/>
  <c r="T49" i="79"/>
  <c r="V31" i="79"/>
  <c r="U49" i="79"/>
  <c r="V52" i="79"/>
  <c r="T61" i="79"/>
  <c r="V21" i="79"/>
  <c r="R46" i="79"/>
  <c r="T22" i="79"/>
  <c r="U46" i="79"/>
  <c r="R70" i="79"/>
  <c r="T20" i="79"/>
  <c r="V12" i="79"/>
  <c r="U21" i="79"/>
  <c r="T46" i="79"/>
  <c r="T52" i="79"/>
  <c r="U43" i="79"/>
  <c r="U81" i="79" s="1"/>
  <c r="R20" i="79"/>
  <c r="U34" i="79"/>
  <c r="T16" i="79"/>
  <c r="V25" i="79"/>
  <c r="T34" i="79"/>
  <c r="V16" i="79"/>
  <c r="T31" i="79"/>
  <c r="V35" i="79"/>
  <c r="V69" i="79"/>
  <c r="V30" i="79"/>
  <c r="V37" i="79"/>
  <c r="U36" i="79"/>
  <c r="T64" i="79"/>
  <c r="T39" i="79"/>
  <c r="V45" i="79"/>
  <c r="T18" i="79"/>
  <c r="V57" i="79"/>
  <c r="R25" i="79"/>
  <c r="S33" i="79"/>
  <c r="R48" i="79"/>
  <c r="S37" i="79"/>
  <c r="R62" i="79"/>
  <c r="R36" i="79"/>
  <c r="S61" i="79"/>
  <c r="R42" i="79"/>
  <c r="R47" i="79"/>
  <c r="R33" i="79"/>
  <c r="S68" i="79"/>
  <c r="R61" i="79"/>
  <c r="R31" i="79"/>
  <c r="S39" i="79"/>
  <c r="S45" i="79"/>
  <c r="S26" i="79"/>
  <c r="S66" i="79"/>
  <c r="R54" i="79"/>
  <c r="R39" i="79"/>
  <c r="R45" i="79"/>
  <c r="S42" i="79"/>
  <c r="R12" i="79"/>
  <c r="R26" i="79"/>
  <c r="S41" i="79"/>
  <c r="S35" i="79"/>
  <c r="S69" i="79"/>
  <c r="S64" i="79"/>
  <c r="R64" i="79"/>
  <c r="S48" i="79"/>
  <c r="R15" i="79"/>
  <c r="S52" i="79"/>
  <c r="R37" i="79"/>
  <c r="S24" i="79"/>
  <c r="S58" i="79"/>
  <c r="S67" i="79"/>
  <c r="R24" i="79"/>
  <c r="R58" i="79"/>
  <c r="R67" i="79"/>
  <c r="S21" i="79"/>
  <c r="R17" i="79"/>
  <c r="R50" i="79"/>
  <c r="S30" i="79"/>
  <c r="R13" i="79"/>
  <c r="S16" i="79"/>
  <c r="S28" i="79"/>
  <c r="S27" i="79"/>
  <c r="R30" i="79"/>
  <c r="R68" i="79"/>
  <c r="S13" i="79"/>
  <c r="R28" i="79"/>
  <c r="R21" i="79"/>
  <c r="S25" i="79"/>
  <c r="S36" i="79"/>
  <c r="S76" i="79" l="1"/>
  <c r="S111" i="79" s="1"/>
  <c r="V74" i="79"/>
  <c r="S75" i="79"/>
  <c r="S110" i="79" s="1"/>
  <c r="T74" i="79"/>
  <c r="S96" i="79"/>
  <c r="S130" i="79" s="1"/>
  <c r="S132" i="79" s="1"/>
  <c r="R74" i="79"/>
  <c r="R109" i="79" s="1"/>
  <c r="V96" i="79"/>
  <c r="V130" i="79" s="1"/>
  <c r="V132" i="79" s="1"/>
  <c r="V75" i="79"/>
  <c r="V110" i="79" s="1"/>
  <c r="V76" i="79"/>
  <c r="V111" i="79" s="1"/>
  <c r="T96" i="79"/>
  <c r="T130" i="79" s="1"/>
  <c r="T132" i="79" s="1"/>
  <c r="T76" i="79"/>
  <c r="S99" i="79"/>
  <c r="S78" i="79"/>
  <c r="S113" i="79" s="1"/>
  <c r="T75" i="79"/>
  <c r="R78" i="79"/>
  <c r="R99" i="79"/>
  <c r="R76" i="79"/>
  <c r="U76" i="79"/>
  <c r="U74" i="79"/>
  <c r="U96" i="79"/>
  <c r="U99" i="79"/>
  <c r="U78" i="79"/>
  <c r="U113" i="79" s="1"/>
  <c r="S121" i="79"/>
  <c r="W86" i="79"/>
  <c r="U116" i="79"/>
  <c r="U87" i="79"/>
  <c r="V116" i="79"/>
  <c r="V87" i="79"/>
  <c r="U75" i="79"/>
  <c r="V78" i="79"/>
  <c r="V113" i="79" s="1"/>
  <c r="V99" i="79"/>
  <c r="S74" i="79"/>
  <c r="T78" i="79"/>
  <c r="T113" i="79" s="1"/>
  <c r="T99" i="79"/>
  <c r="S116" i="79"/>
  <c r="S87" i="79"/>
  <c r="U134" i="79"/>
  <c r="W134" i="79" s="1"/>
  <c r="W100" i="79"/>
  <c r="R122" i="79"/>
  <c r="R75" i="79"/>
  <c r="T121" i="79"/>
  <c r="R96" i="79"/>
  <c r="W81" i="79"/>
  <c r="V109" i="79" l="1"/>
  <c r="V115" i="79" s="1"/>
  <c r="T109" i="79"/>
  <c r="T122" i="79"/>
  <c r="V98" i="79"/>
  <c r="S98" i="79"/>
  <c r="T98" i="79"/>
  <c r="W121" i="79"/>
  <c r="S133" i="79"/>
  <c r="S135" i="79" s="1"/>
  <c r="S137" i="79" s="1"/>
  <c r="S138" i="79" s="1"/>
  <c r="S101" i="79"/>
  <c r="S80" i="79"/>
  <c r="S89" i="79" s="1"/>
  <c r="S90" i="79" s="1"/>
  <c r="S109" i="79"/>
  <c r="U80" i="79"/>
  <c r="U89" i="79" s="1"/>
  <c r="U90" i="79" s="1"/>
  <c r="U109" i="79"/>
  <c r="U111" i="79"/>
  <c r="W76" i="79"/>
  <c r="R111" i="79"/>
  <c r="S122" i="79"/>
  <c r="T111" i="79"/>
  <c r="U110" i="79"/>
  <c r="R133" i="79"/>
  <c r="R101" i="79"/>
  <c r="W99" i="79"/>
  <c r="W101" i="79" s="1"/>
  <c r="R110" i="79"/>
  <c r="W75" i="79"/>
  <c r="T80" i="79"/>
  <c r="T89" i="79" s="1"/>
  <c r="T90" i="79" s="1"/>
  <c r="U122" i="79"/>
  <c r="U133" i="79"/>
  <c r="U135" i="79" s="1"/>
  <c r="U101" i="79"/>
  <c r="U130" i="79"/>
  <c r="U132" i="79" s="1"/>
  <c r="U98" i="79"/>
  <c r="V133" i="79"/>
  <c r="V135" i="79" s="1"/>
  <c r="V137" i="79" s="1"/>
  <c r="V138" i="79" s="1"/>
  <c r="V101" i="79"/>
  <c r="R113" i="79"/>
  <c r="W113" i="79" s="1"/>
  <c r="W78" i="79"/>
  <c r="R80" i="79"/>
  <c r="R89" i="79" s="1"/>
  <c r="V80" i="79"/>
  <c r="V89" i="79" s="1"/>
  <c r="V90" i="79" s="1"/>
  <c r="W87" i="79"/>
  <c r="W74" i="79"/>
  <c r="T133" i="79"/>
  <c r="T135" i="79" s="1"/>
  <c r="T137" i="79" s="1"/>
  <c r="T138" i="79" s="1"/>
  <c r="T101" i="79"/>
  <c r="W116" i="79"/>
  <c r="R130" i="79"/>
  <c r="W96" i="79"/>
  <c r="W98" i="79" s="1"/>
  <c r="R98" i="79"/>
  <c r="V122" i="79"/>
  <c r="T110" i="79"/>
  <c r="D92" i="79" l="1"/>
  <c r="W109" i="79"/>
  <c r="V103" i="79"/>
  <c r="V104" i="79" s="1"/>
  <c r="W80" i="79"/>
  <c r="T103" i="79"/>
  <c r="T104" i="79" s="1"/>
  <c r="U103" i="79"/>
  <c r="U104" i="79" s="1"/>
  <c r="S103" i="79"/>
  <c r="S104" i="79" s="1"/>
  <c r="U137" i="79"/>
  <c r="U138" i="79" s="1"/>
  <c r="V124" i="79"/>
  <c r="V125" i="79" s="1"/>
  <c r="R115" i="79"/>
  <c r="R124" i="79" s="1"/>
  <c r="R103" i="79"/>
  <c r="R90" i="79"/>
  <c r="W89" i="79"/>
  <c r="W111" i="79"/>
  <c r="R132" i="79"/>
  <c r="W130" i="79"/>
  <c r="W132" i="79" s="1"/>
  <c r="R135" i="79"/>
  <c r="W133" i="79"/>
  <c r="W135" i="79" s="1"/>
  <c r="U115" i="79"/>
  <c r="U124" i="79" s="1"/>
  <c r="U125" i="79" s="1"/>
  <c r="W122" i="79"/>
  <c r="T115" i="79"/>
  <c r="T124" i="79" s="1"/>
  <c r="T125" i="79" s="1"/>
  <c r="S115" i="79"/>
  <c r="S124" i="79" s="1"/>
  <c r="S125" i="79" s="1"/>
  <c r="W110" i="79"/>
  <c r="R125" i="79" l="1"/>
  <c r="D126" i="79"/>
  <c r="W115" i="79"/>
  <c r="R137" i="79"/>
  <c r="W90" i="79"/>
  <c r="X90" i="79" s="1"/>
  <c r="R104" i="79"/>
  <c r="W103" i="79"/>
  <c r="W104" i="79" s="1"/>
  <c r="W124" i="79"/>
  <c r="X104" i="79" l="1"/>
  <c r="R138" i="79"/>
  <c r="W137" i="79"/>
  <c r="W138" i="79" s="1"/>
  <c r="W125" i="79"/>
  <c r="X125" i="79" s="1"/>
  <c r="X138" i="79" l="1"/>
  <c r="V13" i="90" l="1"/>
  <c r="R45" i="90"/>
  <c r="R36" i="90"/>
  <c r="R11" i="90"/>
  <c r="R81" i="90" s="1"/>
  <c r="T18" i="90"/>
  <c r="U39" i="90"/>
  <c r="S23" i="90"/>
  <c r="S76" i="90" s="1"/>
  <c r="S28" i="90"/>
  <c r="V31" i="90"/>
  <c r="V49" i="90"/>
  <c r="R32" i="90"/>
  <c r="R33" i="90"/>
  <c r="U46" i="90"/>
  <c r="T19" i="90"/>
  <c r="S59" i="90"/>
  <c r="S18" i="90"/>
  <c r="V48" i="90"/>
  <c r="S31" i="90"/>
  <c r="U30" i="90"/>
  <c r="S56" i="90"/>
  <c r="T28" i="90"/>
  <c r="U49" i="90"/>
  <c r="U51" i="90"/>
  <c r="S32" i="90"/>
  <c r="T59" i="90"/>
  <c r="U24" i="90"/>
  <c r="U19" i="90"/>
  <c r="R58" i="90"/>
  <c r="R43" i="90"/>
  <c r="S26" i="90"/>
  <c r="V43" i="90"/>
  <c r="U56" i="90"/>
  <c r="U40" i="90"/>
  <c r="T13" i="90"/>
  <c r="T82" i="90" s="1"/>
  <c r="T44" i="90"/>
  <c r="S19" i="90"/>
  <c r="T46" i="90"/>
  <c r="R29" i="90"/>
  <c r="U13" i="90"/>
  <c r="T56" i="90"/>
  <c r="R21" i="90"/>
  <c r="T55" i="90"/>
  <c r="T31" i="90"/>
  <c r="V59" i="90"/>
  <c r="S51" i="90"/>
  <c r="R60" i="90"/>
  <c r="V33" i="90"/>
  <c r="R41" i="90"/>
  <c r="R28" i="90"/>
  <c r="U31" i="90"/>
  <c r="R38" i="90"/>
  <c r="V27" i="90"/>
  <c r="U21" i="90"/>
  <c r="U52" i="90"/>
  <c r="S47" i="90"/>
  <c r="T48" i="90"/>
  <c r="V56" i="90"/>
  <c r="V24" i="90"/>
  <c r="S15" i="90"/>
  <c r="T16" i="90"/>
  <c r="U38" i="90"/>
  <c r="S57" i="90"/>
  <c r="S25" i="90"/>
  <c r="T53" i="90"/>
  <c r="V55" i="90"/>
  <c r="V46" i="90"/>
  <c r="R56" i="90"/>
  <c r="R44" i="90"/>
  <c r="R49" i="90"/>
  <c r="U54" i="90"/>
  <c r="R24" i="90"/>
  <c r="R39" i="90"/>
  <c r="V58" i="90"/>
  <c r="V20" i="90"/>
  <c r="U58" i="90"/>
  <c r="U32" i="90"/>
  <c r="R34" i="90"/>
  <c r="T60" i="90"/>
  <c r="S55" i="90"/>
  <c r="R12" i="90"/>
  <c r="T23" i="90"/>
  <c r="T76" i="90" s="1"/>
  <c r="V23" i="90"/>
  <c r="V76" i="90" s="1"/>
  <c r="V52" i="90"/>
  <c r="U42" i="90"/>
  <c r="T20" i="90"/>
  <c r="R16" i="90"/>
  <c r="R19" i="90"/>
  <c r="U34" i="90"/>
  <c r="S30" i="90"/>
  <c r="U41" i="90"/>
  <c r="S44" i="90"/>
  <c r="T51" i="90"/>
  <c r="V29" i="90"/>
  <c r="S60" i="90"/>
  <c r="R27" i="90"/>
  <c r="V47" i="90"/>
  <c r="T29" i="90"/>
  <c r="U20" i="90"/>
  <c r="T30" i="90"/>
  <c r="R20" i="90"/>
  <c r="V15" i="90"/>
  <c r="R30" i="90"/>
  <c r="S49" i="90"/>
  <c r="S33" i="90"/>
  <c r="S20" i="90"/>
  <c r="S52" i="90"/>
  <c r="R50" i="90"/>
  <c r="V10" i="90"/>
  <c r="U35" i="90"/>
  <c r="T11" i="90"/>
  <c r="V40" i="90"/>
  <c r="T36" i="90"/>
  <c r="R51" i="90"/>
  <c r="U36" i="90"/>
  <c r="S22" i="90"/>
  <c r="V51" i="90"/>
  <c r="U53" i="90"/>
  <c r="R18" i="90"/>
  <c r="V42" i="90"/>
  <c r="R40" i="90"/>
  <c r="V38" i="90"/>
  <c r="S12" i="90"/>
  <c r="T35" i="90"/>
  <c r="U33" i="90"/>
  <c r="R42" i="90"/>
  <c r="V35" i="90"/>
  <c r="R55" i="90"/>
  <c r="V57" i="90"/>
  <c r="R54" i="90"/>
  <c r="T50" i="90"/>
  <c r="T45" i="90"/>
  <c r="T32" i="90"/>
  <c r="V53" i="90"/>
  <c r="U16" i="90"/>
  <c r="U10" i="90"/>
  <c r="S42" i="90"/>
  <c r="V34" i="90"/>
  <c r="T33" i="90"/>
  <c r="S34" i="90"/>
  <c r="S40" i="90"/>
  <c r="R47" i="90"/>
  <c r="U59" i="90"/>
  <c r="U15" i="90"/>
  <c r="U27" i="90"/>
  <c r="V41" i="90"/>
  <c r="V25" i="90"/>
  <c r="R59" i="90"/>
  <c r="R46" i="90"/>
  <c r="U45" i="90"/>
  <c r="U25" i="90"/>
  <c r="T26" i="90"/>
  <c r="V60" i="90"/>
  <c r="V17" i="90"/>
  <c r="T37" i="90"/>
  <c r="S29" i="90"/>
  <c r="V32" i="90"/>
  <c r="R17" i="90"/>
  <c r="R53" i="90"/>
  <c r="U14" i="90"/>
  <c r="V12" i="90"/>
  <c r="T34" i="90"/>
  <c r="S10" i="90"/>
  <c r="S48" i="90"/>
  <c r="U37" i="90"/>
  <c r="R14" i="90"/>
  <c r="T43" i="90"/>
  <c r="T22" i="90"/>
  <c r="R25" i="90"/>
  <c r="S43" i="90"/>
  <c r="T15" i="90"/>
  <c r="V21" i="90"/>
  <c r="T57" i="90"/>
  <c r="S37" i="90"/>
  <c r="S14" i="90"/>
  <c r="U43" i="90"/>
  <c r="V11" i="90"/>
  <c r="V26" i="90"/>
  <c r="T58" i="90"/>
  <c r="R23" i="90"/>
  <c r="R76" i="90" s="1"/>
  <c r="V50" i="90"/>
  <c r="U18" i="90"/>
  <c r="S45" i="90"/>
  <c r="S54" i="90"/>
  <c r="V16" i="90"/>
  <c r="V54" i="90"/>
  <c r="R26" i="90"/>
  <c r="S27" i="90"/>
  <c r="R13" i="90"/>
  <c r="T52" i="90"/>
  <c r="U26" i="90"/>
  <c r="V39" i="90"/>
  <c r="S13" i="90"/>
  <c r="U11" i="90"/>
  <c r="R35" i="90"/>
  <c r="U55" i="90"/>
  <c r="T24" i="90"/>
  <c r="S46" i="90"/>
  <c r="T41" i="90"/>
  <c r="R52" i="90"/>
  <c r="R31" i="90"/>
  <c r="U23" i="90"/>
  <c r="U76" i="90" s="1"/>
  <c r="S41" i="90"/>
  <c r="T14" i="90"/>
  <c r="V44" i="90"/>
  <c r="U48" i="90"/>
  <c r="U50" i="90"/>
  <c r="U60" i="90"/>
  <c r="R22" i="90"/>
  <c r="U44" i="90"/>
  <c r="S16" i="90"/>
  <c r="V36" i="90"/>
  <c r="T39" i="90"/>
  <c r="T27" i="90"/>
  <c r="S17" i="90"/>
  <c r="V19" i="90"/>
  <c r="T12" i="90"/>
  <c r="V37" i="90"/>
  <c r="V18" i="90"/>
  <c r="V28" i="90"/>
  <c r="T25" i="90"/>
  <c r="U47" i="90"/>
  <c r="T49" i="90"/>
  <c r="S21" i="90"/>
  <c r="R48" i="90"/>
  <c r="R37" i="90"/>
  <c r="S50" i="90"/>
  <c r="T38" i="90"/>
  <c r="T40" i="90"/>
  <c r="S39" i="90"/>
  <c r="S38" i="90"/>
  <c r="U57" i="90"/>
  <c r="S11" i="90"/>
  <c r="V30" i="90"/>
  <c r="S36" i="90"/>
  <c r="U22" i="90"/>
  <c r="S53" i="90"/>
  <c r="V22" i="90"/>
  <c r="S35" i="90"/>
  <c r="R57" i="90"/>
  <c r="V14" i="90"/>
  <c r="S58" i="90"/>
  <c r="U28" i="90"/>
  <c r="U29" i="90"/>
  <c r="V45" i="90"/>
  <c r="S24" i="90"/>
  <c r="U12" i="90"/>
  <c r="T21" i="90"/>
  <c r="T17" i="90"/>
  <c r="T47" i="90"/>
  <c r="T54" i="90"/>
  <c r="T42" i="90"/>
  <c r="T10" i="90"/>
  <c r="U17" i="90"/>
  <c r="T117" i="90" l="1"/>
  <c r="T87" i="90"/>
  <c r="R82" i="90"/>
  <c r="R87" i="90" s="1"/>
  <c r="R97" i="90"/>
  <c r="R131" i="90" s="1"/>
  <c r="V97" i="90"/>
  <c r="V131" i="90" s="1"/>
  <c r="S97" i="90"/>
  <c r="S131" i="90" s="1"/>
  <c r="U82" i="90"/>
  <c r="T97" i="90"/>
  <c r="T131" i="90" s="1"/>
  <c r="U97" i="90"/>
  <c r="U131" i="90" s="1"/>
  <c r="V82" i="90"/>
  <c r="S82" i="90"/>
  <c r="V111" i="90"/>
  <c r="S96" i="90"/>
  <c r="S74" i="90"/>
  <c r="T75" i="90"/>
  <c r="R15" i="90"/>
  <c r="R75" i="90" s="1"/>
  <c r="U75" i="90"/>
  <c r="U96" i="90"/>
  <c r="U74" i="90"/>
  <c r="S111" i="90"/>
  <c r="U111" i="90"/>
  <c r="T111" i="90"/>
  <c r="V75" i="90"/>
  <c r="V96" i="90"/>
  <c r="V74" i="90"/>
  <c r="W76" i="90"/>
  <c r="R111" i="90"/>
  <c r="S75" i="90"/>
  <c r="T74" i="90"/>
  <c r="T96" i="90"/>
  <c r="R116" i="90"/>
  <c r="W81" i="90"/>
  <c r="R10" i="90"/>
  <c r="U117" i="90" l="1"/>
  <c r="U87" i="90"/>
  <c r="W97" i="90"/>
  <c r="R117" i="90"/>
  <c r="W82" i="90"/>
  <c r="W87" i="90" s="1"/>
  <c r="T122" i="90"/>
  <c r="S87" i="90"/>
  <c r="S117" i="90"/>
  <c r="V117" i="90"/>
  <c r="V87" i="90"/>
  <c r="U110" i="90"/>
  <c r="R110" i="90"/>
  <c r="W75" i="90"/>
  <c r="V109" i="90"/>
  <c r="V80" i="90"/>
  <c r="T110" i="90"/>
  <c r="W116" i="90"/>
  <c r="R122" i="90"/>
  <c r="T80" i="90"/>
  <c r="T89" i="90" s="1"/>
  <c r="T90" i="90" s="1"/>
  <c r="T109" i="90"/>
  <c r="S80" i="90"/>
  <c r="S89" i="90" s="1"/>
  <c r="S90" i="90" s="1"/>
  <c r="S109" i="90"/>
  <c r="T130" i="90"/>
  <c r="T98" i="90"/>
  <c r="T103" i="90" s="1"/>
  <c r="T104" i="90" s="1"/>
  <c r="S110" i="90"/>
  <c r="V130" i="90"/>
  <c r="V98" i="90"/>
  <c r="V103" i="90" s="1"/>
  <c r="V104" i="90" s="1"/>
  <c r="V110" i="90"/>
  <c r="U130" i="90"/>
  <c r="U98" i="90"/>
  <c r="U103" i="90" s="1"/>
  <c r="U104" i="90" s="1"/>
  <c r="W111" i="90"/>
  <c r="R96" i="90"/>
  <c r="R74" i="90"/>
  <c r="U80" i="90"/>
  <c r="U109" i="90"/>
  <c r="S130" i="90"/>
  <c r="S98" i="90"/>
  <c r="S103" i="90" s="1"/>
  <c r="S104" i="90" s="1"/>
  <c r="W131" i="90"/>
  <c r="U89" i="90" l="1"/>
  <c r="U90" i="90" s="1"/>
  <c r="W117" i="90"/>
  <c r="W122" i="90" s="1"/>
  <c r="V122" i="90"/>
  <c r="U122" i="90"/>
  <c r="S122" i="90"/>
  <c r="V89" i="90"/>
  <c r="V90" i="90" s="1"/>
  <c r="V132" i="90"/>
  <c r="V137" i="90" s="1"/>
  <c r="V138" i="90" s="1"/>
  <c r="T115" i="90"/>
  <c r="T124" i="90" s="1"/>
  <c r="T125" i="90" s="1"/>
  <c r="U132" i="90"/>
  <c r="U137" i="90" s="1"/>
  <c r="U138" i="90" s="1"/>
  <c r="W96" i="90"/>
  <c r="W98" i="90" s="1"/>
  <c r="R130" i="90"/>
  <c r="R98" i="90"/>
  <c r="R103" i="90" s="1"/>
  <c r="W74" i="90"/>
  <c r="W80" i="90" s="1"/>
  <c r="R80" i="90"/>
  <c r="R89" i="90" s="1"/>
  <c r="R109" i="90"/>
  <c r="V115" i="90"/>
  <c r="W110" i="90"/>
  <c r="T132" i="90"/>
  <c r="T137" i="90" s="1"/>
  <c r="T138" i="90" s="1"/>
  <c r="S115" i="90"/>
  <c r="S132" i="90"/>
  <c r="S137" i="90" s="1"/>
  <c r="S138" i="90" s="1"/>
  <c r="U115" i="90"/>
  <c r="V124" i="90" l="1"/>
  <c r="V125" i="90" s="1"/>
  <c r="D92" i="90"/>
  <c r="U124" i="90"/>
  <c r="U125" i="90" s="1"/>
  <c r="S124" i="90"/>
  <c r="S125" i="90" s="1"/>
  <c r="R115" i="90"/>
  <c r="R124" i="90" s="1"/>
  <c r="W109" i="90"/>
  <c r="R90" i="90"/>
  <c r="W89" i="90"/>
  <c r="R104" i="90"/>
  <c r="W103" i="90"/>
  <c r="W104" i="90" s="1"/>
  <c r="W130" i="90"/>
  <c r="W132" i="90" s="1"/>
  <c r="R132" i="90"/>
  <c r="R137" i="90" s="1"/>
  <c r="D126" i="90" l="1"/>
  <c r="X104" i="90"/>
  <c r="W115" i="90"/>
  <c r="W137" i="90"/>
  <c r="W138" i="90" s="1"/>
  <c r="R138" i="90"/>
  <c r="W124" i="90"/>
  <c r="R125" i="90"/>
  <c r="W90" i="90"/>
  <c r="X90" i="90" s="1"/>
  <c r="W125" i="90" l="1"/>
  <c r="X125" i="90" s="1"/>
  <c r="X138" i="9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<sst xmlns="http://schemas.openxmlformats.org/spreadsheetml/2006/main" count="1068" uniqueCount="101">
  <si>
    <t>Total</t>
  </si>
  <si>
    <t>Recurrent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</si>
  <si>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</si>
  <si>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</si>
  <si>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</si>
  <si>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</si>
  <si>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</si>
  <si>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</si>
  <si>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</si>
  <si>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</si>
  <si>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</si>
  <si>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</si>
  <si>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</si>
  <si>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</si>
  <si>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</si>
  <si>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</si>
  <si>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</si>
  <si>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3</t>
  </si>
  <si>
    <t>Assumptions</t>
  </si>
  <si>
    <t>Parameters</t>
  </si>
  <si>
    <t>Area Applied</t>
  </si>
  <si>
    <t>Business case:</t>
  </si>
  <si>
    <t>Business:</t>
  </si>
  <si>
    <t>Real Discount rate:</t>
  </si>
  <si>
    <t>Cost inputs from SME:</t>
  </si>
  <si>
    <t>dollars</t>
  </si>
  <si>
    <t>Labour unit rate:</t>
  </si>
  <si>
    <t>IT labour (blended)</t>
  </si>
  <si>
    <t>IT specialist labour (blended)</t>
  </si>
  <si>
    <t>Allocations (%) where applicable</t>
  </si>
  <si>
    <t>United Energy</t>
  </si>
  <si>
    <t>Options</t>
  </si>
  <si>
    <t>Costs for business case</t>
  </si>
  <si>
    <t>To convert from SME input:</t>
  </si>
  <si>
    <t>Multiply by:</t>
  </si>
  <si>
    <t>IT labour (blended) ($/hr)</t>
  </si>
  <si>
    <t>$122.20</t>
  </si>
  <si>
    <t>$</t>
  </si>
  <si>
    <t>IT specialist labour (blended) ($/hr)</t>
  </si>
  <si>
    <t>For List:</t>
  </si>
  <si>
    <t>IT labour</t>
  </si>
  <si>
    <t>IT specialist</t>
  </si>
  <si>
    <t>Description</t>
  </si>
  <si>
    <t>Capex /</t>
  </si>
  <si>
    <t>L / M / C</t>
  </si>
  <si>
    <t>Labour type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</si>
  <si>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</si>
  <si>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</si>
  <si>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</si>
  <si>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</si>
  <si>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</si>
  <si>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</si>
  <si>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</si>
  <si>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Capex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</si>
  <si>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</si>
  <si>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</si>
  <si>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</si>
  <si>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</si>
  <si>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</si>
  <si>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</si>
  <si>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Lagged conversion to Jun 26</t>
  </si>
  <si>
    <t>Regulatory proposal 2026-31</t>
  </si>
  <si>
    <t>Model number:</t>
  </si>
  <si>
    <t xml:space="preserve">Escalation: </t>
  </si>
  <si>
    <t>Option 4</t>
  </si>
  <si>
    <t>Base case (maintain existing infrastructure with structured lifecycle management)</t>
  </si>
  <si>
    <t>Maintain existing infrastructure with more frequent upgrades</t>
  </si>
  <si>
    <t>Criteria based IT infrastructure refresh</t>
  </si>
  <si>
    <t>Public cloud infrastructure refresh</t>
  </si>
  <si>
    <t>June 2023</t>
  </si>
  <si>
    <t>June 2024</t>
  </si>
  <si>
    <t>June 2025</t>
  </si>
  <si>
    <t>June 2026</t>
  </si>
  <si>
    <t>$ June 2018 (2021-26 reset)</t>
  </si>
  <si>
    <t>Infrastructure refresh</t>
  </si>
  <si>
    <t>Database Lifecycle Replacement</t>
  </si>
  <si>
    <t>Network Lifecycle Replacement</t>
  </si>
  <si>
    <t xml:space="preserve">Server Lifecycle Replacement </t>
  </si>
  <si>
    <t>Storage Lifecycle Replacement</t>
  </si>
  <si>
    <t>Database Lifecycle Maintenance</t>
  </si>
  <si>
    <t>Networking Maintenance</t>
  </si>
  <si>
    <t>Server Maintenance</t>
  </si>
  <si>
    <t>Storage Maintenance</t>
  </si>
  <si>
    <t>Base year forecast</t>
  </si>
  <si>
    <t>Infrastructure networking &amp; capacity upgrade</t>
  </si>
  <si>
    <t>Infrastructure networking &amp; capacity maintenance</t>
  </si>
  <si>
    <t>Infrastructure networking &amp; capacity</t>
  </si>
  <si>
    <t>IT application migrations</t>
  </si>
  <si>
    <t>IT cloud maintenance</t>
  </si>
  <si>
    <t>IT cloud consumption</t>
  </si>
  <si>
    <t>OT application migrations</t>
  </si>
  <si>
    <t>OT cloud maintenance</t>
  </si>
  <si>
    <t>OT application migrations - UE OT HCI Implementation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</si>
  <si>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</si>
  <si>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</si>
  <si>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</si>
  <si>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</si>
  <si>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</si>
  <si>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</si>
  <si>
    <t>Opex (incl real price escalation) **</t>
  </si>
  <si>
    <t>Opex (incl real price escalation)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</si>
</sst>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69" formatCode="0.000000"/>
    <numFmt numFmtId="170" formatCode="_-* #,##0_-;\-* #,##0_-;_-* &quot;-&quot;??_-;_-@_-"/>
    <numFmt numFmtId="171" formatCode="&quot;$&quot;#,##0.00;[Red]\-&quot;$&quot;#,##0.00;\ "/>
    <numFmt numFmtId="172" formatCode="[Red]\●;[Red]\●;[Color10]\●"/>
    <numFmt numFmtId="173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47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2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6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2" fillId="0" borderId="0" xfId="13" applyFont="1" applyAlignment="1">
      <alignment horizontal="left"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6" fontId="12" fillId="0" borderId="2" xfId="0" applyNumberFormat="1" applyFont="1" applyBorder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0" fontId="12" fillId="0" borderId="0" xfId="27" applyNumberFormat="1" applyFont="1"/>
    <xf numFmtId="0" fontId="13" fillId="0" borderId="3" xfId="0" applyFont="1" applyBorder="1" applyAlignment="1">
      <alignment horizontal="left"/>
    </xf>
    <xf numFmtId="0" fontId="13" fillId="8" borderId="0" xfId="0" applyFont="1" applyFill="1"/>
    <xf numFmtId="6" fontId="13" fillId="8" borderId="0" xfId="0" applyNumberFormat="1" applyFont="1" applyFill="1"/>
    <xf numFmtId="0" fontId="24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1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38" fillId="0" borderId="0" xfId="0" applyFont="1" applyAlignment="1">
      <alignment horizontal="left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69" fontId="12" fillId="0" borderId="1" xfId="0" applyNumberFormat="1" applyFont="1" applyBorder="1"/>
    <xf numFmtId="0" fontId="13" fillId="0" borderId="1" xfId="0" applyFont="1" applyBorder="1"/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2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0" fontId="41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0" fillId="0" borderId="0" xfId="0" applyAlignment="1">
      <alignment horizontal="right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6" fillId="0" borderId="2" xfId="0" applyFont="1" applyBorder="1" applyAlignment="1">
      <alignment horizontal="right"/>
    </xf>
    <xf numFmtId="169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73" fontId="49" fillId="0" borderId="0" xfId="33" applyNumberFormat="1" applyFont="1" applyAlignment="1">
      <alignment horizontal="left"/>
    </xf>
    <xf numFmtId="0" fontId="50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7" fontId="29" fillId="2" borderId="1" xfId="26" applyNumberFormat="1" applyFont="1" applyFill="1" applyBorder="1" applyAlignment="1">
      <alignment horizontal="right"/>
    </xf>
    <xf numFmtId="10" fontId="29" fillId="2" borderId="13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49" fontId="22" fillId="0" borderId="0" xfId="0" applyNumberFormat="1" applyFont="1" applyAlignment="1">
      <alignment horizontal="right"/>
    </xf>
    <xf numFmtId="49" fontId="29" fillId="2" borderId="1" xfId="26" applyNumberFormat="1" applyFont="1" applyFill="1" applyBorder="1" applyAlignment="1">
      <alignment horizontal="right"/>
    </xf>
    <xf numFmtId="0" fontId="51" fillId="0" borderId="5" xfId="0" applyFont="1" applyBorder="1"/>
    <xf numFmtId="6" fontId="51" fillId="0" borderId="5" xfId="0" applyNumberFormat="1" applyFont="1" applyBorder="1"/>
  </cellXfs>
  <cellStyles count="47">
    <cellStyle name="Check RedRedGreen" xfId="29" xr:uid="{81F56CD6-3B68-4074-B257-FFF69A21ECCD}"/>
    <cellStyle name="Comma" xfId="27" builtinId="3"/>
    <cellStyle name="Comma 2" xfId="11" xr:uid="{00000000-0005-0000-0000-000001000000}"/>
    <cellStyle name="Comma 2 2" xfId="38" xr:uid="{F05301ED-914D-4B2B-AB4E-38B5EE98C815}"/>
    <cellStyle name="Comma 3" xfId="24" xr:uid="{00000000-0005-0000-0000-000002000000}"/>
    <cellStyle name="Comma 3 2" xfId="43" xr:uid="{E3722D7F-F82A-4653-A69D-872C075F481B}"/>
    <cellStyle name="Comma 4" xfId="31" xr:uid="{6D11CEBA-4733-4C43-948A-484B1D4FEF60}"/>
    <cellStyle name="Comma 4 2" xfId="45" xr:uid="{A24E9B49-4929-45D1-B2DB-34E7424B5E6D}"/>
    <cellStyle name="Comma 5" xfId="44" xr:uid="{24FD65F0-45ED-4F80-9BBF-A6F6C504AADF}"/>
    <cellStyle name="Currency" xfId="32" builtinId="4"/>
    <cellStyle name="Currency 2" xfId="5" xr:uid="{00000000-0005-0000-0000-000003000000}"/>
    <cellStyle name="Currency 2 2" xfId="35" xr:uid="{29752C2D-96B5-4228-A4C5-313469B5A89B}"/>
    <cellStyle name="Currency 3" xfId="10" xr:uid="{00000000-0005-0000-0000-000004000000}"/>
    <cellStyle name="Currency 3 2" xfId="37" xr:uid="{CFC4A042-6784-4CB8-8C8B-4886F298FEBE}"/>
    <cellStyle name="Currency 4" xfId="8" xr:uid="{00000000-0005-0000-0000-000005000000}"/>
    <cellStyle name="Currency 4 2" xfId="36" xr:uid="{4E37206F-DD45-423E-8016-DEEBAAFFDE3F}"/>
    <cellStyle name="Currency 5" xfId="19" xr:uid="{00000000-0005-0000-0000-000006000000}"/>
    <cellStyle name="Currency 5 2" xfId="41" xr:uid="{0141F7DB-1757-478F-B5D5-D4C63FA4C745}"/>
    <cellStyle name="Currency 6" xfId="21" xr:uid="{00000000-0005-0000-0000-000007000000}"/>
    <cellStyle name="Currency 6 2" xfId="42" xr:uid="{401D68BB-C14F-45C7-A8D2-432E0346EE13}"/>
    <cellStyle name="Currency 7" xfId="46" xr:uid="{CEA6A67E-4BE2-417C-9B19-2E247BBD3DA1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7E10DDC9-61C8-4246-9D71-FE9BEEA4DC72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F3673D82-DD45-4714-AA6F-453C54858B6B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6 2" xfId="39" xr:uid="{06AD9B86-730D-4D6C-84BF-A9A29A745E66}"/>
    <cellStyle name="Normal 7" xfId="16" xr:uid="{00000000-0005-0000-0000-000014000000}"/>
    <cellStyle name="Normal 7 2" xfId="40" xr:uid="{6DC034F1-18F2-459A-8BC2-C605B1C8388F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58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rgb="FFFFFFCC"/>
        </patternFill>
      </fill>
    </dxf>
    <dxf>
      <fill>
        <patternFill patternType="gray125">
          <fgColor theme="0" tint="-0.1498764000366222"/>
          <bgColor theme="0"/>
        </patternFill>
      </fill>
    </dxf>
    <dxf>
      <fill>
        <patternFill patternType="gray125">
          <fgColor theme="0" tint="-0.1498458815271462"/>
          <bgColor theme="0"/>
        </patternFill>
      </fill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  <color rgb="FF0000FF"/>
      <color rgb="FF487B79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48282AB8-5C7F-498A-AAB1-4F7F7800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0B7C4-8F1F-4C20-9B33-5947BA9C2D17}">
  <dimension ref="A1:K43"/>
  <sheetViews>
    <sheetView showGridLines="0" workbookViewId="0">
      <selection activeCell="F24" sqref="F24"/>
    </sheetView>
  </sheetViews>
  <sheetFormatPr defaultColWidth="0" defaultRowHeight="12.95" customHeight="1" zeroHeight="1" x14ac:dyDescent="0.2"/>
  <cols>
    <col min="1" max="1" width="12.85546875" style="117" customWidth="1"/>
    <col min="2" max="2" width="2.5703125" style="117" customWidth="1"/>
    <col min="3" max="3" width="16.85546875" style="117" customWidth="1"/>
    <col min="4" max="11" width="10.5703125" style="117" customWidth="1"/>
    <col min="12" max="16384" width="10.5703125" style="117" hidden="1"/>
  </cols>
  <sheetData>
    <row r="1" spans="1:11" ht="15" x14ac:dyDescent="0.25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1" ht="23.25" x14ac:dyDescent="0.35">
      <c r="A2" s="115"/>
      <c r="B2" s="116"/>
      <c r="C2" s="118" t="s">
        <v>30</v>
      </c>
      <c r="D2" s="119"/>
      <c r="E2" s="119"/>
      <c r="F2" s="116"/>
      <c r="G2" s="116"/>
      <c r="H2" s="116"/>
      <c r="I2" s="116"/>
      <c r="J2" s="116"/>
      <c r="K2" s="116"/>
    </row>
    <row r="3" spans="1:11" ht="15.75" x14ac:dyDescent="0.25">
      <c r="A3" s="115"/>
      <c r="B3" s="116"/>
      <c r="C3" s="120" t="s">
        <v>61</v>
      </c>
      <c r="D3" s="119"/>
      <c r="E3" s="119"/>
      <c r="F3" s="116"/>
      <c r="G3" s="116"/>
      <c r="H3" s="116"/>
      <c r="I3" s="116"/>
      <c r="J3" s="116"/>
      <c r="K3" s="116"/>
    </row>
    <row r="4" spans="1:11" ht="15" x14ac:dyDescent="0.25">
      <c r="A4" s="115"/>
      <c r="B4" s="116"/>
      <c r="C4" s="116"/>
      <c r="D4" s="119"/>
      <c r="E4" s="119"/>
      <c r="F4" s="116"/>
      <c r="G4" s="116"/>
      <c r="H4" s="116"/>
      <c r="I4" s="116"/>
      <c r="J4" s="116"/>
      <c r="K4" s="116"/>
    </row>
    <row r="5" spans="1:11" ht="15" x14ac:dyDescent="0.25">
      <c r="A5" s="115"/>
      <c r="B5" s="116"/>
      <c r="C5" s="121" t="str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Infrastructure refresh cost</v>
      </c>
      <c r="D5" s="116"/>
      <c r="E5" s="116"/>
      <c r="F5" s="116"/>
      <c r="G5" s="116"/>
      <c r="H5" s="116"/>
      <c r="I5" s="116"/>
      <c r="J5" s="116"/>
      <c r="K5" s="116"/>
    </row>
    <row r="6" spans="1:11" ht="15" x14ac:dyDescent="0.25">
      <c r="A6" s="115"/>
      <c r="B6" s="116"/>
      <c r="C6" s="122" t="s">
        <v>62</v>
      </c>
      <c r="D6" s="123" t="str" cm="1">
        <f t="array" aca="1" ref="D6" ca="1">LEFT(_xlfn.TEXTAFTER(CELL("filename")," MOD "),FIND(" - ",_xlfn.TEXTAFTER(CELL("filename")," MOD "),1)-1)</f>
        <v>7.07</v>
      </c>
      <c r="E6" s="122"/>
      <c r="F6" s="116"/>
      <c r="G6" s="116"/>
      <c r="H6" s="116"/>
      <c r="I6" s="116"/>
      <c r="J6" s="116"/>
      <c r="K6" s="116"/>
    </row>
    <row r="7" spans="1:11" ht="15" x14ac:dyDescent="0.25">
      <c r="A7" s="115"/>
      <c r="B7" s="116"/>
      <c r="C7" s="116"/>
      <c r="D7" s="116"/>
      <c r="E7" s="116"/>
      <c r="F7" s="124"/>
      <c r="G7" s="124"/>
      <c r="H7" s="124"/>
      <c r="I7" s="116"/>
      <c r="J7" s="124"/>
      <c r="K7" s="124"/>
    </row>
    <row r="8" spans="1:11" ht="15" x14ac:dyDescent="0.25">
      <c r="A8" s="115"/>
      <c r="B8" s="116"/>
      <c r="C8" s="125">
        <v>45688</v>
      </c>
      <c r="D8" s="116"/>
      <c r="E8" s="116"/>
      <c r="F8" s="124"/>
      <c r="G8" s="124"/>
      <c r="H8" s="124"/>
      <c r="I8" s="116"/>
      <c r="J8" s="124"/>
      <c r="K8" s="124"/>
    </row>
    <row r="9" spans="1:11" ht="15" x14ac:dyDescent="0.25">
      <c r="A9" s="115"/>
      <c r="B9" s="116"/>
      <c r="C9" s="126"/>
      <c r="D9" s="126"/>
      <c r="E9" s="116"/>
      <c r="F9" s="124"/>
      <c r="G9" s="124"/>
      <c r="H9" s="124"/>
      <c r="I9" s="124"/>
      <c r="J9" s="124"/>
      <c r="K9" s="124"/>
    </row>
    <row r="10" spans="1:11" ht="15" x14ac:dyDescent="0.25">
      <c r="A10" s="115"/>
      <c r="B10" s="116"/>
      <c r="C10" s="126"/>
      <c r="D10" s="126"/>
      <c r="E10" s="116"/>
      <c r="F10" s="124"/>
      <c r="G10" s="124"/>
      <c r="H10" s="124"/>
      <c r="I10" s="124"/>
      <c r="J10" s="124"/>
      <c r="K10" s="124"/>
    </row>
    <row r="11" spans="1:11" ht="15" x14ac:dyDescent="0.25">
      <c r="A11" s="115"/>
      <c r="B11" s="116"/>
      <c r="C11" s="126"/>
      <c r="D11" s="126"/>
      <c r="E11" s="116"/>
      <c r="F11" s="124"/>
      <c r="G11" s="124"/>
      <c r="H11" s="124"/>
      <c r="I11" s="124"/>
      <c r="J11" s="124"/>
      <c r="K11" s="124"/>
    </row>
    <row r="12" spans="1:11" ht="15" x14ac:dyDescent="0.25">
      <c r="A12" s="115"/>
      <c r="B12" s="116"/>
      <c r="C12" s="126"/>
      <c r="D12" s="126"/>
      <c r="E12" s="116"/>
      <c r="F12" s="124"/>
      <c r="G12" s="124"/>
      <c r="H12" s="124"/>
      <c r="I12" s="124"/>
      <c r="J12" s="124"/>
      <c r="K12" s="124"/>
    </row>
    <row r="13" spans="1:11" ht="15" x14ac:dyDescent="0.25">
      <c r="A13" s="115"/>
      <c r="B13" s="116"/>
      <c r="C13" s="126"/>
      <c r="D13" s="126"/>
      <c r="E13" s="116"/>
      <c r="F13" s="124"/>
      <c r="G13" s="124"/>
      <c r="H13" s="124"/>
      <c r="I13" s="124"/>
      <c r="J13" s="124"/>
      <c r="K13" s="124"/>
    </row>
    <row r="14" spans="1:11" ht="15" x14ac:dyDescent="0.25">
      <c r="A14" s="115"/>
      <c r="B14" s="116"/>
      <c r="C14" s="124"/>
      <c r="D14" s="124"/>
      <c r="E14" s="124"/>
      <c r="F14" s="124"/>
      <c r="G14" s="124"/>
      <c r="H14" s="124"/>
      <c r="I14" s="124"/>
      <c r="J14" s="124"/>
      <c r="K14" s="124"/>
    </row>
    <row r="15" spans="1:11" ht="15" x14ac:dyDescent="0.25">
      <c r="A15" s="115"/>
      <c r="B15" s="116"/>
      <c r="C15" s="121"/>
      <c r="D15" s="124"/>
      <c r="E15" s="124"/>
      <c r="F15" s="124"/>
      <c r="G15" s="124"/>
      <c r="H15" s="124"/>
      <c r="I15" s="124"/>
      <c r="J15" s="124"/>
      <c r="K15" s="124"/>
    </row>
    <row r="16" spans="1:11" ht="15" x14ac:dyDescent="0.25">
      <c r="A16" s="115"/>
      <c r="B16" s="116"/>
      <c r="C16" s="121"/>
      <c r="D16" s="124"/>
      <c r="E16" s="124"/>
      <c r="F16" s="124"/>
      <c r="G16" s="124"/>
      <c r="H16" s="124"/>
      <c r="I16" s="124"/>
      <c r="J16" s="124"/>
      <c r="K16" s="124"/>
    </row>
    <row r="17" spans="1:11" ht="15" x14ac:dyDescent="0.25">
      <c r="A17" s="115"/>
      <c r="B17" s="116"/>
      <c r="C17" s="124"/>
      <c r="D17" s="124"/>
      <c r="E17" s="124"/>
      <c r="F17" s="124"/>
      <c r="G17" s="124"/>
      <c r="H17" s="124"/>
      <c r="I17" s="124"/>
      <c r="J17" s="124"/>
      <c r="K17" s="124"/>
    </row>
    <row r="18" spans="1:11" ht="15" x14ac:dyDescent="0.25">
      <c r="A18" s="115"/>
      <c r="B18" s="116"/>
      <c r="C18" s="124"/>
      <c r="D18" s="124"/>
      <c r="E18" s="124"/>
      <c r="F18" s="124"/>
      <c r="G18" s="124"/>
      <c r="H18" s="124"/>
      <c r="I18" s="124"/>
      <c r="J18" s="124"/>
      <c r="K18" s="124"/>
    </row>
    <row r="19" spans="1:11" ht="15" x14ac:dyDescent="0.25">
      <c r="A19" s="115"/>
      <c r="B19" s="116"/>
      <c r="C19" s="124"/>
      <c r="D19" s="124"/>
      <c r="E19" s="124"/>
      <c r="F19" s="124"/>
      <c r="H19" s="124"/>
      <c r="I19" s="124"/>
      <c r="J19" s="124"/>
      <c r="K19" s="124"/>
    </row>
    <row r="20" spans="1:11" ht="15" x14ac:dyDescent="0.25">
      <c r="A20" s="115"/>
      <c r="B20" s="116"/>
      <c r="C20" s="124"/>
      <c r="D20" s="124"/>
      <c r="E20" s="124"/>
      <c r="F20" s="124"/>
      <c r="G20" s="124"/>
      <c r="H20" s="124"/>
      <c r="I20" s="124"/>
      <c r="J20" s="124"/>
      <c r="K20" s="124"/>
    </row>
    <row r="21" spans="1:11" ht="15" x14ac:dyDescent="0.25">
      <c r="A21" s="115"/>
      <c r="B21" s="116"/>
      <c r="C21" s="124"/>
      <c r="D21" s="124"/>
      <c r="E21" s="124"/>
      <c r="F21" s="124"/>
      <c r="G21" s="124"/>
      <c r="H21" s="124"/>
      <c r="I21" s="124"/>
      <c r="J21" s="124"/>
      <c r="K21" s="124"/>
    </row>
    <row r="22" spans="1:11" ht="15" x14ac:dyDescent="0.25">
      <c r="A22" s="115"/>
      <c r="B22" s="116"/>
      <c r="C22" s="124"/>
      <c r="D22" s="124"/>
      <c r="E22" s="124"/>
      <c r="F22" s="124"/>
      <c r="G22" s="124"/>
      <c r="H22" s="124"/>
      <c r="I22" s="124"/>
      <c r="J22" s="124"/>
      <c r="K22" s="124"/>
    </row>
    <row r="23" spans="1:11" ht="15" x14ac:dyDescent="0.25">
      <c r="A23" s="115"/>
      <c r="B23" s="116"/>
      <c r="C23" s="124"/>
      <c r="D23" s="124"/>
      <c r="E23" s="124"/>
      <c r="F23" s="124"/>
      <c r="G23" s="124"/>
      <c r="H23" s="124"/>
      <c r="I23" s="124"/>
      <c r="J23" s="124"/>
      <c r="K23" s="124"/>
    </row>
    <row r="24" spans="1:11" ht="15" x14ac:dyDescent="0.25">
      <c r="A24" s="115"/>
      <c r="B24" s="116"/>
      <c r="C24" s="124"/>
      <c r="D24" s="124"/>
      <c r="E24" s="124"/>
      <c r="F24" s="124"/>
      <c r="G24" s="124"/>
      <c r="H24" s="124"/>
      <c r="I24" s="124"/>
      <c r="J24" s="124"/>
      <c r="K24" s="124"/>
    </row>
    <row r="25" spans="1:11" ht="15" x14ac:dyDescent="0.25">
      <c r="A25" s="115"/>
      <c r="B25" s="116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1" ht="15" x14ac:dyDescent="0.25">
      <c r="A26" s="115"/>
      <c r="B26" s="116"/>
      <c r="C26" s="124"/>
      <c r="D26" s="124"/>
      <c r="E26" s="124"/>
      <c r="F26" s="124"/>
      <c r="G26" s="124"/>
      <c r="H26" s="124"/>
      <c r="I26" s="124"/>
      <c r="J26" s="124"/>
      <c r="K26" s="124"/>
    </row>
    <row r="27" spans="1:11" ht="15" x14ac:dyDescent="0.25">
      <c r="A27" s="115"/>
      <c r="B27" s="116"/>
      <c r="C27" s="124"/>
      <c r="D27" s="124"/>
      <c r="E27" s="124"/>
      <c r="F27" s="124"/>
      <c r="G27" s="124"/>
      <c r="H27" s="124"/>
      <c r="I27" s="124"/>
      <c r="J27" s="124"/>
      <c r="K27" s="124"/>
    </row>
    <row r="28" spans="1:11" ht="15" x14ac:dyDescent="0.25">
      <c r="A28" s="115"/>
      <c r="B28" s="116"/>
      <c r="C28" s="124"/>
      <c r="D28" s="124"/>
      <c r="E28" s="124"/>
      <c r="F28" s="124"/>
      <c r="G28" s="124"/>
      <c r="H28" s="124"/>
      <c r="I28" s="124"/>
      <c r="J28" s="124"/>
      <c r="K28" s="124"/>
    </row>
    <row r="29" spans="1:11" ht="15" x14ac:dyDescent="0.25">
      <c r="A29" s="115"/>
      <c r="B29" s="116"/>
      <c r="C29" s="124"/>
      <c r="D29" s="124"/>
      <c r="E29" s="124"/>
      <c r="F29" s="124"/>
      <c r="G29" s="124"/>
      <c r="H29" s="124"/>
      <c r="I29" s="124"/>
      <c r="J29" s="124"/>
      <c r="K29" s="124"/>
    </row>
    <row r="30" spans="1:11" ht="15" x14ac:dyDescent="0.25">
      <c r="A30" s="115"/>
      <c r="B30" s="116"/>
      <c r="C30" s="124"/>
      <c r="D30" s="116"/>
      <c r="E30" s="124"/>
      <c r="F30" s="124"/>
      <c r="G30" s="124"/>
      <c r="H30" s="124"/>
      <c r="I30" s="124"/>
      <c r="J30" s="124"/>
      <c r="K30" s="124"/>
    </row>
    <row r="31" spans="1:11" ht="15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1" ht="15" x14ac:dyDescent="0.25">
      <c r="A32" s="115"/>
      <c r="B32" s="116"/>
      <c r="C32" s="116"/>
      <c r="D32" s="116"/>
      <c r="E32" s="116"/>
      <c r="F32" s="116"/>
      <c r="G32" s="116"/>
      <c r="H32" s="116"/>
      <c r="I32" s="116"/>
      <c r="J32" s="116"/>
      <c r="K32" s="116"/>
    </row>
    <row r="33" spans="1:11" ht="15" x14ac:dyDescent="0.2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1" ht="15" x14ac:dyDescent="0.25">
      <c r="A34" s="115"/>
      <c r="B34" s="116"/>
      <c r="C34" s="116"/>
      <c r="D34" s="116"/>
      <c r="E34" s="116"/>
      <c r="F34" s="116"/>
      <c r="G34" s="116"/>
      <c r="H34" s="116"/>
      <c r="I34" s="116"/>
      <c r="J34" s="116"/>
      <c r="K34" s="116"/>
    </row>
    <row r="35" spans="1:11" ht="15" x14ac:dyDescent="0.25">
      <c r="A35" s="115"/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ht="15" x14ac:dyDescent="0.25">
      <c r="A36" s="115"/>
      <c r="B36" s="116"/>
      <c r="C36" s="116"/>
      <c r="D36" s="116"/>
      <c r="E36" s="116"/>
      <c r="F36" s="116"/>
      <c r="G36" s="116"/>
      <c r="H36" s="116"/>
      <c r="I36" s="116"/>
      <c r="J36" s="116"/>
      <c r="K36" s="116"/>
    </row>
    <row r="37" spans="1:11" ht="15" x14ac:dyDescent="0.2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5" x14ac:dyDescent="0.25">
      <c r="A38" s="115"/>
      <c r="B38" s="116"/>
      <c r="C38" s="116"/>
      <c r="D38" s="116"/>
      <c r="E38" s="116"/>
      <c r="F38" s="116"/>
      <c r="G38" s="116"/>
      <c r="H38" s="116"/>
      <c r="I38" s="116"/>
      <c r="J38" s="116"/>
      <c r="K38" s="116"/>
    </row>
    <row r="39" spans="1:11" ht="15" x14ac:dyDescent="0.25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</row>
    <row r="40" spans="1:11" ht="15" x14ac:dyDescent="0.25">
      <c r="A40" s="115"/>
      <c r="B40" s="116"/>
      <c r="C40" s="116"/>
      <c r="D40" s="116"/>
      <c r="E40" s="116"/>
      <c r="F40" s="116"/>
      <c r="G40" s="116"/>
      <c r="H40" s="116"/>
      <c r="I40" s="116"/>
      <c r="J40" s="116"/>
      <c r="K40" s="116"/>
    </row>
    <row r="41" spans="1:11" ht="15" x14ac:dyDescent="0.25">
      <c r="A41" s="115"/>
      <c r="B41" s="116"/>
      <c r="C41" s="116"/>
      <c r="D41" s="116"/>
      <c r="E41" s="116"/>
      <c r="F41" s="116"/>
      <c r="G41" s="116"/>
      <c r="H41" s="116"/>
      <c r="I41" s="116"/>
      <c r="J41" s="116"/>
      <c r="K41" s="116"/>
    </row>
    <row r="42" spans="1:11" ht="15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</row>
    <row r="43" spans="1:11" ht="15" x14ac:dyDescent="0.25">
      <c r="A43" s="115"/>
      <c r="B43" s="116"/>
      <c r="C43" s="116"/>
      <c r="D43" s="116"/>
      <c r="E43" s="116"/>
      <c r="F43" s="116"/>
      <c r="G43" s="116"/>
      <c r="H43" s="116"/>
      <c r="I43" s="116"/>
      <c r="J43" s="116"/>
      <c r="K43" s="116"/>
    </row>
  </sheetData>
  <conditionalFormatting sqref="C5">
    <cfRule type="expression" dxfId="57" priority="1">
      <formula>LEFT(C5,1)="&lt;"</formula>
    </cfRule>
  </conditionalFormatting>
  <conditionalFormatting sqref="D6">
    <cfRule type="expression" dxfId="56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51"/>
  <sheetViews>
    <sheetView showGridLines="0" tabSelected="1" topLeftCell="A11" zoomScale="85" zoomScaleNormal="85" workbookViewId="0">
      <selection activeCell="N29" sqref="N29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29" t="str">
        <f>"Summary ($ "&amp;Assumptions!$C$39&amp;")"</f>
        <v>Summary ($ June 2026)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2</v>
      </c>
      <c r="D6" s="89" t="s">
        <v>17</v>
      </c>
      <c r="E6" s="2"/>
      <c r="P6"/>
    </row>
    <row r="7" spans="1:16" ht="12.75" customHeight="1" x14ac:dyDescent="0.25">
      <c r="B7" s="44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3" t="s">
        <v>4</v>
      </c>
      <c r="C10" s="33"/>
      <c r="D10" s="33"/>
      <c r="E10" s="34"/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10</v>
      </c>
      <c r="K10" s="69" t="s">
        <v>0</v>
      </c>
      <c r="P10"/>
    </row>
    <row r="11" spans="1:16" ht="12.75" customHeight="1" x14ac:dyDescent="0.25">
      <c r="C11" s="1" t="s">
        <v>53</v>
      </c>
      <c r="D11" s="100"/>
      <c r="E11" s="2"/>
      <c r="F11" s="6">
        <f>'Option 1'!R115</f>
        <v>8661414.1607087087</v>
      </c>
      <c r="G11" s="6">
        <f>'Option 1'!S115</f>
        <v>3426985.7417519437</v>
      </c>
      <c r="H11" s="6">
        <f>'Option 1'!T115</f>
        <v>4837755.0787795791</v>
      </c>
      <c r="I11" s="6">
        <f>'Option 1'!U115</f>
        <v>2235394.340575438</v>
      </c>
      <c r="J11" s="6">
        <f>'Option 1'!V115</f>
        <v>2235394.340575438</v>
      </c>
      <c r="K11" s="6">
        <f>SUM(F11:J11)</f>
        <v>21396943.662391108</v>
      </c>
      <c r="M11" s="92"/>
      <c r="P11"/>
    </row>
    <row r="12" spans="1:16" ht="12.75" customHeight="1" x14ac:dyDescent="0.25">
      <c r="C12" s="1" t="s">
        <v>93</v>
      </c>
      <c r="D12" s="100"/>
      <c r="E12" s="2"/>
      <c r="F12" s="6">
        <f>'Option 1'!R122</f>
        <v>0</v>
      </c>
      <c r="G12" s="6">
        <f>'Option 1'!S122</f>
        <v>0</v>
      </c>
      <c r="H12" s="6">
        <f>'Option 1'!T122</f>
        <v>0</v>
      </c>
      <c r="I12" s="6">
        <f>'Option 1'!U122</f>
        <v>0</v>
      </c>
      <c r="J12" s="6">
        <f>'Option 1'!V122</f>
        <v>0</v>
      </c>
      <c r="K12" s="6">
        <f>SUM(F12:J12)</f>
        <v>0</v>
      </c>
      <c r="M12" s="92"/>
      <c r="P12"/>
    </row>
    <row r="13" spans="1:16" ht="12.75" customHeight="1" x14ac:dyDescent="0.2">
      <c r="C13" s="1" t="s">
        <v>94</v>
      </c>
      <c r="D13" s="100"/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f>SUM(F13:J13)</f>
        <v>0</v>
      </c>
      <c r="M13" s="92"/>
    </row>
    <row r="14" spans="1:16" ht="12.75" customHeight="1" x14ac:dyDescent="0.2">
      <c r="C14" s="95" t="s">
        <v>95</v>
      </c>
      <c r="D14" s="134" t="s">
        <v>96</v>
      </c>
      <c r="E14" s="95"/>
      <c r="F14" s="99">
        <f>F11+F13</f>
        <v>8661414.1607087087</v>
      </c>
      <c r="G14" s="99">
        <f t="shared" ref="G14:K14" si="0">G11+G13</f>
        <v>3426985.7417519437</v>
      </c>
      <c r="H14" s="99">
        <f t="shared" si="0"/>
        <v>4837755.0787795791</v>
      </c>
      <c r="I14" s="99">
        <f t="shared" si="0"/>
        <v>2235394.340575438</v>
      </c>
      <c r="J14" s="99">
        <f t="shared" si="0"/>
        <v>2235394.340575438</v>
      </c>
      <c r="K14" s="99">
        <f t="shared" si="0"/>
        <v>21396943.662391108</v>
      </c>
      <c r="M14" s="92"/>
    </row>
    <row r="15" spans="1:16" ht="12.75" customHeight="1" x14ac:dyDescent="0.2">
      <c r="D15" s="100"/>
      <c r="F15" s="6"/>
      <c r="G15" s="6"/>
      <c r="H15" s="6"/>
      <c r="I15" s="6"/>
      <c r="J15" s="6"/>
      <c r="K15" s="6"/>
      <c r="M15" s="92"/>
    </row>
    <row r="16" spans="1:16" ht="12.75" customHeight="1" x14ac:dyDescent="0.2">
      <c r="C16" s="95" t="s">
        <v>16</v>
      </c>
      <c r="D16" s="134"/>
      <c r="E16" s="134"/>
      <c r="F16" s="135">
        <f>NPV(Real_Discount_rate,F14:J14)</f>
        <v>19761180.938393071</v>
      </c>
      <c r="G16" s="6"/>
      <c r="H16" s="6"/>
      <c r="I16" s="6"/>
      <c r="J16" s="6"/>
      <c r="K16" s="6"/>
      <c r="M16" s="92"/>
    </row>
    <row r="17" spans="2:13" ht="12.75" customHeight="1" x14ac:dyDescent="0.2"/>
    <row r="18" spans="2:13" ht="12.75" customHeight="1" x14ac:dyDescent="0.2">
      <c r="C18" s="1" t="s">
        <v>97</v>
      </c>
    </row>
    <row r="19" spans="2:13" ht="12.75" customHeight="1" x14ac:dyDescent="0.2"/>
    <row r="20" spans="2:13" ht="12.75" customHeight="1" x14ac:dyDescent="0.2"/>
    <row r="21" spans="2:13" ht="12.75" customHeight="1" x14ac:dyDescent="0.2">
      <c r="B21" s="33" t="s">
        <v>3</v>
      </c>
      <c r="C21" s="33" t="s">
        <v>5</v>
      </c>
      <c r="D21" s="33"/>
      <c r="E21" s="34"/>
      <c r="F21" s="35" t="str">
        <f>F$10</f>
        <v>2026/27</v>
      </c>
      <c r="G21" s="35" t="str">
        <f t="shared" ref="G21:J21" si="1">G$10</f>
        <v>2027/28</v>
      </c>
      <c r="H21" s="35" t="str">
        <f t="shared" si="1"/>
        <v>2028/29</v>
      </c>
      <c r="I21" s="35" t="str">
        <f t="shared" si="1"/>
        <v>2029/30</v>
      </c>
      <c r="J21" s="35" t="str">
        <f t="shared" si="1"/>
        <v>2030/31</v>
      </c>
      <c r="K21" s="69" t="s">
        <v>0</v>
      </c>
    </row>
    <row r="22" spans="2:13" ht="12.75" customHeight="1" x14ac:dyDescent="0.2">
      <c r="C22" s="1" t="s">
        <v>53</v>
      </c>
      <c r="D22" s="100"/>
      <c r="E22" s="2"/>
      <c r="F22" s="6">
        <f>'Option 2'!R115</f>
        <v>11881620.541423462</v>
      </c>
      <c r="G22" s="6">
        <f>'Option 2'!S115</f>
        <v>6742273.3660656419</v>
      </c>
      <c r="H22" s="6">
        <f>'Option 2'!T115</f>
        <v>9281890.8947313838</v>
      </c>
      <c r="I22" s="6">
        <f>'Option 2'!U115</f>
        <v>6877070.8006917723</v>
      </c>
      <c r="J22" s="6">
        <f>'Option 2'!V115</f>
        <v>4303826.5146966325</v>
      </c>
      <c r="K22" s="6">
        <f>SUM(F22:J22)</f>
        <v>39086682.117608897</v>
      </c>
      <c r="M22" s="92"/>
    </row>
    <row r="23" spans="2:13" x14ac:dyDescent="0.2">
      <c r="C23" s="1" t="s">
        <v>93</v>
      </c>
      <c r="D23" s="100"/>
      <c r="E23" s="2"/>
      <c r="F23" s="6">
        <f>'Option 2'!R122</f>
        <v>-1521615.292303056</v>
      </c>
      <c r="G23" s="6">
        <f>'Option 2'!S122</f>
        <v>-439697.23526634549</v>
      </c>
      <c r="H23" s="6">
        <f>'Option 2'!T122</f>
        <v>510014.45065051765</v>
      </c>
      <c r="I23" s="6">
        <f>'Option 2'!U122</f>
        <v>1409221.6042166722</v>
      </c>
      <c r="J23" s="6">
        <f>'Option 2'!V122</f>
        <v>1890033.8113043576</v>
      </c>
      <c r="K23" s="6">
        <f>SUM(F23:J23)</f>
        <v>1847957.3386021459</v>
      </c>
      <c r="M23" s="92"/>
    </row>
    <row r="24" spans="2:13" x14ac:dyDescent="0.2">
      <c r="C24" s="1" t="s">
        <v>94</v>
      </c>
      <c r="D24" s="100"/>
      <c r="F24" s="6">
        <v>-1582183.9571318941</v>
      </c>
      <c r="G24" s="6">
        <v>-460863.7517685889</v>
      </c>
      <c r="H24" s="6">
        <v>539470.48219921812</v>
      </c>
      <c r="I24" s="6">
        <v>1505716.8831549021</v>
      </c>
      <c r="J24" s="6">
        <v>2039010.6485142047</v>
      </c>
      <c r="K24" s="6">
        <f>SUM(F24:J24)</f>
        <v>2041150.3049678421</v>
      </c>
      <c r="M24" s="92"/>
    </row>
    <row r="25" spans="2:13" x14ac:dyDescent="0.2">
      <c r="C25" s="95" t="s">
        <v>95</v>
      </c>
      <c r="D25" s="134" t="s">
        <v>96</v>
      </c>
      <c r="E25" s="95"/>
      <c r="F25" s="99">
        <f>F22+F24</f>
        <v>10299436.584291568</v>
      </c>
      <c r="G25" s="99">
        <f t="shared" ref="G25:K25" si="2">G22+G24</f>
        <v>6281409.6142970528</v>
      </c>
      <c r="H25" s="99">
        <f t="shared" si="2"/>
        <v>9821361.3769306019</v>
      </c>
      <c r="I25" s="99">
        <f t="shared" si="2"/>
        <v>8382787.6838466749</v>
      </c>
      <c r="J25" s="99">
        <f t="shared" si="2"/>
        <v>6342837.1632108372</v>
      </c>
      <c r="K25" s="99">
        <f t="shared" si="2"/>
        <v>41127832.42257674</v>
      </c>
      <c r="M25" s="92"/>
    </row>
    <row r="26" spans="2:13" x14ac:dyDescent="0.2">
      <c r="D26" s="100"/>
      <c r="F26" s="6">
        <f>F22+F23</f>
        <v>10360005.249120407</v>
      </c>
      <c r="G26" s="6">
        <f t="shared" ref="G26:K26" si="3">G22+G23</f>
        <v>6302576.1307992963</v>
      </c>
      <c r="H26" s="6">
        <f t="shared" si="3"/>
        <v>9791905.3453819007</v>
      </c>
      <c r="I26" s="6">
        <f t="shared" si="3"/>
        <v>8286292.4049084447</v>
      </c>
      <c r="J26" s="6">
        <f t="shared" si="3"/>
        <v>6193860.3260009903</v>
      </c>
      <c r="K26" s="6">
        <f t="shared" si="3"/>
        <v>40934639.456211045</v>
      </c>
      <c r="M26" s="92"/>
    </row>
    <row r="27" spans="2:13" x14ac:dyDescent="0.2">
      <c r="C27" s="95" t="s">
        <v>16</v>
      </c>
      <c r="D27" s="134"/>
      <c r="E27" s="134"/>
      <c r="F27" s="135">
        <f>NPV(Real_Discount_rate,F25:J25)</f>
        <v>37318828.666947693</v>
      </c>
      <c r="G27" s="6"/>
      <c r="H27" s="6"/>
      <c r="I27" s="6"/>
      <c r="J27" s="6"/>
      <c r="K27" s="6"/>
      <c r="M27" s="92"/>
    </row>
    <row r="28" spans="2:13" x14ac:dyDescent="0.2">
      <c r="M28" s="92"/>
    </row>
    <row r="29" spans="2:13" x14ac:dyDescent="0.2">
      <c r="C29" s="1" t="s">
        <v>97</v>
      </c>
      <c r="M29" s="92"/>
    </row>
    <row r="30" spans="2:13" x14ac:dyDescent="0.2">
      <c r="M30" s="92"/>
    </row>
    <row r="31" spans="2:13" x14ac:dyDescent="0.2">
      <c r="M31" s="92"/>
    </row>
    <row r="32" spans="2:13" x14ac:dyDescent="0.2">
      <c r="B32" s="33" t="s">
        <v>17</v>
      </c>
      <c r="C32" s="33" t="s">
        <v>5</v>
      </c>
      <c r="D32" s="33"/>
      <c r="E32" s="34"/>
      <c r="F32" s="35" t="str">
        <f>F$10</f>
        <v>2026/27</v>
      </c>
      <c r="G32" s="35" t="str">
        <f t="shared" ref="G32:J32" si="4">G$10</f>
        <v>2027/28</v>
      </c>
      <c r="H32" s="35" t="str">
        <f t="shared" si="4"/>
        <v>2028/29</v>
      </c>
      <c r="I32" s="35" t="str">
        <f t="shared" si="4"/>
        <v>2029/30</v>
      </c>
      <c r="J32" s="35" t="str">
        <f t="shared" si="4"/>
        <v>2030/31</v>
      </c>
      <c r="K32" s="69" t="s">
        <v>0</v>
      </c>
    </row>
    <row r="33" spans="2:13" x14ac:dyDescent="0.2">
      <c r="C33" s="1" t="s">
        <v>53</v>
      </c>
      <c r="D33" s="100"/>
      <c r="E33" s="2"/>
      <c r="F33" s="6">
        <f>'Option 3'!R115</f>
        <v>11167963.517626885</v>
      </c>
      <c r="G33" s="6">
        <f>'Option 3'!S115</f>
        <v>9285219.9685630873</v>
      </c>
      <c r="H33" s="6">
        <f>'Option 3'!T115</f>
        <v>8488604.772500718</v>
      </c>
      <c r="I33" s="6">
        <f>'Option 3'!U115</f>
        <v>1186973.5641782358</v>
      </c>
      <c r="J33" s="6">
        <f>'Option 3'!V115</f>
        <v>1221520.2396791191</v>
      </c>
      <c r="K33" s="6">
        <f>SUM(F33:J33)</f>
        <v>31350282.062548049</v>
      </c>
      <c r="M33" s="92"/>
    </row>
    <row r="34" spans="2:13" x14ac:dyDescent="0.2">
      <c r="C34" s="1" t="s">
        <v>93</v>
      </c>
      <c r="D34" s="100"/>
      <c r="E34" s="2"/>
      <c r="F34" s="6">
        <f>'Option 3'!R122</f>
        <v>1392074.99361434</v>
      </c>
      <c r="G34" s="6">
        <f>'Option 3'!S122</f>
        <v>2416684.6253433484</v>
      </c>
      <c r="H34" s="6">
        <f>'Option 3'!T122</f>
        <v>2574153.091692525</v>
      </c>
      <c r="I34" s="6">
        <f>'Option 3'!U122</f>
        <v>1780026.2112155603</v>
      </c>
      <c r="J34" s="6">
        <f>'Option 3'!V122</f>
        <v>2098282.359141828</v>
      </c>
      <c r="K34" s="6">
        <f>SUM(F34:J34)</f>
        <v>10261221.281007601</v>
      </c>
      <c r="M34" s="92"/>
    </row>
    <row r="35" spans="2:13" x14ac:dyDescent="0.2">
      <c r="C35" s="1" t="s">
        <v>99</v>
      </c>
      <c r="D35" s="100"/>
      <c r="F35" s="6">
        <v>1447487.241461308</v>
      </c>
      <c r="G35" s="6">
        <v>2533021.0288962666</v>
      </c>
      <c r="H35" s="6">
        <v>2722824.0451985812</v>
      </c>
      <c r="I35" s="6">
        <v>1901912.0276511398</v>
      </c>
      <c r="J35" s="6">
        <v>2263673.8286322267</v>
      </c>
      <c r="K35" s="6">
        <f>SUM(F35:J35)</f>
        <v>10868918.171839522</v>
      </c>
      <c r="M35" s="92"/>
    </row>
    <row r="36" spans="2:13" x14ac:dyDescent="0.2">
      <c r="C36" s="95" t="s">
        <v>95</v>
      </c>
      <c r="D36" s="134" t="s">
        <v>96</v>
      </c>
      <c r="E36" s="95"/>
      <c r="F36" s="99">
        <f>F33+F35</f>
        <v>12615450.759088194</v>
      </c>
      <c r="G36" s="99">
        <f t="shared" ref="G36:K36" si="5">G33+G35</f>
        <v>11818240.997459354</v>
      </c>
      <c r="H36" s="99">
        <f t="shared" si="5"/>
        <v>11211428.817699298</v>
      </c>
      <c r="I36" s="99">
        <f t="shared" si="5"/>
        <v>3088885.5918293754</v>
      </c>
      <c r="J36" s="99">
        <f t="shared" si="5"/>
        <v>3485194.0683113458</v>
      </c>
      <c r="K36" s="99">
        <f t="shared" si="5"/>
        <v>42219200.234387569</v>
      </c>
      <c r="M36" s="92"/>
    </row>
    <row r="37" spans="2:13" x14ac:dyDescent="0.2">
      <c r="D37" s="100"/>
      <c r="F37" s="6"/>
      <c r="G37" s="6"/>
      <c r="H37" s="6"/>
      <c r="I37" s="6"/>
      <c r="J37" s="6"/>
      <c r="K37" s="6"/>
      <c r="M37" s="92"/>
    </row>
    <row r="38" spans="2:13" x14ac:dyDescent="0.2">
      <c r="C38" s="95" t="s">
        <v>16</v>
      </c>
      <c r="D38" s="134"/>
      <c r="E38" s="134"/>
      <c r="F38" s="135">
        <f>NPV(Real_Discount_rate,F36:J36)</f>
        <v>38959587.41406852</v>
      </c>
      <c r="G38" s="6"/>
      <c r="H38" s="6"/>
      <c r="I38" s="6"/>
      <c r="J38" s="6"/>
      <c r="K38" s="6"/>
      <c r="M38" s="92"/>
    </row>
    <row r="39" spans="2:13" x14ac:dyDescent="0.2">
      <c r="M39" s="92"/>
    </row>
    <row r="40" spans="2:13" x14ac:dyDescent="0.2">
      <c r="C40" s="1" t="s">
        <v>98</v>
      </c>
      <c r="M40" s="92"/>
    </row>
    <row r="41" spans="2:13" x14ac:dyDescent="0.2">
      <c r="D41" s="46"/>
      <c r="F41" s="6"/>
      <c r="G41" s="6"/>
      <c r="H41" s="6"/>
      <c r="I41" s="6"/>
      <c r="J41" s="6"/>
      <c r="K41" s="6"/>
      <c r="M41" s="92"/>
    </row>
    <row r="43" spans="2:13" x14ac:dyDescent="0.2">
      <c r="B43" s="33" t="s">
        <v>64</v>
      </c>
      <c r="C43" s="33" t="s">
        <v>5</v>
      </c>
      <c r="D43" s="33"/>
      <c r="E43" s="34"/>
      <c r="F43" s="35" t="str">
        <f>F$10</f>
        <v>2026/27</v>
      </c>
      <c r="G43" s="35" t="str">
        <f t="shared" ref="G43:J43" si="6">G$10</f>
        <v>2027/28</v>
      </c>
      <c r="H43" s="35" t="str">
        <f t="shared" si="6"/>
        <v>2028/29</v>
      </c>
      <c r="I43" s="35" t="str">
        <f t="shared" si="6"/>
        <v>2029/30</v>
      </c>
      <c r="J43" s="35" t="str">
        <f t="shared" si="6"/>
        <v>2030/31</v>
      </c>
      <c r="K43" s="69" t="s">
        <v>0</v>
      </c>
    </row>
    <row r="44" spans="2:13" x14ac:dyDescent="0.2">
      <c r="C44" s="1" t="s">
        <v>53</v>
      </c>
      <c r="D44" s="100"/>
      <c r="E44" s="2"/>
      <c r="F44" s="6">
        <f>'Option 4'!R115</f>
        <v>9788113.7240437195</v>
      </c>
      <c r="G44" s="6">
        <f>'Option 4'!S115</f>
        <v>4534351.8475827659</v>
      </c>
      <c r="H44" s="6">
        <f>'Option 4'!T115</f>
        <v>2168728.7536474788</v>
      </c>
      <c r="I44" s="6">
        <f>'Option 4'!U115</f>
        <v>721601.49596231536</v>
      </c>
      <c r="J44" s="6">
        <f>'Option 4'!V115</f>
        <v>814047.39168792695</v>
      </c>
      <c r="K44" s="6">
        <f>SUM(F44:J44)</f>
        <v>18026843.212924205</v>
      </c>
      <c r="M44" s="92"/>
    </row>
    <row r="45" spans="2:13" x14ac:dyDescent="0.2">
      <c r="C45" s="1" t="s">
        <v>93</v>
      </c>
      <c r="D45" s="100"/>
      <c r="E45" s="2"/>
      <c r="F45" s="6">
        <f>'Option 4'!R122</f>
        <v>4762577.6260239994</v>
      </c>
      <c r="G45" s="6">
        <f>'Option 4'!S122</f>
        <v>5639317.9955338473</v>
      </c>
      <c r="H45" s="6">
        <f>'Option 4'!T122</f>
        <v>5027003.1790026352</v>
      </c>
      <c r="I45" s="6">
        <f>'Option 4'!U122</f>
        <v>5610805.1106647039</v>
      </c>
      <c r="J45" s="6">
        <f>'Option 4'!V122</f>
        <v>5953690.5662013618</v>
      </c>
      <c r="K45" s="6">
        <f>SUM(F45:J45)</f>
        <v>26993394.477426548</v>
      </c>
      <c r="M45" s="92"/>
    </row>
    <row r="46" spans="2:13" x14ac:dyDescent="0.2">
      <c r="C46" s="1" t="s">
        <v>100</v>
      </c>
      <c r="D46" s="100"/>
      <c r="F46" s="6">
        <v>4952154.4325999673</v>
      </c>
      <c r="G46" s="6">
        <v>5910788.2433318822</v>
      </c>
      <c r="H46" s="6">
        <v>5317339.1960453894</v>
      </c>
      <c r="I46" s="6">
        <v>5995000.3306369288</v>
      </c>
      <c r="J46" s="6">
        <v>6422974.2292627487</v>
      </c>
      <c r="K46" s="6">
        <f>SUM(F46:J46)</f>
        <v>28598256.431876913</v>
      </c>
      <c r="M46" s="92"/>
    </row>
    <row r="47" spans="2:13" x14ac:dyDescent="0.2">
      <c r="C47" s="95" t="s">
        <v>95</v>
      </c>
      <c r="D47" s="134" t="s">
        <v>96</v>
      </c>
      <c r="E47" s="95"/>
      <c r="F47" s="99">
        <f>F44+F46</f>
        <v>14740268.156643687</v>
      </c>
      <c r="G47" s="99">
        <f t="shared" ref="G47:K47" si="7">G44+G46</f>
        <v>10445140.090914648</v>
      </c>
      <c r="H47" s="99">
        <f t="shared" si="7"/>
        <v>7486067.9496928677</v>
      </c>
      <c r="I47" s="99">
        <f t="shared" si="7"/>
        <v>6716601.826599244</v>
      </c>
      <c r="J47" s="99">
        <f t="shared" si="7"/>
        <v>7237021.6209506756</v>
      </c>
      <c r="K47" s="99">
        <f t="shared" si="7"/>
        <v>46625099.644801117</v>
      </c>
      <c r="M47" s="92"/>
    </row>
    <row r="48" spans="2:13" x14ac:dyDescent="0.2">
      <c r="D48" s="100"/>
      <c r="F48" s="6">
        <f>F44+F45</f>
        <v>14550691.35006772</v>
      </c>
      <c r="G48" s="6">
        <f t="shared" ref="G48:K48" si="8">G44+G45</f>
        <v>10173669.843116613</v>
      </c>
      <c r="H48" s="6">
        <f t="shared" si="8"/>
        <v>7195731.9326501135</v>
      </c>
      <c r="I48" s="6">
        <f t="shared" si="8"/>
        <v>6332406.6066270191</v>
      </c>
      <c r="J48" s="6">
        <f t="shared" si="8"/>
        <v>6767737.9578892887</v>
      </c>
      <c r="K48" s="6">
        <f t="shared" si="8"/>
        <v>45020237.690350756</v>
      </c>
      <c r="M48" s="92"/>
    </row>
    <row r="49" spans="3:13" x14ac:dyDescent="0.2">
      <c r="C49" s="95" t="s">
        <v>16</v>
      </c>
      <c r="D49" s="134"/>
      <c r="E49" s="134"/>
      <c r="F49" s="135">
        <f>NPV(Real_Discount_rate,F47:J47)</f>
        <v>42690967.8764714</v>
      </c>
      <c r="G49" s="6"/>
      <c r="H49" s="6"/>
      <c r="I49" s="6"/>
      <c r="J49" s="6"/>
      <c r="K49" s="6"/>
      <c r="M49" s="92"/>
    </row>
    <row r="50" spans="3:13" x14ac:dyDescent="0.2">
      <c r="M50" s="92"/>
    </row>
    <row r="51" spans="3:13" x14ac:dyDescent="0.2">
      <c r="C51" s="1" t="s">
        <v>97</v>
      </c>
      <c r="M51" s="92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0B3CE5A-0345-4051-9C15-BEA553111B23}">
          <x14:formula1>
            <xm:f>Assumptions!$A$26:$A$29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outlinePr summaryBelow="0" summaryRight="0"/>
  </sheetPr>
  <dimension ref="A1:AI106"/>
  <sheetViews>
    <sheetView showGridLines="0" zoomScale="90" zoomScaleNormal="90" workbookViewId="0">
      <selection activeCell="F24" sqref="F24"/>
    </sheetView>
  </sheetViews>
  <sheetFormatPr defaultColWidth="14.42578125" defaultRowHeight="15" customHeight="1" x14ac:dyDescent="0.25"/>
  <cols>
    <col min="1" max="1" width="24.42578125" customWidth="1"/>
    <col min="2" max="2" width="20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58" t="str">
        <f>Project_name</f>
        <v>Infrastructure refresh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2" spans="1:35" ht="15.75" x14ac:dyDescent="0.25">
      <c r="A2" s="55" t="str">
        <f>Business</f>
        <v>United Energy</v>
      </c>
      <c r="B2" s="13"/>
      <c r="C2" s="13"/>
      <c r="D2" s="13"/>
      <c r="E2" s="13"/>
      <c r="F2" s="13"/>
      <c r="G2" s="13"/>
      <c r="H2" s="13"/>
      <c r="I2" s="11"/>
      <c r="J2" s="11"/>
      <c r="K2" s="11"/>
    </row>
    <row r="3" spans="1:35" s="18" customFormat="1" ht="12.75" customHeight="1" x14ac:dyDescent="0.25">
      <c r="A3" s="29" t="s">
        <v>18</v>
      </c>
      <c r="B3" s="27"/>
      <c r="C3" s="27"/>
      <c r="D3" s="27"/>
      <c r="E3" s="27"/>
      <c r="F3" s="27"/>
      <c r="G3" s="27"/>
      <c r="H3" s="13"/>
      <c r="I3" s="11"/>
      <c r="J3" s="11"/>
      <c r="K3" s="1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6"/>
      <c r="B4" s="39" t="s">
        <v>18</v>
      </c>
      <c r="C4" s="26" t="s">
        <v>19</v>
      </c>
      <c r="D4" s="26" t="s">
        <v>20</v>
      </c>
    </row>
    <row r="5" spans="1:35" ht="12.75" customHeight="1" x14ac:dyDescent="0.25">
      <c r="A5" s="26"/>
      <c r="B5" s="39"/>
      <c r="C5" s="26"/>
      <c r="D5" s="26"/>
    </row>
    <row r="6" spans="1:35" ht="12.75" customHeight="1" x14ac:dyDescent="0.25">
      <c r="A6" s="1" t="s">
        <v>21</v>
      </c>
      <c r="B6" s="72" t="s">
        <v>74</v>
      </c>
      <c r="C6" s="26"/>
      <c r="D6" s="26"/>
    </row>
    <row r="7" spans="1:35" ht="12.75" customHeight="1" x14ac:dyDescent="0.25">
      <c r="A7" s="26"/>
      <c r="B7" s="39"/>
      <c r="C7" s="26"/>
      <c r="D7" s="26"/>
    </row>
    <row r="8" spans="1:35" ht="12.75" customHeight="1" x14ac:dyDescent="0.25">
      <c r="A8" s="1" t="s">
        <v>22</v>
      </c>
      <c r="B8" s="73" t="s">
        <v>30</v>
      </c>
      <c r="C8" s="26"/>
      <c r="D8" s="26"/>
    </row>
    <row r="9" spans="1:35" ht="12.75" customHeight="1" x14ac:dyDescent="0.25">
      <c r="A9" s="26"/>
      <c r="B9" s="56"/>
      <c r="C9" s="26"/>
      <c r="D9" s="26"/>
    </row>
    <row r="10" spans="1:35" ht="12.75" customHeight="1" x14ac:dyDescent="0.25">
      <c r="A10" s="1" t="s">
        <v>23</v>
      </c>
      <c r="B10" s="127">
        <v>3.5000000000000003E-2</v>
      </c>
      <c r="C10" s="41"/>
      <c r="D10" s="26"/>
    </row>
    <row r="11" spans="1:35" ht="12.75" customHeight="1" x14ac:dyDescent="0.25">
      <c r="A11" s="26"/>
      <c r="B11" s="56"/>
      <c r="C11" s="26"/>
      <c r="D11" s="26"/>
    </row>
    <row r="12" spans="1:35" ht="12.75" customHeight="1" x14ac:dyDescent="0.25">
      <c r="A12" s="41" t="s">
        <v>24</v>
      </c>
      <c r="B12" s="74" t="s">
        <v>70</v>
      </c>
      <c r="C12" s="41" t="s">
        <v>25</v>
      </c>
      <c r="D12" s="26"/>
    </row>
    <row r="13" spans="1:35" ht="12.75" customHeight="1" x14ac:dyDescent="0.25">
      <c r="A13" s="41"/>
      <c r="B13" s="57"/>
      <c r="C13" s="41"/>
      <c r="D13" s="41"/>
      <c r="E13" s="41"/>
    </row>
    <row r="14" spans="1:35" ht="12.75" customHeight="1" x14ac:dyDescent="0.25">
      <c r="A14" s="41" t="s">
        <v>26</v>
      </c>
      <c r="B14" s="128">
        <f>INDEX($C$46:$C$48,MATCH($B$12,$E$46:$E$48,0))</f>
        <v>145.77740895836223</v>
      </c>
      <c r="C14" s="41" t="s">
        <v>27</v>
      </c>
      <c r="D14" s="41"/>
      <c r="E14" s="41"/>
    </row>
    <row r="15" spans="1:35" ht="12.75" customHeight="1" x14ac:dyDescent="0.25">
      <c r="B15" s="41"/>
      <c r="C15" s="41"/>
      <c r="D15" s="41"/>
      <c r="E15" s="41"/>
    </row>
    <row r="16" spans="1:35" ht="12.75" customHeight="1" x14ac:dyDescent="0.25">
      <c r="A16" s="41" t="s">
        <v>26</v>
      </c>
      <c r="B16" s="128">
        <f>INDEX($C$51:$C$52,MATCH($B$12,$E$51:$E$52,0))</f>
        <v>230.16624999999999</v>
      </c>
      <c r="C16" s="41" t="s">
        <v>28</v>
      </c>
      <c r="D16" s="41"/>
      <c r="E16" s="41"/>
    </row>
    <row r="17" spans="1:11" ht="12.75" customHeight="1" x14ac:dyDescent="0.25">
      <c r="A17" s="79"/>
      <c r="C17" s="41"/>
      <c r="D17" s="41"/>
      <c r="E17" s="41"/>
    </row>
    <row r="18" spans="1:11" ht="12.75" customHeight="1" x14ac:dyDescent="0.25">
      <c r="A18" s="41"/>
      <c r="B18" s="41"/>
      <c r="C18" s="41"/>
      <c r="D18" s="41"/>
      <c r="E18" s="41"/>
    </row>
    <row r="19" spans="1:11" ht="12.75" customHeight="1" x14ac:dyDescent="0.25">
      <c r="A19" s="50" t="s">
        <v>29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1" ht="12.75" customHeight="1" x14ac:dyDescent="0.25">
      <c r="A20" s="41"/>
      <c r="B20" s="85"/>
    </row>
    <row r="21" spans="1:11" ht="12.75" customHeight="1" x14ac:dyDescent="0.25">
      <c r="A21" s="41"/>
      <c r="B21" s="85"/>
      <c r="D21" s="41"/>
      <c r="E21" s="41"/>
    </row>
    <row r="22" spans="1:11" ht="12.75" customHeight="1" x14ac:dyDescent="0.25">
      <c r="A22" s="41" t="s">
        <v>30</v>
      </c>
      <c r="B22" s="86">
        <v>1</v>
      </c>
      <c r="D22" s="41"/>
      <c r="E22" s="41"/>
    </row>
    <row r="23" spans="1:11" ht="12.75" customHeight="1" x14ac:dyDescent="0.25">
      <c r="A23" s="41"/>
      <c r="B23" s="87">
        <f>SUM(B20:B22)</f>
        <v>1</v>
      </c>
      <c r="D23" s="41"/>
      <c r="E23" s="41"/>
    </row>
    <row r="24" spans="1:11" ht="12.75" customHeight="1" x14ac:dyDescent="0.25">
      <c r="A24" s="41"/>
      <c r="B24" s="41"/>
      <c r="C24" s="41"/>
      <c r="D24" s="41"/>
      <c r="E24" s="41"/>
    </row>
    <row r="25" spans="1:11" ht="12.75" customHeight="1" x14ac:dyDescent="0.25">
      <c r="A25" s="50" t="s">
        <v>31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</row>
    <row r="26" spans="1:11" ht="12.75" customHeight="1" x14ac:dyDescent="0.25">
      <c r="A26" s="41" t="s">
        <v>4</v>
      </c>
      <c r="B26" s="130" t="s">
        <v>65</v>
      </c>
      <c r="C26" s="80"/>
      <c r="D26" s="80"/>
      <c r="E26" s="80"/>
      <c r="F26" s="80"/>
      <c r="G26" s="81"/>
    </row>
    <row r="27" spans="1:11" ht="12.75" customHeight="1" x14ac:dyDescent="0.25">
      <c r="A27" s="41" t="s">
        <v>3</v>
      </c>
      <c r="B27" s="131" t="s">
        <v>66</v>
      </c>
      <c r="C27" s="82"/>
      <c r="D27" s="82"/>
      <c r="E27" s="82"/>
      <c r="F27" s="82"/>
      <c r="G27" s="83"/>
    </row>
    <row r="28" spans="1:11" ht="12.75" customHeight="1" x14ac:dyDescent="0.25">
      <c r="A28" s="41" t="s">
        <v>17</v>
      </c>
      <c r="B28" s="131" t="s">
        <v>67</v>
      </c>
      <c r="C28" s="82"/>
      <c r="D28" s="82"/>
      <c r="E28" s="82"/>
      <c r="F28" s="82"/>
      <c r="G28" s="83"/>
    </row>
    <row r="29" spans="1:11" ht="12.75" customHeight="1" x14ac:dyDescent="0.25">
      <c r="A29" s="41" t="s">
        <v>64</v>
      </c>
      <c r="B29" s="131" t="s">
        <v>68</v>
      </c>
      <c r="C29" s="82"/>
      <c r="D29" s="82"/>
      <c r="E29" s="82"/>
      <c r="F29" s="82"/>
      <c r="G29" s="83"/>
    </row>
    <row r="30" spans="1:11" ht="12.75" customHeight="1" x14ac:dyDescent="0.25">
      <c r="A30" s="41"/>
      <c r="B30" s="84"/>
      <c r="C30" s="84"/>
      <c r="D30" s="84"/>
      <c r="E30" s="84"/>
      <c r="F30" s="84"/>
      <c r="G30" s="84"/>
    </row>
    <row r="31" spans="1:11" ht="12.75" customHeight="1" x14ac:dyDescent="0.25">
      <c r="A31" s="41"/>
      <c r="B31" s="41"/>
      <c r="C31" s="41"/>
      <c r="D31" s="41"/>
      <c r="E31" s="41"/>
    </row>
    <row r="32" spans="1:11" ht="12.75" customHeight="1" x14ac:dyDescent="0.25">
      <c r="A32" s="41"/>
      <c r="B32" s="41"/>
      <c r="C32" s="41"/>
      <c r="D32" s="41"/>
      <c r="E32" s="41"/>
    </row>
    <row r="33" spans="1:11" x14ac:dyDescent="0.25">
      <c r="A33" s="36" t="s">
        <v>63</v>
      </c>
      <c r="B33" s="36"/>
      <c r="C33" s="36"/>
      <c r="D33" s="37"/>
      <c r="E33" s="132" t="s">
        <v>69</v>
      </c>
      <c r="F33" s="132" t="s">
        <v>70</v>
      </c>
      <c r="G33" s="132" t="s">
        <v>71</v>
      </c>
      <c r="H33" s="132" t="s">
        <v>72</v>
      </c>
      <c r="I33" s="94"/>
      <c r="J33" s="37"/>
      <c r="K33" s="37"/>
    </row>
    <row r="34" spans="1:11" x14ac:dyDescent="0.25">
      <c r="A34" s="109" t="s">
        <v>60</v>
      </c>
      <c r="B34" s="110"/>
      <c r="C34" s="111"/>
      <c r="D34" s="112"/>
      <c r="E34" s="113">
        <v>1.1757125218136175</v>
      </c>
      <c r="F34" s="113">
        <v>1.1129126464165966</v>
      </c>
      <c r="G34" s="113">
        <v>1.050660524730181</v>
      </c>
      <c r="H34" s="113">
        <v>1.014889156509222</v>
      </c>
      <c r="I34" s="114"/>
      <c r="J34" s="112"/>
      <c r="K34" s="112"/>
    </row>
    <row r="35" spans="1:11" x14ac:dyDescent="0.25">
      <c r="B35" s="1"/>
      <c r="D35" s="53"/>
      <c r="I35" s="65"/>
      <c r="J35" s="54"/>
      <c r="K35" s="54"/>
    </row>
    <row r="36" spans="1:11" x14ac:dyDescent="0.25">
      <c r="A36" s="1"/>
      <c r="B36" s="1"/>
      <c r="D36" s="38"/>
      <c r="I36" s="65"/>
      <c r="J36" s="65"/>
      <c r="K36" s="65"/>
    </row>
    <row r="37" spans="1:11" ht="12.75" customHeight="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ht="12.75" customHeight="1" x14ac:dyDescent="0.25"/>
    <row r="39" spans="1:11" ht="12.75" customHeight="1" x14ac:dyDescent="0.25">
      <c r="A39" s="41" t="s">
        <v>32</v>
      </c>
      <c r="C39" s="133" t="s">
        <v>72</v>
      </c>
      <c r="D39" t="s">
        <v>25</v>
      </c>
    </row>
    <row r="40" spans="1:11" ht="12.75" customHeight="1" x14ac:dyDescent="0.25">
      <c r="A40" s="41" t="s">
        <v>33</v>
      </c>
      <c r="C40" s="40" t="str">
        <f>$B$12</f>
        <v>June 2024</v>
      </c>
    </row>
    <row r="41" spans="1:11" ht="12.75" customHeight="1" x14ac:dyDescent="0.25">
      <c r="A41" s="41" t="s">
        <v>34</v>
      </c>
      <c r="C41" s="88">
        <f>INDEX($E$34:$H$34,MATCH($C$40,$E$33:$H$33))</f>
        <v>1.1129126464165966</v>
      </c>
    </row>
    <row r="42" spans="1:11" ht="12.75" customHeight="1" x14ac:dyDescent="0.25"/>
    <row r="43" spans="1:11" ht="12.75" customHeight="1" x14ac:dyDescent="0.25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ht="12.75" customHeight="1" x14ac:dyDescent="0.25"/>
    <row r="45" spans="1:11" ht="12.75" customHeight="1" x14ac:dyDescent="0.25">
      <c r="A45" t="s">
        <v>35</v>
      </c>
      <c r="C45" s="129" t="s">
        <v>36</v>
      </c>
      <c r="D45" t="s">
        <v>73</v>
      </c>
    </row>
    <row r="46" spans="1:11" ht="12.75" customHeight="1" x14ac:dyDescent="0.25">
      <c r="A46" s="41"/>
      <c r="C46" s="90">
        <v>135.18960020374115</v>
      </c>
      <c r="D46" s="108" t="s">
        <v>37</v>
      </c>
      <c r="E46" t="s">
        <v>69</v>
      </c>
    </row>
    <row r="47" spans="1:11" ht="12.75" customHeight="1" x14ac:dyDescent="0.25">
      <c r="A47" s="41"/>
      <c r="C47" s="91">
        <v>145.77740895836223</v>
      </c>
      <c r="D47" s="108" t="s">
        <v>37</v>
      </c>
      <c r="E47" t="s">
        <v>70</v>
      </c>
    </row>
    <row r="48" spans="1:11" ht="12.75" customHeight="1" x14ac:dyDescent="0.25">
      <c r="C48" s="91">
        <v>151.6842917372561</v>
      </c>
      <c r="D48" s="108" t="s">
        <v>37</v>
      </c>
      <c r="E48" t="s">
        <v>71</v>
      </c>
    </row>
    <row r="49" spans="1:5" ht="12.75" customHeight="1" x14ac:dyDescent="0.25"/>
    <row r="50" spans="1:5" ht="12.75" customHeight="1" x14ac:dyDescent="0.25"/>
    <row r="51" spans="1:5" ht="12.75" customHeight="1" x14ac:dyDescent="0.25">
      <c r="A51" t="s">
        <v>38</v>
      </c>
      <c r="C51" s="129">
        <f>1841.33/8</f>
        <v>230.16624999999999</v>
      </c>
      <c r="D51" s="108" t="s">
        <v>37</v>
      </c>
      <c r="E51" t="s">
        <v>70</v>
      </c>
    </row>
    <row r="52" spans="1:5" ht="12.75" customHeight="1" x14ac:dyDescent="0.25">
      <c r="C52" s="90">
        <v>239.49255829510699</v>
      </c>
      <c r="D52" s="108" t="s">
        <v>37</v>
      </c>
      <c r="E52" t="s">
        <v>71</v>
      </c>
    </row>
    <row r="53" spans="1:5" ht="12.75" customHeight="1" x14ac:dyDescent="0.25"/>
    <row r="54" spans="1:5" ht="12.75" customHeight="1" x14ac:dyDescent="0.25"/>
    <row r="55" spans="1:5" ht="12.75" customHeight="1" x14ac:dyDescent="0.25"/>
    <row r="56" spans="1:5" ht="12.75" customHeight="1" x14ac:dyDescent="0.25">
      <c r="A56" t="s">
        <v>39</v>
      </c>
    </row>
    <row r="57" spans="1:5" ht="12.75" customHeight="1" x14ac:dyDescent="0.25">
      <c r="A57" t="s">
        <v>40</v>
      </c>
    </row>
    <row r="58" spans="1:5" ht="12.75" customHeight="1" x14ac:dyDescent="0.25">
      <c r="A58" t="s">
        <v>41</v>
      </c>
    </row>
    <row r="59" spans="1:5" ht="12.75" customHeight="1" x14ac:dyDescent="0.25"/>
    <row r="60" spans="1:5" ht="12.75" customHeight="1" x14ac:dyDescent="0.25"/>
    <row r="61" spans="1:5" ht="12.75" customHeight="1" x14ac:dyDescent="0.25"/>
    <row r="62" spans="1:5" ht="12.75" customHeight="1" x14ac:dyDescent="0.25"/>
    <row r="63" spans="1:5" ht="12.75" customHeight="1" x14ac:dyDescent="0.25"/>
    <row r="64" spans="1:5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</sheetData>
  <dataValidations count="1">
    <dataValidation type="list" allowBlank="1" showInputMessage="1" showErrorMessage="1" sqref="B12" xr:uid="{F4530B8B-E1E8-402D-B0E6-F53F35029D26}">
      <formula1>$E$33:$G$33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AA138"/>
  <sheetViews>
    <sheetView showGridLines="0" zoomScale="80" zoomScaleNormal="80" workbookViewId="0">
      <pane xSplit="6" ySplit="9" topLeftCell="G103" activePane="bottomRight" state="frozen"/>
      <selection activeCell="F24" sqref="F24"/>
      <selection pane="topRight" activeCell="F24" sqref="F24"/>
      <selection pane="bottomLeft" activeCell="F24" sqref="F24"/>
      <selection pane="bottomRight" activeCell="F24" sqref="F2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58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5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1" customFormat="1" ht="15.75" x14ac:dyDescent="0.25">
      <c r="A3" s="29" t="s">
        <v>4</v>
      </c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29"/>
      <c r="P3" s="29"/>
      <c r="Q3" s="29"/>
      <c r="R3" s="13"/>
      <c r="S3" s="11"/>
      <c r="T3" s="11"/>
      <c r="U3" s="11"/>
      <c r="V3" s="11"/>
      <c r="X3" s="45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7" t="s">
        <v>42</v>
      </c>
      <c r="D7" s="60" t="s">
        <v>43</v>
      </c>
      <c r="E7" s="60" t="s">
        <v>44</v>
      </c>
      <c r="F7" s="60" t="s">
        <v>45</v>
      </c>
      <c r="G7" s="102" t="s">
        <v>46</v>
      </c>
      <c r="H7" s="16"/>
      <c r="I7" s="19" t="s">
        <v>11</v>
      </c>
      <c r="J7" s="19" t="s">
        <v>47</v>
      </c>
      <c r="L7" s="19" t="s">
        <v>48</v>
      </c>
      <c r="M7" s="20"/>
      <c r="N7" s="20"/>
      <c r="O7" s="20"/>
      <c r="P7" s="20"/>
      <c r="R7" s="19" t="s">
        <v>49</v>
      </c>
      <c r="S7" s="20"/>
      <c r="T7" s="20"/>
      <c r="U7" s="20"/>
      <c r="V7" s="20"/>
    </row>
    <row r="8" spans="1:27" ht="12.75" customHeight="1" x14ac:dyDescent="0.2">
      <c r="A8" s="4"/>
      <c r="B8" s="4"/>
      <c r="C8" s="93"/>
      <c r="D8" s="93" t="s">
        <v>50</v>
      </c>
      <c r="E8" s="93"/>
      <c r="F8" s="93"/>
      <c r="G8" s="93" t="s">
        <v>51</v>
      </c>
      <c r="H8" s="16"/>
      <c r="I8" s="101" t="s">
        <v>52</v>
      </c>
      <c r="J8" s="93"/>
      <c r="L8" s="48" t="s">
        <v>6</v>
      </c>
      <c r="M8" s="48" t="s">
        <v>7</v>
      </c>
      <c r="N8" s="48" t="s">
        <v>8</v>
      </c>
      <c r="O8" s="48" t="s">
        <v>9</v>
      </c>
      <c r="P8" s="48" t="s">
        <v>10</v>
      </c>
      <c r="R8" s="48" t="s">
        <v>6</v>
      </c>
      <c r="S8" s="48" t="s">
        <v>7</v>
      </c>
      <c r="T8" s="48" t="s">
        <v>8</v>
      </c>
      <c r="U8" s="48" t="s">
        <v>9</v>
      </c>
      <c r="V8" s="48" t="s">
        <v>10</v>
      </c>
    </row>
    <row r="9" spans="1:27" ht="12.75" customHeight="1" x14ac:dyDescent="0.2">
      <c r="H9" s="16"/>
    </row>
    <row r="10" spans="1:27" x14ac:dyDescent="0.2">
      <c r="A10" s="4"/>
      <c r="C10" s="76" t="s">
        <v>75</v>
      </c>
      <c r="D10" s="77" t="s">
        <v>53</v>
      </c>
      <c r="E10" s="77" t="s">
        <v>12</v>
      </c>
      <c r="F10" s="77"/>
      <c r="G10" s="75" t="s">
        <v>1</v>
      </c>
      <c r="H10" s="2"/>
      <c r="I10" s="59" t="str">
        <f>IF(AND($E10="Labour",$F10="IT Labour"),Assumptions!$B$14,
IF(AND($E10="Labour",$F10="IT Specialist"),Assumptions!$B$16,""))</f>
        <v/>
      </c>
      <c r="J10" s="9" t="str">
        <f>IF($E10="Labour","Hours","$")</f>
        <v>$</v>
      </c>
      <c r="K10" s="2"/>
      <c r="L10" s="78">
        <v>2195524.112248369</v>
      </c>
      <c r="M10" s="78">
        <v>0</v>
      </c>
      <c r="N10" s="78">
        <v>0</v>
      </c>
      <c r="O10" s="78">
        <v>0</v>
      </c>
      <c r="P10" s="78">
        <v>0</v>
      </c>
      <c r="Q10" s="2"/>
      <c r="R10" s="5">
        <f t="shared" ref="R10:R41" si="0">IF($E10="Labour",$I10*L10,L10)</f>
        <v>2195524.112248369</v>
      </c>
      <c r="S10" s="5">
        <f t="shared" ref="S10:S41" si="1">IF($E10="Labour",$I10*M10,M10)</f>
        <v>0</v>
      </c>
      <c r="T10" s="5">
        <f t="shared" ref="T10:T41" si="2">IF($E10="Labour",$I10*N10,N10)</f>
        <v>0</v>
      </c>
      <c r="U10" s="5">
        <f t="shared" ref="U10:U41" si="3">IF($E10="Labour",$I10*O10,O10)</f>
        <v>0</v>
      </c>
      <c r="V10" s="5">
        <f t="shared" ref="V10:V41" si="4">IF($E10="Labour",$I10*P10,P10)</f>
        <v>0</v>
      </c>
    </row>
    <row r="11" spans="1:27" ht="12.75" customHeight="1" x14ac:dyDescent="0.2">
      <c r="A11" s="4"/>
      <c r="C11" s="76" t="s">
        <v>75</v>
      </c>
      <c r="D11" s="77" t="s">
        <v>53</v>
      </c>
      <c r="E11" s="77" t="s">
        <v>11</v>
      </c>
      <c r="F11" s="77" t="s">
        <v>40</v>
      </c>
      <c r="G11" s="75" t="s">
        <v>1</v>
      </c>
      <c r="H11" s="2"/>
      <c r="I11" s="59">
        <f>IF(AND($E11="Labour",$F11="IT Labour"),Assumptions!$B$14,
IF(AND($E11="Labour",$F11="IT Specialist"),Assumptions!$B$16,""))</f>
        <v>145.77740895836223</v>
      </c>
      <c r="J11" s="9" t="str">
        <f t="shared" ref="J11:J70" si="5">IF($E11="Labour","Hours","$")</f>
        <v>Hours</v>
      </c>
      <c r="K11" s="2"/>
      <c r="L11" s="78">
        <v>4518.2394060978277</v>
      </c>
      <c r="M11" s="78">
        <v>0</v>
      </c>
      <c r="N11" s="78">
        <v>0</v>
      </c>
      <c r="O11" s="78">
        <v>0</v>
      </c>
      <c r="P11" s="78">
        <v>0</v>
      </c>
      <c r="Q11" s="2"/>
      <c r="R11" s="5">
        <f t="shared" si="0"/>
        <v>658657.23367451073</v>
      </c>
      <c r="S11" s="5">
        <f t="shared" si="1"/>
        <v>0</v>
      </c>
      <c r="T11" s="5">
        <f t="shared" si="2"/>
        <v>0</v>
      </c>
      <c r="U11" s="5">
        <f t="shared" si="3"/>
        <v>0</v>
      </c>
      <c r="V11" s="5">
        <f t="shared" si="4"/>
        <v>0</v>
      </c>
    </row>
    <row r="12" spans="1:27" ht="12.75" customHeight="1" x14ac:dyDescent="0.2">
      <c r="A12" s="4"/>
      <c r="C12" s="76" t="s">
        <v>76</v>
      </c>
      <c r="D12" s="77" t="s">
        <v>53</v>
      </c>
      <c r="E12" s="77" t="s">
        <v>12</v>
      </c>
      <c r="F12" s="77"/>
      <c r="G12" s="75" t="s">
        <v>1</v>
      </c>
      <c r="H12" s="2"/>
      <c r="I12" s="59" t="str">
        <f>IF(AND($E12="Labour",$F12="IT Labour"),Assumptions!$B$14,
IF(AND($E12="Labour",$F12="IT Specialist"),Assumptions!$B$16,""))</f>
        <v/>
      </c>
      <c r="J12" s="9" t="str">
        <f t="shared" si="5"/>
        <v>$</v>
      </c>
      <c r="K12" s="2"/>
      <c r="L12" s="78">
        <v>656075.54</v>
      </c>
      <c r="M12" s="78">
        <v>531075.54</v>
      </c>
      <c r="N12" s="78">
        <v>531075.54</v>
      </c>
      <c r="O12" s="78">
        <v>531075.54</v>
      </c>
      <c r="P12" s="78">
        <v>531075.54</v>
      </c>
      <c r="Q12" s="2"/>
      <c r="R12" s="5">
        <f t="shared" si="0"/>
        <v>656075.54</v>
      </c>
      <c r="S12" s="5">
        <f t="shared" si="1"/>
        <v>531075.54</v>
      </c>
      <c r="T12" s="5">
        <f t="shared" si="2"/>
        <v>531075.54</v>
      </c>
      <c r="U12" s="5">
        <f t="shared" si="3"/>
        <v>531075.54</v>
      </c>
      <c r="V12" s="5">
        <f t="shared" si="4"/>
        <v>531075.54</v>
      </c>
    </row>
    <row r="13" spans="1:27" ht="12.75" customHeight="1" x14ac:dyDescent="0.25">
      <c r="A13" s="4"/>
      <c r="C13" s="76" t="s">
        <v>76</v>
      </c>
      <c r="D13" s="77" t="s">
        <v>53</v>
      </c>
      <c r="E13" s="77" t="s">
        <v>11</v>
      </c>
      <c r="F13" s="77" t="s">
        <v>40</v>
      </c>
      <c r="G13" s="75" t="s">
        <v>1</v>
      </c>
      <c r="H13" s="2"/>
      <c r="I13" s="59">
        <f>IF(AND($E13="Labour",$F13="IT Labour"),Assumptions!$B$14,
IF(AND($E13="Labour",$F13="IT Specialist"),Assumptions!$B$16,""))</f>
        <v>145.77740895836223</v>
      </c>
      <c r="J13" s="9" t="str">
        <f t="shared" si="5"/>
        <v>Hours</v>
      </c>
      <c r="K13" s="2"/>
      <c r="L13" s="78">
        <v>1350.158871709797</v>
      </c>
      <c r="M13" s="78">
        <v>1092.9173672273641</v>
      </c>
      <c r="N13" s="78">
        <v>17133.354291176405</v>
      </c>
      <c r="O13" s="78">
        <v>1092.9173672273641</v>
      </c>
      <c r="P13" s="78">
        <v>1092.9173672273641</v>
      </c>
      <c r="Q13" s="2"/>
      <c r="R13" s="5">
        <f t="shared" si="0"/>
        <v>196822.66200000001</v>
      </c>
      <c r="S13" s="5">
        <f t="shared" si="1"/>
        <v>159322.66200000001</v>
      </c>
      <c r="T13" s="5">
        <f t="shared" si="2"/>
        <v>2497655.995333333</v>
      </c>
      <c r="U13" s="5">
        <f t="shared" si="3"/>
        <v>159322.66200000001</v>
      </c>
      <c r="V13" s="5">
        <f t="shared" si="4"/>
        <v>159322.66200000001</v>
      </c>
      <c r="AA13"/>
    </row>
    <row r="14" spans="1:27" ht="12.75" customHeight="1" x14ac:dyDescent="0.25">
      <c r="A14" s="4"/>
      <c r="C14" s="76" t="s">
        <v>77</v>
      </c>
      <c r="D14" s="77" t="s">
        <v>53</v>
      </c>
      <c r="E14" s="77" t="s">
        <v>12</v>
      </c>
      <c r="F14" s="77"/>
      <c r="G14" s="75" t="s">
        <v>1</v>
      </c>
      <c r="H14" s="2"/>
      <c r="I14" s="59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8">
        <v>373000</v>
      </c>
      <c r="M14" s="78">
        <v>1014000</v>
      </c>
      <c r="N14" s="78">
        <v>1014000</v>
      </c>
      <c r="O14" s="78">
        <v>1014000</v>
      </c>
      <c r="P14" s="78">
        <v>1014000</v>
      </c>
      <c r="Q14" s="2"/>
      <c r="R14" s="5">
        <f t="shared" si="0"/>
        <v>373000</v>
      </c>
      <c r="S14" s="5">
        <f t="shared" si="1"/>
        <v>1014000</v>
      </c>
      <c r="T14" s="5">
        <f t="shared" si="2"/>
        <v>1014000</v>
      </c>
      <c r="U14" s="5">
        <f t="shared" si="3"/>
        <v>1014000</v>
      </c>
      <c r="V14" s="5">
        <f t="shared" si="4"/>
        <v>1014000</v>
      </c>
      <c r="AA14"/>
    </row>
    <row r="15" spans="1:27" ht="12.75" customHeight="1" x14ac:dyDescent="0.25">
      <c r="A15" s="4"/>
      <c r="C15" s="76" t="s">
        <v>77</v>
      </c>
      <c r="D15" s="77" t="s">
        <v>53</v>
      </c>
      <c r="E15" s="77" t="s">
        <v>11</v>
      </c>
      <c r="F15" s="77" t="s">
        <v>40</v>
      </c>
      <c r="G15" s="75" t="s">
        <v>1</v>
      </c>
      <c r="H15" s="2"/>
      <c r="I15" s="59">
        <f>IF(AND($E15="Labour",$F15="IT Labour"),Assumptions!$B$14,
IF(AND($E15="Labour",$F15="IT Specialist"),Assumptions!$B$16,""))</f>
        <v>145.77740895836223</v>
      </c>
      <c r="J15" s="9" t="str">
        <f t="shared" si="5"/>
        <v>Hours</v>
      </c>
      <c r="K15" s="2"/>
      <c r="L15" s="78">
        <v>8112.342386360061</v>
      </c>
      <c r="M15" s="78">
        <v>9431.4768213459774</v>
      </c>
      <c r="N15" s="78">
        <v>2086.7430843614961</v>
      </c>
      <c r="O15" s="78">
        <v>2086.7430843614961</v>
      </c>
      <c r="P15" s="78">
        <v>2086.7430843614961</v>
      </c>
      <c r="Q15" s="2"/>
      <c r="R15" s="5">
        <f t="shared" si="0"/>
        <v>1182596.2536666668</v>
      </c>
      <c r="S15" s="5">
        <f t="shared" si="1"/>
        <v>1374896.2536666668</v>
      </c>
      <c r="T15" s="5">
        <f t="shared" si="2"/>
        <v>304200</v>
      </c>
      <c r="U15" s="5">
        <f t="shared" si="3"/>
        <v>304200</v>
      </c>
      <c r="V15" s="5">
        <f t="shared" si="4"/>
        <v>304200</v>
      </c>
      <c r="AA15"/>
    </row>
    <row r="16" spans="1:27" ht="12.75" customHeight="1" x14ac:dyDescent="0.25">
      <c r="A16" s="4"/>
      <c r="C16" s="76" t="s">
        <v>78</v>
      </c>
      <c r="D16" s="77" t="s">
        <v>53</v>
      </c>
      <c r="E16" s="77" t="s">
        <v>12</v>
      </c>
      <c r="F16" s="77"/>
      <c r="G16" s="75" t="s">
        <v>1</v>
      </c>
      <c r="H16" s="2"/>
      <c r="I16" s="59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8">
        <v>1938444.8381109908</v>
      </c>
      <c r="M16" s="78">
        <v>0</v>
      </c>
      <c r="N16" s="78">
        <v>0</v>
      </c>
      <c r="O16" s="78">
        <v>0</v>
      </c>
      <c r="P16" s="78">
        <v>0</v>
      </c>
      <c r="Q16" s="2"/>
      <c r="R16" s="5">
        <f t="shared" si="0"/>
        <v>1938444.8381109908</v>
      </c>
      <c r="S16" s="5">
        <f t="shared" si="1"/>
        <v>0</v>
      </c>
      <c r="T16" s="5">
        <f t="shared" si="2"/>
        <v>0</v>
      </c>
      <c r="U16" s="5">
        <f t="shared" si="3"/>
        <v>0</v>
      </c>
      <c r="V16" s="5">
        <f t="shared" si="4"/>
        <v>0</v>
      </c>
      <c r="AA16"/>
    </row>
    <row r="17" spans="1:27" ht="12.75" customHeight="1" x14ac:dyDescent="0.25">
      <c r="A17" s="4"/>
      <c r="C17" s="76" t="s">
        <v>78</v>
      </c>
      <c r="D17" s="77" t="s">
        <v>53</v>
      </c>
      <c r="E17" s="77" t="s">
        <v>11</v>
      </c>
      <c r="F17" s="77" t="s">
        <v>40</v>
      </c>
      <c r="G17" s="75" t="s">
        <v>1</v>
      </c>
      <c r="H17" s="2"/>
      <c r="I17" s="59">
        <f>IF(AND($E17="Labour",$F17="IT Labour"),Assumptions!$B$14,
IF(AND($E17="Labour",$F17="IT Specialist"),Assumptions!$B$16,""))</f>
        <v>145.77740895836223</v>
      </c>
      <c r="J17" s="9" t="str">
        <f t="shared" si="5"/>
        <v>Hours</v>
      </c>
      <c r="K17" s="2"/>
      <c r="L17" s="78">
        <v>3989.1877320950198</v>
      </c>
      <c r="M17" s="78">
        <v>0</v>
      </c>
      <c r="N17" s="78">
        <v>0</v>
      </c>
      <c r="O17" s="78">
        <v>0</v>
      </c>
      <c r="P17" s="78">
        <v>0</v>
      </c>
      <c r="Q17" s="2"/>
      <c r="R17" s="5">
        <f t="shared" si="0"/>
        <v>581533.45143329725</v>
      </c>
      <c r="S17" s="5">
        <f t="shared" si="1"/>
        <v>0</v>
      </c>
      <c r="T17" s="5">
        <f t="shared" si="2"/>
        <v>0</v>
      </c>
      <c r="U17" s="5">
        <f t="shared" si="3"/>
        <v>0</v>
      </c>
      <c r="V17" s="5">
        <f t="shared" si="4"/>
        <v>0</v>
      </c>
      <c r="AA17"/>
    </row>
    <row r="18" spans="1:27" ht="12.75" customHeight="1" x14ac:dyDescent="0.25">
      <c r="A18" s="4"/>
      <c r="C18" s="76"/>
      <c r="D18" s="77"/>
      <c r="E18" s="77"/>
      <c r="F18" s="77"/>
      <c r="G18" s="75"/>
      <c r="H18" s="2"/>
      <c r="I18" s="59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8"/>
      <c r="M18" s="78"/>
      <c r="N18" s="78"/>
      <c r="O18" s="78"/>
      <c r="P18" s="78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25">
      <c r="A19" s="4"/>
      <c r="C19" s="76"/>
      <c r="D19" s="77"/>
      <c r="E19" s="77"/>
      <c r="F19" s="77"/>
      <c r="G19" s="75"/>
      <c r="H19" s="2"/>
      <c r="I19" s="59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8"/>
      <c r="M19" s="78"/>
      <c r="N19" s="78"/>
      <c r="O19" s="78"/>
      <c r="P19" s="78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25">
      <c r="A20" s="4"/>
      <c r="C20" s="76"/>
      <c r="D20" s="77"/>
      <c r="E20" s="77"/>
      <c r="F20" s="77"/>
      <c r="G20" s="75"/>
      <c r="H20" s="2"/>
      <c r="I20" s="59" t="str">
        <f>IF(AND($E20="Labour",$F20="IT Labour"),Assumptions!$B$14,
IF(AND($E20="Labour",$F20="IT Specialist"),Assumptions!$B$16,""))</f>
        <v/>
      </c>
      <c r="J20" s="9" t="str">
        <f t="shared" si="5"/>
        <v>$</v>
      </c>
      <c r="K20" s="2"/>
      <c r="L20" s="78"/>
      <c r="M20" s="78"/>
      <c r="N20" s="78"/>
      <c r="O20" s="78"/>
      <c r="P20" s="78"/>
      <c r="Q20" s="2"/>
      <c r="R20" s="5">
        <f t="shared" si="0"/>
        <v>0</v>
      </c>
      <c r="S20" s="5">
        <f t="shared" si="1"/>
        <v>0</v>
      </c>
      <c r="T20" s="5">
        <f t="shared" si="2"/>
        <v>0</v>
      </c>
      <c r="U20" s="5">
        <f t="shared" si="3"/>
        <v>0</v>
      </c>
      <c r="V20" s="5">
        <f t="shared" si="4"/>
        <v>0</v>
      </c>
      <c r="AA20"/>
    </row>
    <row r="21" spans="1:27" ht="12.75" customHeight="1" x14ac:dyDescent="0.25">
      <c r="A21" s="4"/>
      <c r="C21" s="76"/>
      <c r="D21" s="77"/>
      <c r="E21" s="77"/>
      <c r="F21" s="77"/>
      <c r="G21" s="75"/>
      <c r="H21" s="2"/>
      <c r="I21" s="59" t="str">
        <f>IF(AND($E21="Labour",$F21="IT Labour"),Assumptions!$B$14,
IF(AND($E21="Labour",$F21="IT Specialist"),Assumptions!$B$16,""))</f>
        <v/>
      </c>
      <c r="J21" s="9" t="str">
        <f t="shared" si="5"/>
        <v>$</v>
      </c>
      <c r="K21" s="2"/>
      <c r="L21" s="78"/>
      <c r="M21" s="78"/>
      <c r="N21" s="78"/>
      <c r="O21" s="78"/>
      <c r="P21" s="78"/>
      <c r="Q21" s="2"/>
      <c r="R21" s="5">
        <f t="shared" si="0"/>
        <v>0</v>
      </c>
      <c r="S21" s="5">
        <f t="shared" si="1"/>
        <v>0</v>
      </c>
      <c r="T21" s="5">
        <f t="shared" si="2"/>
        <v>0</v>
      </c>
      <c r="U21" s="5">
        <f t="shared" si="3"/>
        <v>0</v>
      </c>
      <c r="V21" s="5">
        <f t="shared" si="4"/>
        <v>0</v>
      </c>
      <c r="AA21"/>
    </row>
    <row r="22" spans="1:27" ht="12.75" customHeight="1" x14ac:dyDescent="0.25">
      <c r="A22" s="4"/>
      <c r="C22" s="76"/>
      <c r="D22" s="77"/>
      <c r="E22" s="77"/>
      <c r="F22" s="77"/>
      <c r="G22" s="75"/>
      <c r="H22" s="2"/>
      <c r="I22" s="59" t="str">
        <f>IF(AND($E22="Labour",$F22="IT Labour"),Assumptions!$B$14,
IF(AND($E22="Labour",$F22="IT Specialist"),Assumptions!$B$16,""))</f>
        <v/>
      </c>
      <c r="J22" s="9" t="str">
        <f t="shared" si="5"/>
        <v>$</v>
      </c>
      <c r="K22" s="2"/>
      <c r="L22" s="78"/>
      <c r="M22" s="78"/>
      <c r="N22" s="78"/>
      <c r="O22" s="78"/>
      <c r="P22" s="78"/>
      <c r="Q22" s="2"/>
      <c r="R22" s="5">
        <f t="shared" si="0"/>
        <v>0</v>
      </c>
      <c r="S22" s="5">
        <f t="shared" si="1"/>
        <v>0</v>
      </c>
      <c r="T22" s="5">
        <f t="shared" si="2"/>
        <v>0</v>
      </c>
      <c r="U22" s="5">
        <f t="shared" si="3"/>
        <v>0</v>
      </c>
      <c r="V22" s="5">
        <f t="shared" si="4"/>
        <v>0</v>
      </c>
      <c r="AA22"/>
    </row>
    <row r="23" spans="1:27" ht="12.75" customHeight="1" x14ac:dyDescent="0.25">
      <c r="A23" s="4"/>
      <c r="C23" s="76"/>
      <c r="D23" s="77"/>
      <c r="E23" s="77"/>
      <c r="F23" s="77"/>
      <c r="G23" s="75"/>
      <c r="H23" s="2"/>
      <c r="I23" s="59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8"/>
      <c r="M23" s="78"/>
      <c r="N23" s="78"/>
      <c r="O23" s="78"/>
      <c r="P23" s="78"/>
      <c r="Q23" s="2"/>
      <c r="R23" s="5">
        <f t="shared" si="0"/>
        <v>0</v>
      </c>
      <c r="S23" s="5">
        <f t="shared" si="1"/>
        <v>0</v>
      </c>
      <c r="T23" s="5">
        <f t="shared" si="2"/>
        <v>0</v>
      </c>
      <c r="U23" s="5">
        <f t="shared" si="3"/>
        <v>0</v>
      </c>
      <c r="V23" s="5">
        <f t="shared" si="4"/>
        <v>0</v>
      </c>
      <c r="AA23"/>
    </row>
    <row r="24" spans="1:27" ht="12.75" customHeight="1" x14ac:dyDescent="0.25">
      <c r="A24" s="4"/>
      <c r="C24" s="76"/>
      <c r="D24" s="77"/>
      <c r="E24" s="77"/>
      <c r="F24" s="77"/>
      <c r="G24" s="75"/>
      <c r="H24" s="2"/>
      <c r="I24" s="59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8"/>
      <c r="M24" s="78"/>
      <c r="N24" s="78"/>
      <c r="O24" s="78"/>
      <c r="P24" s="78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76"/>
      <c r="D25" s="77"/>
      <c r="E25" s="77"/>
      <c r="F25" s="77"/>
      <c r="G25" s="75"/>
      <c r="H25" s="2"/>
      <c r="I25" s="59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8"/>
      <c r="M25" s="78"/>
      <c r="N25" s="78"/>
      <c r="O25" s="78"/>
      <c r="P25" s="78"/>
      <c r="Q25" s="2"/>
      <c r="R25" s="5">
        <f t="shared" si="0"/>
        <v>0</v>
      </c>
      <c r="S25" s="5">
        <f t="shared" si="1"/>
        <v>0</v>
      </c>
      <c r="T25" s="5">
        <f t="shared" si="2"/>
        <v>0</v>
      </c>
      <c r="U25" s="5">
        <f t="shared" si="3"/>
        <v>0</v>
      </c>
      <c r="V25" s="5">
        <f t="shared" si="4"/>
        <v>0</v>
      </c>
      <c r="AA25"/>
    </row>
    <row r="26" spans="1:27" ht="12.75" customHeight="1" x14ac:dyDescent="0.25">
      <c r="A26" s="4"/>
      <c r="C26" s="76"/>
      <c r="D26" s="77"/>
      <c r="E26" s="77"/>
      <c r="F26" s="77"/>
      <c r="G26" s="75"/>
      <c r="H26" s="2"/>
      <c r="I26" s="59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8"/>
      <c r="M26" s="78"/>
      <c r="N26" s="78"/>
      <c r="O26" s="78"/>
      <c r="P26" s="78"/>
      <c r="Q26" s="2"/>
      <c r="R26" s="5">
        <f t="shared" si="0"/>
        <v>0</v>
      </c>
      <c r="S26" s="5">
        <f t="shared" si="1"/>
        <v>0</v>
      </c>
      <c r="T26" s="5">
        <f t="shared" si="2"/>
        <v>0</v>
      </c>
      <c r="U26" s="5">
        <f t="shared" si="3"/>
        <v>0</v>
      </c>
      <c r="V26" s="5">
        <f t="shared" si="4"/>
        <v>0</v>
      </c>
      <c r="AA26"/>
    </row>
    <row r="27" spans="1:27" ht="12.75" customHeight="1" x14ac:dyDescent="0.25">
      <c r="A27" s="4"/>
      <c r="C27" s="76"/>
      <c r="D27" s="77"/>
      <c r="E27" s="77"/>
      <c r="F27" s="77"/>
      <c r="G27" s="75"/>
      <c r="H27" s="2"/>
      <c r="I27" s="59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8"/>
      <c r="M27" s="78"/>
      <c r="N27" s="78"/>
      <c r="O27" s="78"/>
      <c r="P27" s="78"/>
      <c r="Q27" s="2"/>
      <c r="R27" s="5">
        <f t="shared" si="0"/>
        <v>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0</v>
      </c>
      <c r="AA27"/>
    </row>
    <row r="28" spans="1:27" ht="12.75" customHeight="1" x14ac:dyDescent="0.25">
      <c r="A28" s="4"/>
      <c r="C28" s="76"/>
      <c r="D28" s="77"/>
      <c r="E28" s="77"/>
      <c r="F28" s="77"/>
      <c r="G28" s="75"/>
      <c r="H28" s="2"/>
      <c r="I28" s="59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8"/>
      <c r="M28" s="78"/>
      <c r="N28" s="78"/>
      <c r="O28" s="78"/>
      <c r="P28" s="78"/>
      <c r="Q28" s="2"/>
      <c r="R28" s="5">
        <f t="shared" si="0"/>
        <v>0</v>
      </c>
      <c r="S28" s="5">
        <f t="shared" si="1"/>
        <v>0</v>
      </c>
      <c r="T28" s="5">
        <f t="shared" si="2"/>
        <v>0</v>
      </c>
      <c r="U28" s="5">
        <f t="shared" si="3"/>
        <v>0</v>
      </c>
      <c r="V28" s="5">
        <f t="shared" si="4"/>
        <v>0</v>
      </c>
      <c r="AA28"/>
    </row>
    <row r="29" spans="1:27" ht="12.75" customHeight="1" x14ac:dyDescent="0.25">
      <c r="A29" s="4"/>
      <c r="C29" s="76"/>
      <c r="D29" s="77"/>
      <c r="E29" s="77"/>
      <c r="F29" s="77"/>
      <c r="G29" s="75"/>
      <c r="H29" s="2"/>
      <c r="I29" s="59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8"/>
      <c r="M29" s="78"/>
      <c r="N29" s="78"/>
      <c r="O29" s="78"/>
      <c r="P29" s="78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25">
      <c r="A30" s="4"/>
      <c r="C30" s="76"/>
      <c r="D30" s="77"/>
      <c r="E30" s="77"/>
      <c r="F30" s="77"/>
      <c r="G30" s="75"/>
      <c r="H30" s="2"/>
      <c r="I30" s="59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8"/>
      <c r="M30" s="78"/>
      <c r="N30" s="78"/>
      <c r="O30" s="78"/>
      <c r="P30" s="78"/>
      <c r="Q30" s="2"/>
      <c r="R30" s="5">
        <f t="shared" si="0"/>
        <v>0</v>
      </c>
      <c r="S30" s="5">
        <f t="shared" si="1"/>
        <v>0</v>
      </c>
      <c r="T30" s="5">
        <f t="shared" si="2"/>
        <v>0</v>
      </c>
      <c r="U30" s="5">
        <f t="shared" si="3"/>
        <v>0</v>
      </c>
      <c r="V30" s="5">
        <f t="shared" si="4"/>
        <v>0</v>
      </c>
      <c r="AA30"/>
    </row>
    <row r="31" spans="1:27" ht="12.75" customHeight="1" x14ac:dyDescent="0.25">
      <c r="A31" s="4"/>
      <c r="C31" s="76"/>
      <c r="D31" s="77"/>
      <c r="E31" s="77"/>
      <c r="F31" s="77"/>
      <c r="G31" s="75"/>
      <c r="H31" s="2"/>
      <c r="I31" s="59" t="str">
        <f>IF(AND($E31="Labour",$F31="IT Labour"),Assumptions!$B$14,
IF(AND($E31="Labour",$F31="IT Specialist"),Assumptions!$B$16,""))</f>
        <v/>
      </c>
      <c r="J31" s="9" t="str">
        <f t="shared" si="5"/>
        <v>$</v>
      </c>
      <c r="K31" s="2"/>
      <c r="L31" s="78"/>
      <c r="M31" s="78"/>
      <c r="N31" s="78"/>
      <c r="O31" s="78"/>
      <c r="P31" s="78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76"/>
      <c r="D32" s="77"/>
      <c r="E32" s="77"/>
      <c r="F32" s="77"/>
      <c r="G32" s="75"/>
      <c r="H32" s="2"/>
      <c r="I32" s="59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8"/>
      <c r="M32" s="78"/>
      <c r="N32" s="78"/>
      <c r="O32" s="78"/>
      <c r="P32" s="78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6"/>
      <c r="D33" s="77"/>
      <c r="E33" s="77"/>
      <c r="F33" s="77"/>
      <c r="G33" s="75"/>
      <c r="H33" s="2"/>
      <c r="I33" s="59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8"/>
      <c r="M33" s="78"/>
      <c r="N33" s="78"/>
      <c r="O33" s="78"/>
      <c r="P33" s="78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76"/>
      <c r="D34" s="77"/>
      <c r="E34" s="77"/>
      <c r="F34" s="77"/>
      <c r="G34" s="75"/>
      <c r="H34" s="2"/>
      <c r="I34" s="59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8"/>
      <c r="M34" s="78"/>
      <c r="N34" s="78"/>
      <c r="O34" s="78"/>
      <c r="P34" s="78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6"/>
      <c r="D35" s="77"/>
      <c r="E35" s="77"/>
      <c r="F35" s="77"/>
      <c r="G35" s="75"/>
      <c r="H35" s="2"/>
      <c r="I35" s="59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8"/>
      <c r="M35" s="78"/>
      <c r="N35" s="78"/>
      <c r="O35" s="78"/>
      <c r="P35" s="78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25">
      <c r="A36" s="4"/>
      <c r="C36" s="76"/>
      <c r="D36" s="77"/>
      <c r="E36" s="77"/>
      <c r="F36" s="77"/>
      <c r="G36" s="75"/>
      <c r="H36" s="2"/>
      <c r="I36" s="59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8"/>
      <c r="M36" s="78"/>
      <c r="N36" s="78"/>
      <c r="O36" s="78"/>
      <c r="P36" s="78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6"/>
      <c r="D37" s="77"/>
      <c r="E37" s="77"/>
      <c r="F37" s="77"/>
      <c r="G37" s="75"/>
      <c r="H37" s="2"/>
      <c r="I37" s="59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8"/>
      <c r="M37" s="78"/>
      <c r="N37" s="78"/>
      <c r="O37" s="78"/>
      <c r="P37" s="78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76"/>
      <c r="D38" s="77"/>
      <c r="E38" s="77"/>
      <c r="F38" s="77"/>
      <c r="G38" s="75"/>
      <c r="H38" s="2"/>
      <c r="I38" s="59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8"/>
      <c r="M38" s="78"/>
      <c r="N38" s="78"/>
      <c r="O38" s="78"/>
      <c r="P38" s="78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6"/>
      <c r="D39" s="77"/>
      <c r="E39" s="77"/>
      <c r="F39" s="77"/>
      <c r="G39" s="75"/>
      <c r="H39" s="2"/>
      <c r="I39" s="59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8"/>
      <c r="M39" s="78"/>
      <c r="N39" s="78"/>
      <c r="O39" s="78"/>
      <c r="P39" s="78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6"/>
      <c r="D40" s="77"/>
      <c r="E40" s="77"/>
      <c r="F40" s="77"/>
      <c r="G40" s="75"/>
      <c r="H40" s="2"/>
      <c r="I40" s="59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8"/>
      <c r="M40" s="78"/>
      <c r="N40" s="78"/>
      <c r="O40" s="78"/>
      <c r="P40" s="78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6"/>
      <c r="D41" s="77"/>
      <c r="E41" s="77"/>
      <c r="F41" s="77"/>
      <c r="G41" s="75"/>
      <c r="H41" s="2"/>
      <c r="I41" s="59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8"/>
      <c r="M41" s="78"/>
      <c r="N41" s="78"/>
      <c r="O41" s="78"/>
      <c r="P41" s="78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6"/>
      <c r="D42" s="77"/>
      <c r="E42" s="77"/>
      <c r="F42" s="77"/>
      <c r="G42" s="75"/>
      <c r="H42" s="2"/>
      <c r="I42" s="59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8"/>
      <c r="M42" s="78"/>
      <c r="N42" s="78"/>
      <c r="O42" s="78"/>
      <c r="P42" s="78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6"/>
      <c r="D43" s="77"/>
      <c r="E43" s="77"/>
      <c r="F43" s="77"/>
      <c r="G43" s="75"/>
      <c r="H43" s="2"/>
      <c r="I43" s="59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8"/>
      <c r="M43" s="78"/>
      <c r="N43" s="78"/>
      <c r="O43" s="78"/>
      <c r="P43" s="78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6"/>
      <c r="D44" s="77"/>
      <c r="E44" s="77"/>
      <c r="F44" s="77"/>
      <c r="G44" s="75"/>
      <c r="H44" s="2"/>
      <c r="I44" s="59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8"/>
      <c r="M44" s="78"/>
      <c r="N44" s="78"/>
      <c r="O44" s="78"/>
      <c r="P44" s="78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6"/>
      <c r="D45" s="77"/>
      <c r="E45" s="77"/>
      <c r="F45" s="77"/>
      <c r="G45" s="75"/>
      <c r="H45" s="2"/>
      <c r="I45" s="59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8"/>
      <c r="M45" s="78"/>
      <c r="N45" s="78"/>
      <c r="O45" s="78"/>
      <c r="P45" s="78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6"/>
      <c r="D46" s="77"/>
      <c r="E46" s="77"/>
      <c r="F46" s="77"/>
      <c r="G46" s="75"/>
      <c r="H46" s="2"/>
      <c r="I46" s="59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8"/>
      <c r="M46" s="78"/>
      <c r="N46" s="78"/>
      <c r="O46" s="78"/>
      <c r="P46" s="78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6"/>
      <c r="D47" s="77"/>
      <c r="E47" s="77"/>
      <c r="F47" s="77"/>
      <c r="G47" s="75"/>
      <c r="H47" s="2"/>
      <c r="I47" s="59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8"/>
      <c r="M47" s="78"/>
      <c r="N47" s="78"/>
      <c r="O47" s="78"/>
      <c r="P47" s="78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6"/>
      <c r="D48" s="77"/>
      <c r="E48" s="77"/>
      <c r="F48" s="77"/>
      <c r="G48" s="75"/>
      <c r="H48" s="2"/>
      <c r="I48" s="59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8"/>
      <c r="M48" s="78"/>
      <c r="N48" s="78"/>
      <c r="O48" s="78"/>
      <c r="P48" s="78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6"/>
      <c r="D49" s="77"/>
      <c r="E49" s="77"/>
      <c r="F49" s="77"/>
      <c r="G49" s="75"/>
      <c r="H49" s="2"/>
      <c r="I49" s="59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8"/>
      <c r="M49" s="78"/>
      <c r="N49" s="78"/>
      <c r="O49" s="78"/>
      <c r="P49" s="78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6"/>
      <c r="D50" s="77"/>
      <c r="E50" s="77"/>
      <c r="F50" s="77"/>
      <c r="G50" s="75"/>
      <c r="H50" s="2"/>
      <c r="I50" s="59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8"/>
      <c r="M50" s="78"/>
      <c r="N50" s="78"/>
      <c r="O50" s="78"/>
      <c r="P50" s="78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6"/>
      <c r="D51" s="77"/>
      <c r="E51" s="77"/>
      <c r="F51" s="77"/>
      <c r="G51" s="75"/>
      <c r="H51" s="2"/>
      <c r="I51" s="59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8"/>
      <c r="M51" s="78"/>
      <c r="N51" s="78"/>
      <c r="O51" s="78"/>
      <c r="P51" s="78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6"/>
      <c r="D52" s="77"/>
      <c r="E52" s="77"/>
      <c r="F52" s="77"/>
      <c r="G52" s="75"/>
      <c r="H52" s="2"/>
      <c r="I52" s="59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8"/>
      <c r="M52" s="78"/>
      <c r="N52" s="78"/>
      <c r="O52" s="78"/>
      <c r="P52" s="78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6"/>
      <c r="D53" s="77"/>
      <c r="E53" s="77"/>
      <c r="F53" s="77"/>
      <c r="G53" s="75"/>
      <c r="H53" s="2"/>
      <c r="I53" s="59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8"/>
      <c r="M53" s="78"/>
      <c r="N53" s="78"/>
      <c r="O53" s="78"/>
      <c r="P53" s="78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6"/>
      <c r="D54" s="77"/>
      <c r="E54" s="77"/>
      <c r="F54" s="77"/>
      <c r="G54" s="75"/>
      <c r="H54" s="2"/>
      <c r="I54" s="59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8"/>
      <c r="M54" s="78"/>
      <c r="N54" s="78"/>
      <c r="O54" s="78"/>
      <c r="P54" s="78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6"/>
      <c r="D55" s="77"/>
      <c r="E55" s="77"/>
      <c r="F55" s="77"/>
      <c r="G55" s="75"/>
      <c r="H55" s="2"/>
      <c r="I55" s="59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8"/>
      <c r="M55" s="78"/>
      <c r="N55" s="78"/>
      <c r="O55" s="78"/>
      <c r="P55" s="78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6"/>
      <c r="D56" s="77"/>
      <c r="E56" s="77"/>
      <c r="F56" s="77"/>
      <c r="G56" s="75"/>
      <c r="H56" s="2"/>
      <c r="I56" s="59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8"/>
      <c r="M56" s="78"/>
      <c r="N56" s="78"/>
      <c r="O56" s="78"/>
      <c r="P56" s="78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6"/>
      <c r="D57" s="77"/>
      <c r="E57" s="77"/>
      <c r="F57" s="77"/>
      <c r="G57" s="75"/>
      <c r="H57" s="2"/>
      <c r="I57" s="59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8"/>
      <c r="M57" s="78"/>
      <c r="N57" s="78"/>
      <c r="O57" s="78"/>
      <c r="P57" s="78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6"/>
      <c r="D58" s="77"/>
      <c r="E58" s="77"/>
      <c r="F58" s="77"/>
      <c r="G58" s="75"/>
      <c r="H58" s="2"/>
      <c r="I58" s="59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8"/>
      <c r="M58" s="78"/>
      <c r="N58" s="78"/>
      <c r="O58" s="78"/>
      <c r="P58" s="78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6"/>
      <c r="D59" s="77"/>
      <c r="E59" s="77"/>
      <c r="F59" s="77"/>
      <c r="G59" s="75"/>
      <c r="H59" s="2"/>
      <c r="I59" s="59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8"/>
      <c r="M59" s="78"/>
      <c r="N59" s="78"/>
      <c r="O59" s="78"/>
      <c r="P59" s="78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6"/>
      <c r="D60" s="77"/>
      <c r="E60" s="77"/>
      <c r="F60" s="77"/>
      <c r="G60" s="75"/>
      <c r="H60" s="2"/>
      <c r="I60" s="59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8"/>
      <c r="M60" s="78"/>
      <c r="N60" s="78"/>
      <c r="O60" s="78"/>
      <c r="P60" s="78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6"/>
      <c r="D61" s="77"/>
      <c r="E61" s="77"/>
      <c r="F61" s="77"/>
      <c r="G61" s="75"/>
      <c r="H61" s="2"/>
      <c r="I61" s="59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8"/>
      <c r="M61" s="78"/>
      <c r="N61" s="78"/>
      <c r="O61" s="78"/>
      <c r="P61" s="78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6"/>
      <c r="D62" s="77"/>
      <c r="E62" s="77"/>
      <c r="F62" s="77"/>
      <c r="G62" s="75"/>
      <c r="H62" s="2"/>
      <c r="I62" s="59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8"/>
      <c r="M62" s="78"/>
      <c r="N62" s="78"/>
      <c r="O62" s="78"/>
      <c r="P62" s="78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6"/>
      <c r="D63" s="77"/>
      <c r="E63" s="77"/>
      <c r="F63" s="77"/>
      <c r="G63" s="75"/>
      <c r="H63" s="2"/>
      <c r="I63" s="59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8"/>
      <c r="M63" s="78"/>
      <c r="N63" s="78"/>
      <c r="O63" s="78"/>
      <c r="P63" s="78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6"/>
      <c r="D64" s="77"/>
      <c r="E64" s="77"/>
      <c r="F64" s="77"/>
      <c r="G64" s="75"/>
      <c r="I64" s="59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8"/>
      <c r="M64" s="78"/>
      <c r="N64" s="78"/>
      <c r="O64" s="78"/>
      <c r="P64" s="78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6"/>
      <c r="D65" s="77"/>
      <c r="E65" s="77"/>
      <c r="F65" s="77"/>
      <c r="G65" s="75"/>
      <c r="I65" s="59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8"/>
      <c r="M65" s="78"/>
      <c r="N65" s="78"/>
      <c r="O65" s="78"/>
      <c r="P65" s="78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6"/>
      <c r="D66" s="77"/>
      <c r="E66" s="77"/>
      <c r="F66" s="77"/>
      <c r="G66" s="75"/>
      <c r="I66" s="59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8"/>
      <c r="M66" s="78"/>
      <c r="N66" s="78"/>
      <c r="O66" s="78"/>
      <c r="P66" s="78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6"/>
      <c r="D67" s="77"/>
      <c r="E67" s="77"/>
      <c r="F67" s="77"/>
      <c r="G67" s="75"/>
      <c r="I67" s="59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8"/>
      <c r="M67" s="78"/>
      <c r="N67" s="78"/>
      <c r="O67" s="78"/>
      <c r="P67" s="78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6"/>
      <c r="D68" s="77"/>
      <c r="E68" s="77"/>
      <c r="F68" s="77"/>
      <c r="G68" s="75"/>
      <c r="I68" s="59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8"/>
      <c r="M68" s="78"/>
      <c r="N68" s="78"/>
      <c r="O68" s="78"/>
      <c r="P68" s="78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6"/>
      <c r="D69" s="77"/>
      <c r="E69" s="77"/>
      <c r="F69" s="77"/>
      <c r="G69" s="75"/>
      <c r="I69" s="59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8"/>
      <c r="M69" s="78"/>
      <c r="N69" s="78"/>
      <c r="O69" s="78"/>
      <c r="P69" s="78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6"/>
      <c r="D70" s="77"/>
      <c r="E70" s="77"/>
      <c r="F70" s="77"/>
      <c r="G70" s="75"/>
      <c r="I70" s="59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8"/>
      <c r="M70" s="78"/>
      <c r="N70" s="78"/>
      <c r="O70" s="78"/>
      <c r="P70" s="78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54</v>
      </c>
      <c r="H73" s="2"/>
      <c r="K73" s="2"/>
      <c r="Q73" s="2"/>
      <c r="R73" s="64" t="s">
        <v>6</v>
      </c>
      <c r="S73" s="64" t="s">
        <v>7</v>
      </c>
      <c r="T73" s="64" t="s">
        <v>8</v>
      </c>
      <c r="U73" s="64" t="s">
        <v>9</v>
      </c>
      <c r="V73" s="64" t="s">
        <v>10</v>
      </c>
      <c r="W73" s="64" t="s">
        <v>0</v>
      </c>
      <c r="AA73"/>
    </row>
    <row r="74" spans="1:27" ht="12.75" customHeight="1" x14ac:dyDescent="0.2">
      <c r="C74" s="24" t="s">
        <v>11</v>
      </c>
      <c r="D74" s="24" t="s">
        <v>53</v>
      </c>
      <c r="E74" s="24"/>
      <c r="F74" s="24"/>
      <c r="G74" s="24" t="s">
        <v>1</v>
      </c>
      <c r="H74" s="2"/>
      <c r="I74" s="61"/>
      <c r="J74" s="62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2619609.6007744749</v>
      </c>
      <c r="S74" s="25">
        <f t="shared" si="11"/>
        <v>1534218.9156666668</v>
      </c>
      <c r="T74" s="25">
        <f t="shared" si="11"/>
        <v>2801855.995333333</v>
      </c>
      <c r="U74" s="25">
        <f t="shared" si="11"/>
        <v>463522.66200000001</v>
      </c>
      <c r="V74" s="25">
        <f t="shared" si="11"/>
        <v>463522.66200000001</v>
      </c>
      <c r="W74" s="66">
        <f>SUM(R74:V74)</f>
        <v>7882729.8357744757</v>
      </c>
    </row>
    <row r="75" spans="1:27" ht="12.75" customHeight="1" x14ac:dyDescent="0.2">
      <c r="C75" s="1" t="s">
        <v>12</v>
      </c>
      <c r="D75" s="1" t="s">
        <v>53</v>
      </c>
      <c r="G75" s="1" t="s">
        <v>1</v>
      </c>
      <c r="H75" s="2"/>
      <c r="I75" s="63"/>
      <c r="K75" s="2"/>
      <c r="Q75" s="2"/>
      <c r="R75" s="6">
        <f t="shared" si="11"/>
        <v>5163044.4903593604</v>
      </c>
      <c r="S75" s="6">
        <f t="shared" si="11"/>
        <v>1545075.54</v>
      </c>
      <c r="T75" s="6">
        <f t="shared" si="11"/>
        <v>1545075.54</v>
      </c>
      <c r="U75" s="6">
        <f t="shared" si="11"/>
        <v>1545075.54</v>
      </c>
      <c r="V75" s="6">
        <f t="shared" si="11"/>
        <v>1545075.54</v>
      </c>
      <c r="W75" s="67">
        <f t="shared" ref="W75:W89" si="12">SUM(R75:V75)</f>
        <v>11343346.650359359</v>
      </c>
    </row>
    <row r="76" spans="1:27" ht="12.75" customHeight="1" x14ac:dyDescent="0.2">
      <c r="C76" s="1" t="s">
        <v>13</v>
      </c>
      <c r="D76" s="1" t="s">
        <v>53</v>
      </c>
      <c r="G76" s="1" t="s">
        <v>1</v>
      </c>
      <c r="H76" s="2"/>
      <c r="I76" s="63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7">
        <f t="shared" si="12"/>
        <v>0</v>
      </c>
    </row>
    <row r="77" spans="1:27" ht="12.75" customHeight="1" x14ac:dyDescent="0.2">
      <c r="C77" s="1" t="s">
        <v>11</v>
      </c>
      <c r="D77" s="1" t="s">
        <v>53</v>
      </c>
      <c r="G77" s="1" t="s">
        <v>51</v>
      </c>
      <c r="H77" s="2"/>
      <c r="I77" s="63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7">
        <f t="shared" ref="W77:W79" si="13">SUM(R77:V77)</f>
        <v>0</v>
      </c>
    </row>
    <row r="78" spans="1:27" ht="12.75" customHeight="1" x14ac:dyDescent="0.2">
      <c r="C78" s="1" t="s">
        <v>12</v>
      </c>
      <c r="D78" s="1" t="s">
        <v>53</v>
      </c>
      <c r="G78" s="1" t="s">
        <v>51</v>
      </c>
      <c r="H78" s="2"/>
      <c r="I78" s="63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7">
        <f t="shared" si="13"/>
        <v>0</v>
      </c>
    </row>
    <row r="79" spans="1:27" ht="12.75" customHeight="1" x14ac:dyDescent="0.2">
      <c r="C79" s="1" t="s">
        <v>13</v>
      </c>
      <c r="D79" s="1" t="s">
        <v>53</v>
      </c>
      <c r="G79" s="1" t="s">
        <v>51</v>
      </c>
      <c r="H79" s="2"/>
      <c r="I79" s="63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7">
        <f t="shared" si="13"/>
        <v>0</v>
      </c>
    </row>
    <row r="80" spans="1:27" ht="12.75" customHeight="1" x14ac:dyDescent="0.2">
      <c r="C80" s="21" t="s">
        <v>14</v>
      </c>
      <c r="D80" s="21" t="s">
        <v>53</v>
      </c>
      <c r="E80" s="95"/>
      <c r="F80" s="95"/>
      <c r="G80" s="96"/>
      <c r="H80" s="2"/>
      <c r="I80" s="96"/>
      <c r="J80" s="98"/>
      <c r="K80" s="97"/>
      <c r="L80" s="95"/>
      <c r="M80" s="95"/>
      <c r="N80" s="95"/>
      <c r="O80" s="95"/>
      <c r="P80" s="95"/>
      <c r="Q80" s="2"/>
      <c r="R80" s="22">
        <f>SUM(R74:R79)</f>
        <v>7782654.0911338348</v>
      </c>
      <c r="S80" s="22">
        <f t="shared" ref="S80:V80" si="14">SUM(S74:S79)</f>
        <v>3079294.4556666669</v>
      </c>
      <c r="T80" s="22">
        <f t="shared" si="14"/>
        <v>4346931.5353333335</v>
      </c>
      <c r="U80" s="22">
        <f t="shared" si="14"/>
        <v>2008598.202</v>
      </c>
      <c r="V80" s="22">
        <f t="shared" si="14"/>
        <v>2008598.202</v>
      </c>
      <c r="W80" s="22">
        <f>SUM(W74:W79)</f>
        <v>19226076.486133836</v>
      </c>
    </row>
    <row r="81" spans="3:24" ht="12.75" customHeight="1" x14ac:dyDescent="0.2">
      <c r="C81" s="1" t="s">
        <v>11</v>
      </c>
      <c r="D81" s="1" t="s">
        <v>50</v>
      </c>
      <c r="G81" s="1" t="s">
        <v>1</v>
      </c>
      <c r="H81" s="2"/>
      <c r="I81" s="63"/>
      <c r="K81" s="2"/>
      <c r="Q81" s="2"/>
      <c r="R81" s="6">
        <f t="shared" ref="R81:V86" si="15">SUMIFS(R$10:R$70,$E$10:$E$70,$C81,$D$10:$D$70,$D81,$G$10:$G$70,$G81)</f>
        <v>0</v>
      </c>
      <c r="S81" s="6">
        <f t="shared" si="15"/>
        <v>0</v>
      </c>
      <c r="T81" s="6">
        <f t="shared" si="15"/>
        <v>0</v>
      </c>
      <c r="U81" s="6">
        <f t="shared" si="15"/>
        <v>0</v>
      </c>
      <c r="V81" s="6">
        <f t="shared" si="15"/>
        <v>0</v>
      </c>
      <c r="W81" s="67">
        <f t="shared" si="12"/>
        <v>0</v>
      </c>
    </row>
    <row r="82" spans="3:24" ht="12.75" customHeight="1" x14ac:dyDescent="0.2">
      <c r="C82" s="1" t="s">
        <v>12</v>
      </c>
      <c r="D82" s="1" t="s">
        <v>50</v>
      </c>
      <c r="G82" s="1" t="s">
        <v>1</v>
      </c>
      <c r="H82" s="2"/>
      <c r="I82" s="63"/>
      <c r="K82" s="2"/>
      <c r="Q82" s="2"/>
      <c r="R82" s="6">
        <f t="shared" si="15"/>
        <v>0</v>
      </c>
      <c r="S82" s="6">
        <f t="shared" si="15"/>
        <v>0</v>
      </c>
      <c r="T82" s="6">
        <f t="shared" si="15"/>
        <v>0</v>
      </c>
      <c r="U82" s="6">
        <f t="shared" si="15"/>
        <v>0</v>
      </c>
      <c r="V82" s="6">
        <f t="shared" si="15"/>
        <v>0</v>
      </c>
      <c r="W82" s="67">
        <f t="shared" si="12"/>
        <v>0</v>
      </c>
    </row>
    <row r="83" spans="3:24" ht="12.75" customHeight="1" x14ac:dyDescent="0.2">
      <c r="C83" s="1" t="s">
        <v>13</v>
      </c>
      <c r="D83" s="1" t="s">
        <v>50</v>
      </c>
      <c r="G83" s="1" t="s">
        <v>1</v>
      </c>
      <c r="H83" s="2"/>
      <c r="I83" s="63"/>
      <c r="K83" s="2"/>
      <c r="Q83" s="2"/>
      <c r="R83" s="6">
        <f t="shared" si="15"/>
        <v>0</v>
      </c>
      <c r="S83" s="6">
        <f t="shared" si="15"/>
        <v>0</v>
      </c>
      <c r="T83" s="6">
        <f t="shared" si="15"/>
        <v>0</v>
      </c>
      <c r="U83" s="6">
        <f t="shared" si="15"/>
        <v>0</v>
      </c>
      <c r="V83" s="6">
        <f t="shared" si="15"/>
        <v>0</v>
      </c>
      <c r="W83" s="67">
        <f t="shared" si="12"/>
        <v>0</v>
      </c>
    </row>
    <row r="84" spans="3:24" ht="12.75" customHeight="1" x14ac:dyDescent="0.2">
      <c r="C84" s="1" t="s">
        <v>11</v>
      </c>
      <c r="D84" s="1" t="s">
        <v>50</v>
      </c>
      <c r="G84" s="1" t="s">
        <v>51</v>
      </c>
      <c r="H84" s="2"/>
      <c r="I84" s="63"/>
      <c r="K84" s="2"/>
      <c r="Q84" s="2"/>
      <c r="R84" s="6">
        <f t="shared" si="15"/>
        <v>0</v>
      </c>
      <c r="S84" s="6">
        <f t="shared" si="15"/>
        <v>0</v>
      </c>
      <c r="T84" s="6">
        <f t="shared" si="15"/>
        <v>0</v>
      </c>
      <c r="U84" s="6">
        <f t="shared" si="15"/>
        <v>0</v>
      </c>
      <c r="V84" s="6">
        <f t="shared" si="15"/>
        <v>0</v>
      </c>
      <c r="W84" s="67">
        <f t="shared" ref="W84:W85" si="16">SUM(R84:V84)</f>
        <v>0</v>
      </c>
    </row>
    <row r="85" spans="3:24" ht="12.75" customHeight="1" x14ac:dyDescent="0.2">
      <c r="C85" s="1" t="s">
        <v>12</v>
      </c>
      <c r="D85" s="1" t="s">
        <v>50</v>
      </c>
      <c r="G85" s="1" t="s">
        <v>51</v>
      </c>
      <c r="H85" s="2"/>
      <c r="I85" s="63"/>
      <c r="K85" s="2"/>
      <c r="Q85" s="2"/>
      <c r="R85" s="6">
        <f t="shared" si="15"/>
        <v>0</v>
      </c>
      <c r="S85" s="6">
        <f t="shared" si="15"/>
        <v>0</v>
      </c>
      <c r="T85" s="6">
        <f t="shared" si="15"/>
        <v>0</v>
      </c>
      <c r="U85" s="6">
        <f t="shared" si="15"/>
        <v>0</v>
      </c>
      <c r="V85" s="6">
        <f t="shared" si="15"/>
        <v>0</v>
      </c>
      <c r="W85" s="67">
        <f t="shared" si="16"/>
        <v>0</v>
      </c>
    </row>
    <row r="86" spans="3:24" ht="12.75" customHeight="1" x14ac:dyDescent="0.2">
      <c r="C86" s="1" t="s">
        <v>13</v>
      </c>
      <c r="D86" s="1" t="s">
        <v>50</v>
      </c>
      <c r="G86" s="1" t="s">
        <v>51</v>
      </c>
      <c r="H86" s="2"/>
      <c r="I86" s="63"/>
      <c r="K86" s="2"/>
      <c r="Q86" s="2"/>
      <c r="R86" s="6">
        <f t="shared" si="15"/>
        <v>0</v>
      </c>
      <c r="S86" s="6">
        <f t="shared" si="15"/>
        <v>0</v>
      </c>
      <c r="T86" s="6">
        <f t="shared" si="15"/>
        <v>0</v>
      </c>
      <c r="U86" s="6">
        <f t="shared" si="15"/>
        <v>0</v>
      </c>
      <c r="V86" s="6">
        <f t="shared" si="15"/>
        <v>0</v>
      </c>
      <c r="W86" s="67">
        <f t="shared" ref="W86" si="17">SUM(R86:V86)</f>
        <v>0</v>
      </c>
    </row>
    <row r="87" spans="3:24" ht="12.75" customHeight="1" x14ac:dyDescent="0.2">
      <c r="C87" s="21" t="s">
        <v>15</v>
      </c>
      <c r="D87" s="21" t="s">
        <v>50</v>
      </c>
      <c r="E87" s="95"/>
      <c r="F87" s="95"/>
      <c r="G87" s="96"/>
      <c r="H87" s="2"/>
      <c r="I87" s="96"/>
      <c r="J87" s="98"/>
      <c r="K87" s="97"/>
      <c r="L87" s="95"/>
      <c r="M87" s="95"/>
      <c r="N87" s="95"/>
      <c r="O87" s="95"/>
      <c r="P87" s="95"/>
      <c r="Q87" s="2"/>
      <c r="R87" s="22">
        <f>SUM(R81:R86)</f>
        <v>0</v>
      </c>
      <c r="S87" s="22">
        <f t="shared" ref="S87:V87" si="18">SUM(S81:S86)</f>
        <v>0</v>
      </c>
      <c r="T87" s="22">
        <f t="shared" si="18"/>
        <v>0</v>
      </c>
      <c r="U87" s="22">
        <f t="shared" si="18"/>
        <v>0</v>
      </c>
      <c r="V87" s="22">
        <f t="shared" si="18"/>
        <v>0</v>
      </c>
      <c r="W87" s="22">
        <f>SUM(W81:W86)</f>
        <v>0</v>
      </c>
    </row>
    <row r="88" spans="3:24" ht="12.75" customHeight="1" x14ac:dyDescent="0.2">
      <c r="G88" s="63"/>
      <c r="H88" s="2"/>
      <c r="I88" s="63"/>
      <c r="K88" s="2"/>
      <c r="Q88" s="2"/>
      <c r="R88" s="6"/>
      <c r="S88" s="6"/>
      <c r="T88" s="6"/>
      <c r="U88" s="6"/>
      <c r="V88" s="6"/>
      <c r="W88" s="67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7782654.0911338348</v>
      </c>
      <c r="S89" s="8">
        <f t="shared" ref="S89:V89" si="19">S80+S87</f>
        <v>3079294.4556666669</v>
      </c>
      <c r="T89" s="8">
        <f t="shared" si="19"/>
        <v>4346931.5353333335</v>
      </c>
      <c r="U89" s="8">
        <f t="shared" si="19"/>
        <v>2008598.202</v>
      </c>
      <c r="V89" s="8">
        <f t="shared" si="19"/>
        <v>2008598.202</v>
      </c>
      <c r="W89" s="68">
        <f t="shared" si="12"/>
        <v>19226076.486133836</v>
      </c>
    </row>
    <row r="90" spans="3:24" ht="12.75" customHeight="1" x14ac:dyDescent="0.2">
      <c r="C90" s="42" t="s">
        <v>55</v>
      </c>
      <c r="D90" s="42"/>
      <c r="E90" s="42"/>
      <c r="F90" s="42"/>
      <c r="G90" s="42"/>
      <c r="H90" s="2"/>
      <c r="I90" s="42"/>
      <c r="J90" s="42"/>
      <c r="K90" s="2"/>
      <c r="L90" s="42"/>
      <c r="M90" s="42"/>
      <c r="N90" s="42"/>
      <c r="O90" s="42"/>
      <c r="P90" s="42"/>
      <c r="Q90" s="2"/>
      <c r="R90" s="43">
        <f>R89-SUM(R$10:R$70)</f>
        <v>0</v>
      </c>
      <c r="S90" s="43">
        <f>S89-SUM(S$10:S$70)</f>
        <v>0</v>
      </c>
      <c r="T90" s="43">
        <f>T89-SUM(T$10:T$70)</f>
        <v>0</v>
      </c>
      <c r="U90" s="43">
        <f>U89-SUM(U$10:U$70)</f>
        <v>0</v>
      </c>
      <c r="V90" s="43">
        <f>V89-SUM(V$10:V$70)</f>
        <v>0</v>
      </c>
      <c r="W90" s="43">
        <f>W89-SUM(R$10:V$70)</f>
        <v>0</v>
      </c>
      <c r="X90" s="43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1" t="str">
        <f>"NPV ($ "&amp;Assumptions!$B$12&amp;")"</f>
        <v>NPV ($ June 2024)</v>
      </c>
      <c r="D92" s="52">
        <f>NPV(Real_Discount_rate,R89:V89)</f>
        <v>17756273.146882605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54</v>
      </c>
      <c r="G95" s="3"/>
      <c r="H95" s="2"/>
      <c r="K95" s="2"/>
      <c r="Q95" s="2"/>
      <c r="R95" s="64" t="s">
        <v>6</v>
      </c>
      <c r="S95" s="64" t="s">
        <v>7</v>
      </c>
      <c r="T95" s="64" t="s">
        <v>8</v>
      </c>
      <c r="U95" s="64" t="s">
        <v>9</v>
      </c>
      <c r="V95" s="64" t="s">
        <v>10</v>
      </c>
      <c r="W95" s="104" t="s">
        <v>0</v>
      </c>
    </row>
    <row r="96" spans="3:24" ht="12.75" customHeight="1" x14ac:dyDescent="0.2">
      <c r="C96" s="24"/>
      <c r="D96" s="24" t="s">
        <v>53</v>
      </c>
      <c r="E96" s="24"/>
      <c r="F96" s="24"/>
      <c r="G96" s="24" t="s">
        <v>1</v>
      </c>
      <c r="H96" s="2"/>
      <c r="I96" s="61"/>
      <c r="J96" s="62"/>
      <c r="K96" s="2"/>
      <c r="L96" s="24"/>
      <c r="M96" s="24"/>
      <c r="N96" s="24"/>
      <c r="O96" s="24"/>
      <c r="P96" s="24"/>
      <c r="Q96" s="2"/>
      <c r="R96" s="25">
        <f t="shared" ref="R96:V97" si="20">SUMIFS(R$10:R$70,$D$10:$D$70,$D96,$G$10:$G$70,$G96)</f>
        <v>7782654.0911338348</v>
      </c>
      <c r="S96" s="25">
        <f t="shared" si="20"/>
        <v>3079294.4556666669</v>
      </c>
      <c r="T96" s="25">
        <f t="shared" si="20"/>
        <v>4346931.5353333335</v>
      </c>
      <c r="U96" s="25">
        <f t="shared" si="20"/>
        <v>2008598.202</v>
      </c>
      <c r="V96" s="25">
        <f t="shared" si="20"/>
        <v>2008598.202</v>
      </c>
      <c r="W96" s="67">
        <f t="shared" ref="W96:W97" si="21">SUM(R96:V96)</f>
        <v>19226076.486133836</v>
      </c>
    </row>
    <row r="97" spans="3:24" ht="12.75" customHeight="1" x14ac:dyDescent="0.2">
      <c r="D97" s="1" t="s">
        <v>50</v>
      </c>
      <c r="G97" s="1" t="s">
        <v>1</v>
      </c>
      <c r="H97" s="2"/>
      <c r="K97" s="2"/>
      <c r="Q97" s="2"/>
      <c r="R97" s="103">
        <f t="shared" si="20"/>
        <v>0</v>
      </c>
      <c r="S97" s="103">
        <f t="shared" si="20"/>
        <v>0</v>
      </c>
      <c r="T97" s="103">
        <f t="shared" si="20"/>
        <v>0</v>
      </c>
      <c r="U97" s="103">
        <f t="shared" si="20"/>
        <v>0</v>
      </c>
      <c r="V97" s="103">
        <f t="shared" si="20"/>
        <v>0</v>
      </c>
      <c r="W97" s="67">
        <f t="shared" si="21"/>
        <v>0</v>
      </c>
    </row>
    <row r="98" spans="3:24" ht="12.75" customHeight="1" x14ac:dyDescent="0.2">
      <c r="C98" s="21" t="s">
        <v>56</v>
      </c>
      <c r="D98" s="21"/>
      <c r="E98" s="95"/>
      <c r="F98" s="95"/>
      <c r="G98" s="96"/>
      <c r="H98" s="2"/>
      <c r="I98" s="96"/>
      <c r="J98" s="98"/>
      <c r="K98" s="97"/>
      <c r="L98" s="95"/>
      <c r="M98" s="95"/>
      <c r="N98" s="95"/>
      <c r="O98" s="95"/>
      <c r="P98" s="95"/>
      <c r="Q98" s="2"/>
      <c r="R98" s="22">
        <f>SUM(R96:R97)</f>
        <v>7782654.0911338348</v>
      </c>
      <c r="S98" s="22">
        <f t="shared" ref="S98:W98" si="22">SUM(S96:S97)</f>
        <v>3079294.4556666669</v>
      </c>
      <c r="T98" s="22">
        <f t="shared" si="22"/>
        <v>4346931.5353333335</v>
      </c>
      <c r="U98" s="22">
        <f t="shared" si="22"/>
        <v>2008598.202</v>
      </c>
      <c r="V98" s="22">
        <f t="shared" si="22"/>
        <v>2008598.202</v>
      </c>
      <c r="W98" s="22">
        <f t="shared" si="22"/>
        <v>19226076.486133836</v>
      </c>
    </row>
    <row r="99" spans="3:24" ht="12.75" customHeight="1" x14ac:dyDescent="0.2">
      <c r="C99" s="4"/>
      <c r="D99" s="1" t="s">
        <v>53</v>
      </c>
      <c r="G99" s="1" t="s">
        <v>51</v>
      </c>
      <c r="H99" s="2"/>
      <c r="I99" s="63"/>
      <c r="K99" s="2"/>
      <c r="Q99" s="2"/>
      <c r="R99" s="6">
        <f t="shared" ref="R99:V100" si="23">SUMIFS(R$10:R$70,$D$10:$D$70,$D99,$G$10:$G$70,$G99)</f>
        <v>0</v>
      </c>
      <c r="S99" s="6">
        <f t="shared" si="23"/>
        <v>0</v>
      </c>
      <c r="T99" s="6">
        <f t="shared" si="23"/>
        <v>0</v>
      </c>
      <c r="U99" s="6">
        <f t="shared" si="23"/>
        <v>0</v>
      </c>
      <c r="V99" s="6">
        <f t="shared" si="23"/>
        <v>0</v>
      </c>
      <c r="W99" s="67">
        <f t="shared" ref="W99:W100" si="24">SUM(R99:V99)</f>
        <v>0</v>
      </c>
    </row>
    <row r="100" spans="3:24" ht="12.75" customHeight="1" x14ac:dyDescent="0.2">
      <c r="C100" s="4"/>
      <c r="D100" s="1" t="s">
        <v>50</v>
      </c>
      <c r="G100" s="1" t="s">
        <v>51</v>
      </c>
      <c r="H100" s="2"/>
      <c r="I100" s="63"/>
      <c r="K100" s="2"/>
      <c r="Q100" s="2"/>
      <c r="R100" s="6">
        <f t="shared" si="23"/>
        <v>0</v>
      </c>
      <c r="S100" s="6">
        <f t="shared" si="23"/>
        <v>0</v>
      </c>
      <c r="T100" s="6">
        <f t="shared" si="23"/>
        <v>0</v>
      </c>
      <c r="U100" s="6">
        <f t="shared" si="23"/>
        <v>0</v>
      </c>
      <c r="V100" s="6">
        <f t="shared" si="23"/>
        <v>0</v>
      </c>
      <c r="W100" s="67">
        <f t="shared" si="24"/>
        <v>0</v>
      </c>
    </row>
    <row r="101" spans="3:24" ht="12.75" customHeight="1" x14ac:dyDescent="0.2">
      <c r="C101" s="21" t="s">
        <v>57</v>
      </c>
      <c r="D101" s="21"/>
      <c r="E101" s="95"/>
      <c r="F101" s="95"/>
      <c r="G101" s="96"/>
      <c r="H101" s="2"/>
      <c r="I101" s="96"/>
      <c r="J101" s="98"/>
      <c r="K101" s="97"/>
      <c r="L101" s="95"/>
      <c r="M101" s="95"/>
      <c r="N101" s="95"/>
      <c r="O101" s="95"/>
      <c r="P101" s="95"/>
      <c r="Q101" s="2"/>
      <c r="R101" s="22">
        <f>SUM(R99:R100)</f>
        <v>0</v>
      </c>
      <c r="S101" s="22">
        <f t="shared" ref="S101:V101" si="25">SUM(S99:S100)</f>
        <v>0</v>
      </c>
      <c r="T101" s="22">
        <f t="shared" si="25"/>
        <v>0</v>
      </c>
      <c r="U101" s="22">
        <f t="shared" si="25"/>
        <v>0</v>
      </c>
      <c r="V101" s="22">
        <f t="shared" si="25"/>
        <v>0</v>
      </c>
      <c r="W101" s="22">
        <f t="shared" ref="W101" si="26">SUM(W99:W100)</f>
        <v>0</v>
      </c>
    </row>
    <row r="102" spans="3:24" ht="12.75" customHeight="1" x14ac:dyDescent="0.2">
      <c r="C102" s="4"/>
      <c r="D102" s="4"/>
      <c r="G102" s="63"/>
      <c r="H102" s="2"/>
      <c r="I102" s="63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7782654.0911338348</v>
      </c>
      <c r="S103" s="8">
        <f t="shared" ref="S103:V103" si="27">S98+S101</f>
        <v>3079294.4556666669</v>
      </c>
      <c r="T103" s="8">
        <f t="shared" si="27"/>
        <v>4346931.5353333335</v>
      </c>
      <c r="U103" s="8">
        <f t="shared" si="27"/>
        <v>2008598.202</v>
      </c>
      <c r="V103" s="8">
        <f t="shared" si="27"/>
        <v>2008598.202</v>
      </c>
      <c r="W103" s="68">
        <f t="shared" ref="W103" si="28">SUM(R103:V103)</f>
        <v>19226076.486133836</v>
      </c>
    </row>
    <row r="104" spans="3:24" ht="12.75" customHeight="1" x14ac:dyDescent="0.2">
      <c r="C104" s="42" t="s">
        <v>55</v>
      </c>
      <c r="D104" s="42"/>
      <c r="E104" s="42"/>
      <c r="F104" s="42"/>
      <c r="G104" s="42"/>
      <c r="H104" s="2"/>
      <c r="I104" s="42"/>
      <c r="J104" s="42"/>
      <c r="K104" s="2"/>
      <c r="L104" s="42"/>
      <c r="M104" s="42"/>
      <c r="N104" s="42"/>
      <c r="O104" s="42"/>
      <c r="P104" s="42"/>
      <c r="Q104" s="2"/>
      <c r="R104" s="43">
        <f>R103-SUM(R$10:R$70)</f>
        <v>0</v>
      </c>
      <c r="S104" s="43">
        <f>S103-SUM(S$10:S$70)</f>
        <v>0</v>
      </c>
      <c r="T104" s="43">
        <f>T103-SUM(T$10:T$70)</f>
        <v>0</v>
      </c>
      <c r="U104" s="43">
        <f>U103-SUM(U$10:U$70)</f>
        <v>0</v>
      </c>
      <c r="V104" s="43">
        <f>V103-SUM(V$10:V$70)</f>
        <v>0</v>
      </c>
      <c r="W104" s="43">
        <f>W103-SUM(R$10:V$70)</f>
        <v>0</v>
      </c>
      <c r="X104" s="43">
        <f>SUM(R104:W104)</f>
        <v>0</v>
      </c>
    </row>
    <row r="105" spans="3:24" ht="12.75" customHeight="1" x14ac:dyDescent="0.2">
      <c r="C105" s="105"/>
      <c r="D105" s="105"/>
      <c r="E105" s="105"/>
      <c r="F105" s="105"/>
      <c r="G105" s="105"/>
      <c r="H105" s="2"/>
      <c r="I105" s="105"/>
      <c r="J105" s="105"/>
      <c r="K105" s="2"/>
      <c r="L105" s="105"/>
      <c r="M105" s="105"/>
      <c r="N105" s="105"/>
      <c r="O105" s="105"/>
      <c r="P105" s="105"/>
      <c r="Q105" s="2"/>
      <c r="R105" s="106"/>
      <c r="S105" s="106"/>
      <c r="T105" s="106"/>
      <c r="U105" s="106"/>
      <c r="V105" s="106"/>
      <c r="W105" s="106"/>
      <c r="X105" s="106"/>
    </row>
    <row r="106" spans="3:24" ht="12.75" customHeight="1" x14ac:dyDescent="0.2">
      <c r="C106" s="105"/>
      <c r="D106" s="105"/>
      <c r="E106" s="105"/>
      <c r="F106" s="105"/>
      <c r="G106" s="105"/>
      <c r="H106" s="2"/>
      <c r="I106" s="105"/>
      <c r="J106" s="105"/>
      <c r="K106" s="2"/>
      <c r="L106" s="105"/>
      <c r="M106" s="105"/>
      <c r="N106" s="105"/>
      <c r="O106" s="105"/>
      <c r="P106" s="105"/>
      <c r="Q106" s="2"/>
      <c r="R106" s="106"/>
      <c r="S106" s="106"/>
      <c r="T106" s="106"/>
      <c r="U106" s="106"/>
      <c r="V106" s="106"/>
      <c r="W106" s="106"/>
      <c r="X106" s="106"/>
    </row>
    <row r="107" spans="3:24" ht="12.75" customHeight="1" x14ac:dyDescent="0.2">
      <c r="C107" s="105"/>
      <c r="D107" s="105"/>
      <c r="E107" s="105"/>
      <c r="F107" s="105"/>
      <c r="G107" s="105"/>
      <c r="H107" s="2"/>
      <c r="I107" s="105"/>
      <c r="J107" s="105"/>
      <c r="K107" s="2"/>
      <c r="L107" s="105"/>
      <c r="M107" s="105"/>
      <c r="N107" s="105"/>
      <c r="O107" s="105"/>
      <c r="P107" s="105"/>
      <c r="Q107" s="2"/>
      <c r="R107" s="106"/>
      <c r="S107" s="106"/>
      <c r="T107" s="106"/>
      <c r="U107" s="106"/>
      <c r="V107" s="106"/>
      <c r="W107" s="106"/>
      <c r="X107" s="106"/>
    </row>
    <row r="108" spans="3:24" ht="12.75" customHeight="1" x14ac:dyDescent="0.2">
      <c r="C108" s="71" t="s">
        <v>58</v>
      </c>
      <c r="H108" s="2"/>
      <c r="K108" s="2"/>
      <c r="Q108" s="2"/>
      <c r="R108" s="64" t="s">
        <v>6</v>
      </c>
      <c r="S108" s="64" t="s">
        <v>7</v>
      </c>
      <c r="T108" s="64" t="s">
        <v>8</v>
      </c>
      <c r="U108" s="64" t="s">
        <v>9</v>
      </c>
      <c r="V108" s="64" t="s">
        <v>10</v>
      </c>
      <c r="W108" s="64" t="s">
        <v>0</v>
      </c>
    </row>
    <row r="109" spans="3:24" ht="12.75" customHeight="1" x14ac:dyDescent="0.2">
      <c r="C109" s="24" t="s">
        <v>11</v>
      </c>
      <c r="D109" s="24" t="s">
        <v>53</v>
      </c>
      <c r="E109" s="24"/>
      <c r="F109" s="24"/>
      <c r="G109" s="24" t="s">
        <v>1</v>
      </c>
      <c r="H109" s="2"/>
      <c r="I109" s="61"/>
      <c r="J109" s="62"/>
      <c r="K109" s="2"/>
      <c r="L109" s="24"/>
      <c r="M109" s="24"/>
      <c r="N109" s="24"/>
      <c r="O109" s="24"/>
      <c r="P109" s="24"/>
      <c r="Q109" s="2"/>
      <c r="R109" s="32">
        <f t="shared" ref="R109:V114" si="29">R74*business_case_dollars</f>
        <v>2915396.6533762449</v>
      </c>
      <c r="S109" s="32">
        <f t="shared" si="29"/>
        <v>1707451.6336169913</v>
      </c>
      <c r="T109" s="32">
        <f t="shared" si="29"/>
        <v>3118220.9706446268</v>
      </c>
      <c r="U109" s="32">
        <f t="shared" si="29"/>
        <v>515860.23244048562</v>
      </c>
      <c r="V109" s="32">
        <f t="shared" si="29"/>
        <v>515860.23244048562</v>
      </c>
      <c r="W109" s="66">
        <f>SUM(R109:V109)</f>
        <v>8772789.7225188352</v>
      </c>
    </row>
    <row r="110" spans="3:24" ht="12.75" customHeight="1" x14ac:dyDescent="0.2">
      <c r="C110" s="1" t="s">
        <v>12</v>
      </c>
      <c r="D110" s="1" t="s">
        <v>53</v>
      </c>
      <c r="G110" s="1" t="s">
        <v>1</v>
      </c>
      <c r="H110" s="2"/>
      <c r="I110" s="63"/>
      <c r="K110" s="2"/>
      <c r="Q110" s="2"/>
      <c r="R110" s="6">
        <f t="shared" si="29"/>
        <v>5746017.5073324637</v>
      </c>
      <c r="S110" s="6">
        <f t="shared" si="29"/>
        <v>1719534.1081349521</v>
      </c>
      <c r="T110" s="6">
        <f t="shared" si="29"/>
        <v>1719534.1081349521</v>
      </c>
      <c r="U110" s="6">
        <f t="shared" si="29"/>
        <v>1719534.1081349521</v>
      </c>
      <c r="V110" s="6">
        <f t="shared" si="29"/>
        <v>1719534.1081349521</v>
      </c>
      <c r="W110" s="67">
        <f t="shared" ref="W110:W124" si="30">SUM(R110:V110)</f>
        <v>12624153.93987227</v>
      </c>
    </row>
    <row r="111" spans="3:24" ht="12.75" customHeight="1" x14ac:dyDescent="0.2">
      <c r="C111" s="1" t="s">
        <v>13</v>
      </c>
      <c r="D111" s="1" t="s">
        <v>53</v>
      </c>
      <c r="G111" s="1" t="s">
        <v>1</v>
      </c>
      <c r="H111" s="2"/>
      <c r="I111" s="63"/>
      <c r="K111" s="2"/>
      <c r="Q111" s="2"/>
      <c r="R111" s="6">
        <f t="shared" si="29"/>
        <v>0</v>
      </c>
      <c r="S111" s="6">
        <f t="shared" si="29"/>
        <v>0</v>
      </c>
      <c r="T111" s="6">
        <f t="shared" si="29"/>
        <v>0</v>
      </c>
      <c r="U111" s="6">
        <f t="shared" si="29"/>
        <v>0</v>
      </c>
      <c r="V111" s="6">
        <f t="shared" si="29"/>
        <v>0</v>
      </c>
      <c r="W111" s="67">
        <f t="shared" si="30"/>
        <v>0</v>
      </c>
    </row>
    <row r="112" spans="3:24" ht="12.75" customHeight="1" x14ac:dyDescent="0.2">
      <c r="C112" s="1" t="s">
        <v>11</v>
      </c>
      <c r="D112" s="1" t="s">
        <v>53</v>
      </c>
      <c r="G112" s="1" t="s">
        <v>51</v>
      </c>
      <c r="H112" s="2"/>
      <c r="I112" s="63"/>
      <c r="K112" s="2"/>
      <c r="Q112" s="2"/>
      <c r="R112" s="6">
        <f t="shared" si="29"/>
        <v>0</v>
      </c>
      <c r="S112" s="6">
        <f t="shared" si="29"/>
        <v>0</v>
      </c>
      <c r="T112" s="6">
        <f t="shared" si="29"/>
        <v>0</v>
      </c>
      <c r="U112" s="6">
        <f t="shared" si="29"/>
        <v>0</v>
      </c>
      <c r="V112" s="6">
        <f t="shared" si="29"/>
        <v>0</v>
      </c>
      <c r="W112" s="6">
        <f t="shared" si="30"/>
        <v>0</v>
      </c>
    </row>
    <row r="113" spans="3:24" ht="12.75" customHeight="1" x14ac:dyDescent="0.2">
      <c r="C113" s="1" t="s">
        <v>12</v>
      </c>
      <c r="D113" s="1" t="s">
        <v>53</v>
      </c>
      <c r="G113" s="1" t="s">
        <v>51</v>
      </c>
      <c r="H113" s="2"/>
      <c r="I113" s="63"/>
      <c r="K113" s="2"/>
      <c r="Q113" s="2"/>
      <c r="R113" s="6">
        <f t="shared" si="29"/>
        <v>0</v>
      </c>
      <c r="S113" s="6">
        <f t="shared" si="29"/>
        <v>0</v>
      </c>
      <c r="T113" s="6">
        <f t="shared" si="29"/>
        <v>0</v>
      </c>
      <c r="U113" s="6">
        <f t="shared" si="29"/>
        <v>0</v>
      </c>
      <c r="V113" s="6">
        <f t="shared" si="29"/>
        <v>0</v>
      </c>
      <c r="W113" s="6">
        <f t="shared" si="30"/>
        <v>0</v>
      </c>
    </row>
    <row r="114" spans="3:24" ht="12.75" customHeight="1" x14ac:dyDescent="0.2">
      <c r="C114" s="1" t="s">
        <v>13</v>
      </c>
      <c r="D114" s="1" t="s">
        <v>53</v>
      </c>
      <c r="G114" s="1" t="s">
        <v>51</v>
      </c>
      <c r="H114" s="2"/>
      <c r="I114" s="63"/>
      <c r="K114" s="2"/>
      <c r="Q114" s="2"/>
      <c r="R114" s="6">
        <f t="shared" si="29"/>
        <v>0</v>
      </c>
      <c r="S114" s="6">
        <f t="shared" si="29"/>
        <v>0</v>
      </c>
      <c r="T114" s="6">
        <f t="shared" si="29"/>
        <v>0</v>
      </c>
      <c r="U114" s="6">
        <f t="shared" si="29"/>
        <v>0</v>
      </c>
      <c r="V114" s="6">
        <f t="shared" si="29"/>
        <v>0</v>
      </c>
      <c r="W114" s="6">
        <f t="shared" si="30"/>
        <v>0</v>
      </c>
    </row>
    <row r="115" spans="3:24" ht="12.75" customHeight="1" x14ac:dyDescent="0.2">
      <c r="C115" s="21" t="s">
        <v>14</v>
      </c>
      <c r="D115" s="21" t="s">
        <v>53</v>
      </c>
      <c r="E115" s="95"/>
      <c r="F115" s="95"/>
      <c r="G115" s="96"/>
      <c r="H115" s="97"/>
      <c r="I115" s="96"/>
      <c r="J115" s="98"/>
      <c r="K115" s="97"/>
      <c r="L115" s="95"/>
      <c r="M115" s="95"/>
      <c r="N115" s="95"/>
      <c r="O115" s="95"/>
      <c r="P115" s="95"/>
      <c r="Q115" s="97"/>
      <c r="R115" s="22">
        <f>SUM(R109:R114)</f>
        <v>8661414.1607087087</v>
      </c>
      <c r="S115" s="22">
        <f t="shared" ref="S115:V115" si="31">SUM(S109:S114)</f>
        <v>3426985.7417519437</v>
      </c>
      <c r="T115" s="22">
        <f t="shared" si="31"/>
        <v>4837755.0787795791</v>
      </c>
      <c r="U115" s="22">
        <f t="shared" si="31"/>
        <v>2235394.340575438</v>
      </c>
      <c r="V115" s="22">
        <f t="shared" si="31"/>
        <v>2235394.340575438</v>
      </c>
      <c r="W115" s="22">
        <f>SUM(W109:W114)</f>
        <v>21396943.662391104</v>
      </c>
    </row>
    <row r="116" spans="3:24" ht="12.75" customHeight="1" x14ac:dyDescent="0.2">
      <c r="C116" s="1" t="s">
        <v>11</v>
      </c>
      <c r="D116" s="1" t="s">
        <v>50</v>
      </c>
      <c r="G116" s="1" t="s">
        <v>1</v>
      </c>
      <c r="H116" s="2"/>
      <c r="I116" s="63"/>
      <c r="K116" s="2"/>
      <c r="Q116" s="2"/>
      <c r="R116" s="107">
        <f t="shared" ref="R116:V121" si="32">R81*business_case_dollars</f>
        <v>0</v>
      </c>
      <c r="S116" s="107">
        <f t="shared" si="32"/>
        <v>0</v>
      </c>
      <c r="T116" s="107">
        <f t="shared" si="32"/>
        <v>0</v>
      </c>
      <c r="U116" s="107">
        <f t="shared" si="32"/>
        <v>0</v>
      </c>
      <c r="V116" s="107">
        <f t="shared" si="32"/>
        <v>0</v>
      </c>
      <c r="W116" s="67">
        <f>SUM(R116:V116)</f>
        <v>0</v>
      </c>
    </row>
    <row r="117" spans="3:24" ht="12.75" customHeight="1" x14ac:dyDescent="0.2">
      <c r="C117" s="1" t="s">
        <v>12</v>
      </c>
      <c r="D117" s="1" t="s">
        <v>50</v>
      </c>
      <c r="G117" s="1" t="s">
        <v>1</v>
      </c>
      <c r="H117" s="2"/>
      <c r="I117" s="63"/>
      <c r="K117" s="2"/>
      <c r="Q117" s="2"/>
      <c r="R117" s="6">
        <f t="shared" si="32"/>
        <v>0</v>
      </c>
      <c r="S117" s="6">
        <f t="shared" si="32"/>
        <v>0</v>
      </c>
      <c r="T117" s="6">
        <f t="shared" si="32"/>
        <v>0</v>
      </c>
      <c r="U117" s="6">
        <f t="shared" si="32"/>
        <v>0</v>
      </c>
      <c r="V117" s="6">
        <f t="shared" si="32"/>
        <v>0</v>
      </c>
      <c r="W117" s="67">
        <f t="shared" ref="W117:W121" si="33">SUM(R117:V117)</f>
        <v>0</v>
      </c>
    </row>
    <row r="118" spans="3:24" ht="12.75" customHeight="1" x14ac:dyDescent="0.2">
      <c r="C118" s="1" t="s">
        <v>13</v>
      </c>
      <c r="D118" s="1" t="s">
        <v>50</v>
      </c>
      <c r="G118" s="1" t="s">
        <v>1</v>
      </c>
      <c r="H118" s="2"/>
      <c r="I118" s="63"/>
      <c r="K118" s="2"/>
      <c r="Q118" s="2"/>
      <c r="R118" s="6">
        <f t="shared" si="32"/>
        <v>0</v>
      </c>
      <c r="S118" s="6">
        <f t="shared" si="32"/>
        <v>0</v>
      </c>
      <c r="T118" s="6">
        <f t="shared" si="32"/>
        <v>0</v>
      </c>
      <c r="U118" s="6">
        <f t="shared" si="32"/>
        <v>0</v>
      </c>
      <c r="V118" s="6">
        <f t="shared" si="32"/>
        <v>0</v>
      </c>
      <c r="W118" s="67">
        <f t="shared" si="33"/>
        <v>0</v>
      </c>
    </row>
    <row r="119" spans="3:24" ht="12.75" customHeight="1" x14ac:dyDescent="0.2">
      <c r="C119" s="1" t="s">
        <v>11</v>
      </c>
      <c r="D119" s="1" t="s">
        <v>50</v>
      </c>
      <c r="G119" s="1" t="s">
        <v>51</v>
      </c>
      <c r="H119" s="2"/>
      <c r="I119" s="63"/>
      <c r="K119" s="2"/>
      <c r="Q119" s="2"/>
      <c r="R119" s="6">
        <f t="shared" si="32"/>
        <v>0</v>
      </c>
      <c r="S119" s="6">
        <f t="shared" si="32"/>
        <v>0</v>
      </c>
      <c r="T119" s="6">
        <f t="shared" si="32"/>
        <v>0</v>
      </c>
      <c r="U119" s="6">
        <f t="shared" si="32"/>
        <v>0</v>
      </c>
      <c r="V119" s="6">
        <f t="shared" si="32"/>
        <v>0</v>
      </c>
      <c r="W119" s="6">
        <f t="shared" si="33"/>
        <v>0</v>
      </c>
    </row>
    <row r="120" spans="3:24" ht="12.75" customHeight="1" x14ac:dyDescent="0.2">
      <c r="C120" s="1" t="s">
        <v>12</v>
      </c>
      <c r="D120" s="1" t="s">
        <v>50</v>
      </c>
      <c r="G120" s="1" t="s">
        <v>51</v>
      </c>
      <c r="H120" s="2"/>
      <c r="I120" s="63"/>
      <c r="K120" s="2"/>
      <c r="Q120" s="2"/>
      <c r="R120" s="6">
        <f t="shared" si="32"/>
        <v>0</v>
      </c>
      <c r="S120" s="6">
        <f t="shared" si="32"/>
        <v>0</v>
      </c>
      <c r="T120" s="6">
        <f t="shared" si="32"/>
        <v>0</v>
      </c>
      <c r="U120" s="6">
        <f t="shared" si="32"/>
        <v>0</v>
      </c>
      <c r="V120" s="6">
        <f t="shared" si="32"/>
        <v>0</v>
      </c>
      <c r="W120" s="6">
        <f t="shared" si="33"/>
        <v>0</v>
      </c>
    </row>
    <row r="121" spans="3:24" ht="12.75" customHeight="1" x14ac:dyDescent="0.2">
      <c r="C121" s="1" t="s">
        <v>13</v>
      </c>
      <c r="D121" s="1" t="s">
        <v>50</v>
      </c>
      <c r="G121" s="1" t="s">
        <v>51</v>
      </c>
      <c r="H121" s="2"/>
      <c r="I121" s="63"/>
      <c r="K121" s="2"/>
      <c r="Q121" s="2"/>
      <c r="R121" s="6">
        <f t="shared" si="32"/>
        <v>0</v>
      </c>
      <c r="S121" s="6">
        <f t="shared" si="32"/>
        <v>0</v>
      </c>
      <c r="T121" s="6">
        <f t="shared" si="32"/>
        <v>0</v>
      </c>
      <c r="U121" s="6">
        <f t="shared" si="32"/>
        <v>0</v>
      </c>
      <c r="V121" s="6">
        <f t="shared" si="32"/>
        <v>0</v>
      </c>
      <c r="W121" s="6">
        <f t="shared" si="33"/>
        <v>0</v>
      </c>
    </row>
    <row r="122" spans="3:24" ht="12.75" customHeight="1" x14ac:dyDescent="0.2">
      <c r="C122" s="21" t="s">
        <v>15</v>
      </c>
      <c r="D122" s="21" t="s">
        <v>50</v>
      </c>
      <c r="E122" s="95"/>
      <c r="F122" s="95"/>
      <c r="G122" s="96"/>
      <c r="H122" s="97"/>
      <c r="I122" s="96"/>
      <c r="J122" s="98"/>
      <c r="K122" s="97"/>
      <c r="L122" s="95"/>
      <c r="M122" s="95"/>
      <c r="N122" s="95"/>
      <c r="O122" s="95"/>
      <c r="P122" s="95"/>
      <c r="Q122" s="97"/>
      <c r="R122" s="22">
        <f>SUM(R116:R121)</f>
        <v>0</v>
      </c>
      <c r="S122" s="22">
        <f t="shared" ref="S122:W122" si="34">SUM(S116:S121)</f>
        <v>0</v>
      </c>
      <c r="T122" s="22">
        <f t="shared" si="34"/>
        <v>0</v>
      </c>
      <c r="U122" s="22">
        <f t="shared" si="34"/>
        <v>0</v>
      </c>
      <c r="V122" s="22">
        <f t="shared" si="34"/>
        <v>0</v>
      </c>
      <c r="W122" s="22">
        <f t="shared" si="34"/>
        <v>0</v>
      </c>
    </row>
    <row r="123" spans="3:24" ht="12.75" customHeight="1" x14ac:dyDescent="0.2">
      <c r="H123" s="2"/>
      <c r="I123" s="63"/>
      <c r="K123" s="2"/>
      <c r="Q123" s="2"/>
      <c r="R123" s="6"/>
      <c r="S123" s="6"/>
      <c r="T123" s="6"/>
      <c r="U123" s="6"/>
      <c r="V123" s="6"/>
      <c r="W123" s="67"/>
    </row>
    <row r="124" spans="3:24" x14ac:dyDescent="0.2">
      <c r="C124" s="7" t="str">
        <f>"Total Expenditure ($ "&amp;Assumptions!$C$39&amp;")"</f>
        <v>Total Expenditure ($ June 2026)</v>
      </c>
      <c r="D124" s="7" t="s">
        <v>59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8661414.1607087087</v>
      </c>
      <c r="S124" s="8">
        <f t="shared" ref="S124:V124" si="35">S115+S122</f>
        <v>3426985.7417519437</v>
      </c>
      <c r="T124" s="8">
        <f t="shared" si="35"/>
        <v>4837755.0787795791</v>
      </c>
      <c r="U124" s="8">
        <f t="shared" si="35"/>
        <v>2235394.340575438</v>
      </c>
      <c r="V124" s="8">
        <f t="shared" si="35"/>
        <v>2235394.340575438</v>
      </c>
      <c r="W124" s="68">
        <f t="shared" si="30"/>
        <v>21396943.662391108</v>
      </c>
    </row>
    <row r="125" spans="3:24" x14ac:dyDescent="0.2">
      <c r="H125" s="2"/>
      <c r="K125" s="2"/>
      <c r="Q125" s="2"/>
      <c r="R125" s="43">
        <f>SUM(R10:R70)*business_case_dollars-R124</f>
        <v>0</v>
      </c>
      <c r="S125" s="43">
        <f>SUM(S10:S70)*business_case_dollars-S124</f>
        <v>0</v>
      </c>
      <c r="T125" s="43">
        <f>SUM(T10:T70)*business_case_dollars-T124</f>
        <v>0</v>
      </c>
      <c r="U125" s="43">
        <f>SUM(U10:U70)*business_case_dollars-U124</f>
        <v>0</v>
      </c>
      <c r="V125" s="43">
        <f>SUM(V10:V70)*business_case_dollars-V124</f>
        <v>0</v>
      </c>
      <c r="W125" s="43">
        <f>SUM(R10:V70)*business_case_dollars-W124</f>
        <v>0</v>
      </c>
      <c r="X125" s="43">
        <f>SUM(R125:W125)</f>
        <v>0</v>
      </c>
    </row>
    <row r="126" spans="3:24" x14ac:dyDescent="0.2">
      <c r="C126" s="51" t="str">
        <f>"NPV ($ "&amp;Assumptions!$C$39&amp;")"</f>
        <v>NPV ($ June 2026)</v>
      </c>
      <c r="D126" s="52">
        <f>NPV(Real_Discount_rate,R124:V124)</f>
        <v>19761180.938393071</v>
      </c>
      <c r="H126" s="2"/>
      <c r="K126" s="2"/>
      <c r="Q126" s="2"/>
      <c r="R126" s="49"/>
      <c r="S126" s="49"/>
      <c r="T126" s="49"/>
      <c r="U126" s="49"/>
      <c r="V126" s="49"/>
    </row>
    <row r="129" spans="3:24" x14ac:dyDescent="0.2">
      <c r="C129" s="4" t="s">
        <v>54</v>
      </c>
      <c r="G129" s="3"/>
      <c r="H129" s="2"/>
      <c r="K129" s="2"/>
      <c r="Q129" s="2"/>
      <c r="R129" s="64" t="s">
        <v>6</v>
      </c>
      <c r="S129" s="64" t="s">
        <v>7</v>
      </c>
      <c r="T129" s="64" t="s">
        <v>8</v>
      </c>
      <c r="U129" s="64" t="s">
        <v>9</v>
      </c>
      <c r="V129" s="64" t="s">
        <v>10</v>
      </c>
      <c r="W129" s="104" t="s">
        <v>0</v>
      </c>
    </row>
    <row r="130" spans="3:24" x14ac:dyDescent="0.2">
      <c r="C130" s="24"/>
      <c r="D130" s="24" t="s">
        <v>53</v>
      </c>
      <c r="E130" s="24"/>
      <c r="F130" s="24"/>
      <c r="G130" s="24" t="s">
        <v>1</v>
      </c>
      <c r="H130" s="2"/>
      <c r="I130" s="61"/>
      <c r="J130" s="62"/>
      <c r="K130" s="2"/>
      <c r="L130" s="24"/>
      <c r="M130" s="24"/>
      <c r="N130" s="24"/>
      <c r="O130" s="24"/>
      <c r="P130" s="24"/>
      <c r="Q130" s="2"/>
      <c r="R130" s="25">
        <f t="shared" ref="R130:V131" si="36">R96*business_case_dollars</f>
        <v>8661414.1607087087</v>
      </c>
      <c r="S130" s="25">
        <f t="shared" si="36"/>
        <v>3426985.7417519437</v>
      </c>
      <c r="T130" s="25">
        <f t="shared" si="36"/>
        <v>4837755.0787795791</v>
      </c>
      <c r="U130" s="25">
        <f t="shared" si="36"/>
        <v>2235394.3405754375</v>
      </c>
      <c r="V130" s="25">
        <f t="shared" si="36"/>
        <v>2235394.3405754375</v>
      </c>
      <c r="W130" s="67">
        <f t="shared" ref="W130:W131" si="37">SUM(R130:V130)</f>
        <v>21396943.662391108</v>
      </c>
    </row>
    <row r="131" spans="3:24" x14ac:dyDescent="0.2">
      <c r="D131" s="1" t="s">
        <v>50</v>
      </c>
      <c r="G131" s="1" t="s">
        <v>1</v>
      </c>
      <c r="H131" s="2"/>
      <c r="K131" s="2"/>
      <c r="Q131" s="2"/>
      <c r="R131" s="103">
        <f t="shared" si="36"/>
        <v>0</v>
      </c>
      <c r="S131" s="103">
        <f t="shared" si="36"/>
        <v>0</v>
      </c>
      <c r="T131" s="103">
        <f t="shared" si="36"/>
        <v>0</v>
      </c>
      <c r="U131" s="103">
        <f t="shared" si="36"/>
        <v>0</v>
      </c>
      <c r="V131" s="103">
        <f t="shared" si="36"/>
        <v>0</v>
      </c>
      <c r="W131" s="67">
        <f t="shared" si="37"/>
        <v>0</v>
      </c>
    </row>
    <row r="132" spans="3:24" x14ac:dyDescent="0.2">
      <c r="C132" s="21" t="s">
        <v>56</v>
      </c>
      <c r="D132" s="21"/>
      <c r="E132" s="95"/>
      <c r="F132" s="95"/>
      <c r="G132" s="96"/>
      <c r="H132" s="2"/>
      <c r="I132" s="96"/>
      <c r="J132" s="98"/>
      <c r="K132" s="97"/>
      <c r="L132" s="95"/>
      <c r="M132" s="95"/>
      <c r="N132" s="95"/>
      <c r="O132" s="95"/>
      <c r="P132" s="95"/>
      <c r="Q132" s="2"/>
      <c r="R132" s="22">
        <f>SUM(R130:R131)</f>
        <v>8661414.1607087087</v>
      </c>
      <c r="S132" s="22">
        <f t="shared" ref="S132:W132" si="38">SUM(S130:S131)</f>
        <v>3426985.7417519437</v>
      </c>
      <c r="T132" s="22">
        <f t="shared" si="38"/>
        <v>4837755.0787795791</v>
      </c>
      <c r="U132" s="22">
        <f t="shared" si="38"/>
        <v>2235394.3405754375</v>
      </c>
      <c r="V132" s="22">
        <f t="shared" si="38"/>
        <v>2235394.3405754375</v>
      </c>
      <c r="W132" s="22">
        <f t="shared" si="38"/>
        <v>21396943.662391108</v>
      </c>
    </row>
    <row r="133" spans="3:24" x14ac:dyDescent="0.2">
      <c r="C133" s="4"/>
      <c r="D133" s="1" t="s">
        <v>53</v>
      </c>
      <c r="G133" s="1" t="s">
        <v>51</v>
      </c>
      <c r="H133" s="2"/>
      <c r="I133" s="63"/>
      <c r="K133" s="2"/>
      <c r="Q133" s="2"/>
      <c r="R133" s="6">
        <f t="shared" ref="R133:V134" si="39">R99*business_case_dollars</f>
        <v>0</v>
      </c>
      <c r="S133" s="6">
        <f t="shared" si="39"/>
        <v>0</v>
      </c>
      <c r="T133" s="6">
        <f t="shared" si="39"/>
        <v>0</v>
      </c>
      <c r="U133" s="6">
        <f t="shared" si="39"/>
        <v>0</v>
      </c>
      <c r="V133" s="6">
        <f t="shared" si="39"/>
        <v>0</v>
      </c>
      <c r="W133" s="67">
        <f t="shared" ref="W133:W134" si="40">SUM(R133:V133)</f>
        <v>0</v>
      </c>
    </row>
    <row r="134" spans="3:24" x14ac:dyDescent="0.2">
      <c r="C134" s="4"/>
      <c r="D134" s="1" t="s">
        <v>50</v>
      </c>
      <c r="G134" s="1" t="s">
        <v>51</v>
      </c>
      <c r="H134" s="2"/>
      <c r="I134" s="63"/>
      <c r="K134" s="2"/>
      <c r="Q134" s="2"/>
      <c r="R134" s="6">
        <f t="shared" si="39"/>
        <v>0</v>
      </c>
      <c r="S134" s="6">
        <f t="shared" si="39"/>
        <v>0</v>
      </c>
      <c r="T134" s="6">
        <f t="shared" si="39"/>
        <v>0</v>
      </c>
      <c r="U134" s="6">
        <f t="shared" si="39"/>
        <v>0</v>
      </c>
      <c r="V134" s="6">
        <f t="shared" si="39"/>
        <v>0</v>
      </c>
      <c r="W134" s="67">
        <f t="shared" si="40"/>
        <v>0</v>
      </c>
    </row>
    <row r="135" spans="3:24" x14ac:dyDescent="0.2">
      <c r="C135" s="21" t="s">
        <v>57</v>
      </c>
      <c r="D135" s="21"/>
      <c r="E135" s="95"/>
      <c r="F135" s="95"/>
      <c r="G135" s="96"/>
      <c r="H135" s="2"/>
      <c r="I135" s="96"/>
      <c r="J135" s="98"/>
      <c r="K135" s="97"/>
      <c r="L135" s="95"/>
      <c r="M135" s="95"/>
      <c r="N135" s="95"/>
      <c r="O135" s="95"/>
      <c r="P135" s="95"/>
      <c r="Q135" s="2"/>
      <c r="R135" s="22">
        <f>SUM(R133:R134)</f>
        <v>0</v>
      </c>
      <c r="S135" s="22">
        <f t="shared" ref="S135:W135" si="41">SUM(S133:S134)</f>
        <v>0</v>
      </c>
      <c r="T135" s="22">
        <f t="shared" si="41"/>
        <v>0</v>
      </c>
      <c r="U135" s="22">
        <f t="shared" si="41"/>
        <v>0</v>
      </c>
      <c r="V135" s="22">
        <f t="shared" si="41"/>
        <v>0</v>
      </c>
      <c r="W135" s="22">
        <f t="shared" si="41"/>
        <v>0</v>
      </c>
    </row>
    <row r="136" spans="3:24" x14ac:dyDescent="0.2">
      <c r="C136" s="4"/>
      <c r="D136" s="4"/>
      <c r="G136" s="63"/>
      <c r="H136" s="2"/>
      <c r="I136" s="63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8661414.1607087087</v>
      </c>
      <c r="S137" s="8">
        <f t="shared" ref="S137:V137" si="42">S132+S135</f>
        <v>3426985.7417519437</v>
      </c>
      <c r="T137" s="8">
        <f t="shared" si="42"/>
        <v>4837755.0787795791</v>
      </c>
      <c r="U137" s="8">
        <f t="shared" si="42"/>
        <v>2235394.3405754375</v>
      </c>
      <c r="V137" s="8">
        <f t="shared" si="42"/>
        <v>2235394.3405754375</v>
      </c>
      <c r="W137" s="68">
        <f t="shared" ref="W137" si="43">SUM(R137:V137)</f>
        <v>21396943.662391108</v>
      </c>
    </row>
    <row r="138" spans="3:24" x14ac:dyDescent="0.2">
      <c r="C138" s="42" t="s">
        <v>55</v>
      </c>
      <c r="D138" s="42"/>
      <c r="E138" s="42"/>
      <c r="F138" s="42"/>
      <c r="G138" s="42"/>
      <c r="H138" s="2"/>
      <c r="I138" s="42"/>
      <c r="J138" s="42"/>
      <c r="K138" s="2"/>
      <c r="L138" s="42"/>
      <c r="M138" s="42"/>
      <c r="N138" s="42"/>
      <c r="O138" s="42"/>
      <c r="P138" s="42"/>
      <c r="Q138" s="2"/>
      <c r="R138" s="43">
        <f>R137-SUM(R$10:R$70)*business_case_dollars</f>
        <v>0</v>
      </c>
      <c r="S138" s="43">
        <f>S137-SUM(S$10:S$70)*business_case_dollars</f>
        <v>0</v>
      </c>
      <c r="T138" s="43">
        <f>T137-SUM(T$10:T$70)*business_case_dollars</f>
        <v>0</v>
      </c>
      <c r="U138" s="43">
        <f>U137-SUM(U$10:U$70)*business_case_dollars</f>
        <v>0</v>
      </c>
      <c r="V138" s="43">
        <f>V137-SUM(V$10:V$70)*business_case_dollars</f>
        <v>0</v>
      </c>
      <c r="W138" s="43">
        <f>W137-SUM(R$10:V$70)*business_case_dollars</f>
        <v>0</v>
      </c>
      <c r="X138" s="43">
        <f>SUM(R138:W138)</f>
        <v>0</v>
      </c>
    </row>
  </sheetData>
  <conditionalFormatting sqref="F10:F70">
    <cfRule type="expression" dxfId="55" priority="1">
      <formula>$E10="Contracts"</formula>
    </cfRule>
    <cfRule type="expression" dxfId="54" priority="2">
      <formula>$E10="Materials"</formula>
    </cfRule>
    <cfRule type="expression" dxfId="53" priority="3">
      <formula>$E10="Labour"</formula>
    </cfRule>
  </conditionalFormatting>
  <conditionalFormatting sqref="I10:I70">
    <cfRule type="expression" dxfId="52" priority="20">
      <formula>$E10="Contracts"</formula>
    </cfRule>
    <cfRule type="expression" dxfId="51" priority="21">
      <formula>$E10="Materials"</formula>
    </cfRule>
    <cfRule type="expression" dxfId="50" priority="22">
      <formula>$E10="Labour"</formula>
    </cfRule>
  </conditionalFormatting>
  <conditionalFormatting sqref="R90:W90">
    <cfRule type="expression" dxfId="49" priority="13">
      <formula>ABS(R90)&gt;0.001</formula>
    </cfRule>
  </conditionalFormatting>
  <conditionalFormatting sqref="R104:W107">
    <cfRule type="expression" dxfId="48" priority="10">
      <formula>ABS(R104)&gt;0.001</formula>
    </cfRule>
  </conditionalFormatting>
  <conditionalFormatting sqref="R125:W125">
    <cfRule type="expression" dxfId="47" priority="14">
      <formula>ABS(R125)&gt;0.001</formula>
    </cfRule>
  </conditionalFormatting>
  <conditionalFormatting sqref="R138:W138">
    <cfRule type="expression" dxfId="46" priority="7">
      <formula>ABS(R138)&gt;0.001</formula>
    </cfRule>
  </conditionalFormatting>
  <conditionalFormatting sqref="X90">
    <cfRule type="expression" dxfId="45" priority="26">
      <formula>ABS(X90)&gt;0.001</formula>
    </cfRule>
  </conditionalFormatting>
  <conditionalFormatting sqref="X104:X107">
    <cfRule type="expression" dxfId="44" priority="11">
      <formula>ABS(X104)&gt;0.001</formula>
    </cfRule>
  </conditionalFormatting>
  <conditionalFormatting sqref="X125">
    <cfRule type="expression" dxfId="43" priority="16">
      <formula>ABS(X125)&gt;0.001</formula>
    </cfRule>
  </conditionalFormatting>
  <conditionalFormatting sqref="X138">
    <cfRule type="expression" dxfId="42" priority="8">
      <formula>ABS(X138)&gt;0.001</formula>
    </cfRule>
  </conditionalFormatting>
  <dataValidations count="3">
    <dataValidation type="list" allowBlank="1" showInputMessage="1" showErrorMessage="1" sqref="E10:E70" xr:uid="{B0E8B852-301B-4563-9163-FFDB1711704F}">
      <formula1>"Labour, Materials, Contracts"</formula1>
    </dataValidation>
    <dataValidation type="list" allowBlank="1" showInputMessage="1" showErrorMessage="1" sqref="D10:D70" xr:uid="{056126DF-837A-45EA-97BA-3AA3767E7A6C}">
      <formula1>"Capex, Opex"</formula1>
    </dataValidation>
    <dataValidation type="list" allowBlank="1" showInputMessage="1" showErrorMessage="1" sqref="G10:G70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R80:W80 R98:V98 R115:W1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5493BA-41F3-4894-AE4D-A4C19AA11C2A}">
          <x14:formula1>
            <xm:f>IF($E18="Labour",Assumptions!$A$57:$A$58,Assumptions!$K$11:$K$12)</xm:f>
          </x14:formula1>
          <xm:sqref>F18:F70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AA138"/>
  <sheetViews>
    <sheetView showGridLines="0" zoomScale="80" zoomScaleNormal="80" workbookViewId="0">
      <pane ySplit="9" topLeftCell="A10" activePane="bottomLeft" state="frozen"/>
      <selection activeCell="F24" sqref="F24"/>
      <selection pane="bottomLeft" activeCell="F24" sqref="F2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58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5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1" customFormat="1" ht="15.75" x14ac:dyDescent="0.25">
      <c r="A3" s="29" t="s">
        <v>3</v>
      </c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29"/>
      <c r="P3" s="29"/>
      <c r="Q3" s="29"/>
      <c r="R3" s="13"/>
      <c r="S3" s="11"/>
      <c r="T3" s="11"/>
      <c r="U3" s="11"/>
      <c r="V3" s="11"/>
      <c r="X3" s="45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7" t="s">
        <v>42</v>
      </c>
      <c r="D7" s="60" t="s">
        <v>43</v>
      </c>
      <c r="E7" s="60" t="s">
        <v>44</v>
      </c>
      <c r="F7" s="60" t="s">
        <v>45</v>
      </c>
      <c r="G7" s="102" t="s">
        <v>46</v>
      </c>
      <c r="H7" s="16"/>
      <c r="I7" s="19" t="s">
        <v>11</v>
      </c>
      <c r="J7" s="19" t="s">
        <v>47</v>
      </c>
      <c r="L7" s="19" t="s">
        <v>48</v>
      </c>
      <c r="M7" s="20"/>
      <c r="N7" s="20"/>
      <c r="O7" s="20"/>
      <c r="P7" s="20"/>
      <c r="R7" s="19" t="s">
        <v>49</v>
      </c>
      <c r="S7" s="20"/>
      <c r="T7" s="20"/>
      <c r="U7" s="20"/>
      <c r="V7" s="20"/>
    </row>
    <row r="8" spans="1:27" ht="12.75" customHeight="1" x14ac:dyDescent="0.2">
      <c r="A8" s="4"/>
      <c r="B8" s="4"/>
      <c r="C8" s="93"/>
      <c r="D8" s="93" t="s">
        <v>50</v>
      </c>
      <c r="E8" s="93"/>
      <c r="F8" s="93"/>
      <c r="G8" s="93" t="s">
        <v>51</v>
      </c>
      <c r="H8" s="16"/>
      <c r="I8" s="101" t="s">
        <v>52</v>
      </c>
      <c r="J8" s="93"/>
      <c r="L8" s="48" t="s">
        <v>6</v>
      </c>
      <c r="M8" s="48" t="s">
        <v>7</v>
      </c>
      <c r="N8" s="48" t="s">
        <v>8</v>
      </c>
      <c r="O8" s="48" t="s">
        <v>9</v>
      </c>
      <c r="P8" s="48" t="s">
        <v>10</v>
      </c>
      <c r="R8" s="48" t="s">
        <v>6</v>
      </c>
      <c r="S8" s="48" t="s">
        <v>7</v>
      </c>
      <c r="T8" s="48" t="s">
        <v>8</v>
      </c>
      <c r="U8" s="48" t="s">
        <v>9</v>
      </c>
      <c r="V8" s="48" t="s">
        <v>10</v>
      </c>
    </row>
    <row r="9" spans="1:27" ht="12.75" customHeight="1" x14ac:dyDescent="0.2">
      <c r="H9" s="16"/>
    </row>
    <row r="10" spans="1:27" ht="12.75" customHeight="1" x14ac:dyDescent="0.2">
      <c r="A10" s="4"/>
      <c r="C10" s="76" t="s">
        <v>75</v>
      </c>
      <c r="D10" s="77" t="s">
        <v>53</v>
      </c>
      <c r="E10" s="77" t="s">
        <v>11</v>
      </c>
      <c r="F10" s="77" t="s">
        <v>40</v>
      </c>
      <c r="G10" s="75" t="s">
        <v>1</v>
      </c>
      <c r="H10" s="2"/>
      <c r="I10" s="59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8">
        <v>355.19999999999993</v>
      </c>
      <c r="M10" s="78">
        <v>0</v>
      </c>
      <c r="N10" s="78">
        <v>414.4</v>
      </c>
      <c r="O10" s="78">
        <v>0</v>
      </c>
      <c r="P10" s="78">
        <v>0</v>
      </c>
      <c r="Q10" s="2"/>
      <c r="R10" s="5">
        <f t="shared" ref="R10:R41" si="0">IF($E10="Labour",$I10*L10,L10)</f>
        <v>51780.135662010252</v>
      </c>
      <c r="S10" s="5">
        <f t="shared" ref="S10:S41" si="1">IF($E10="Labour",$I10*M10,M10)</f>
        <v>0</v>
      </c>
      <c r="T10" s="5">
        <f t="shared" ref="T10:T41" si="2">IF($E10="Labour",$I10*N10,N10)</f>
        <v>60410.158272345303</v>
      </c>
      <c r="U10" s="5">
        <f t="shared" ref="U10:U41" si="3">IF($E10="Labour",$I10*O10,O10)</f>
        <v>0</v>
      </c>
      <c r="V10" s="5">
        <f t="shared" ref="V10:V41" si="4">IF($E10="Labour",$I10*P10,P10)</f>
        <v>0</v>
      </c>
    </row>
    <row r="11" spans="1:27" ht="12.75" customHeight="1" x14ac:dyDescent="0.2">
      <c r="A11" s="4"/>
      <c r="C11" s="76" t="s">
        <v>75</v>
      </c>
      <c r="D11" s="77" t="s">
        <v>53</v>
      </c>
      <c r="E11" s="77" t="s">
        <v>11</v>
      </c>
      <c r="F11" s="77" t="s">
        <v>41</v>
      </c>
      <c r="G11" s="75" t="s">
        <v>1</v>
      </c>
      <c r="H11" s="2"/>
      <c r="I11" s="59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8">
        <v>1065.5999999999999</v>
      </c>
      <c r="M11" s="78">
        <v>0</v>
      </c>
      <c r="N11" s="78">
        <v>1243.2</v>
      </c>
      <c r="O11" s="78">
        <v>0</v>
      </c>
      <c r="P11" s="78">
        <v>0</v>
      </c>
      <c r="Q11" s="2"/>
      <c r="R11" s="5">
        <f t="shared" si="0"/>
        <v>245265.15599999996</v>
      </c>
      <c r="S11" s="5">
        <f t="shared" si="1"/>
        <v>0</v>
      </c>
      <c r="T11" s="5">
        <f t="shared" si="2"/>
        <v>286142.68199999997</v>
      </c>
      <c r="U11" s="5">
        <f t="shared" si="3"/>
        <v>0</v>
      </c>
      <c r="V11" s="5">
        <f t="shared" si="4"/>
        <v>0</v>
      </c>
    </row>
    <row r="12" spans="1:27" ht="12.75" customHeight="1" x14ac:dyDescent="0.2">
      <c r="A12" s="4"/>
      <c r="C12" s="76" t="s">
        <v>75</v>
      </c>
      <c r="D12" s="77" t="s">
        <v>53</v>
      </c>
      <c r="E12" s="77" t="s">
        <v>12</v>
      </c>
      <c r="F12" s="77"/>
      <c r="G12" s="75" t="s">
        <v>1</v>
      </c>
      <c r="H12" s="2"/>
      <c r="I12" s="59" t="str">
        <f>IF(AND($E12="Labour",$F12="IT Labour"),Assumptions!$B$14,
IF(AND($E12="Labour",$F12="IT Specialist"),Assumptions!$B$16,""))</f>
        <v/>
      </c>
      <c r="J12" s="9" t="str">
        <f t="shared" si="5"/>
        <v>$</v>
      </c>
      <c r="K12" s="2"/>
      <c r="L12" s="78">
        <v>1831500</v>
      </c>
      <c r="M12" s="78">
        <v>0</v>
      </c>
      <c r="N12" s="78">
        <v>1850000</v>
      </c>
      <c r="O12" s="78">
        <v>0</v>
      </c>
      <c r="P12" s="78">
        <v>0</v>
      </c>
      <c r="Q12" s="2"/>
      <c r="R12" s="5">
        <f t="shared" si="0"/>
        <v>1831500</v>
      </c>
      <c r="S12" s="5">
        <f t="shared" si="1"/>
        <v>0</v>
      </c>
      <c r="T12" s="5">
        <f t="shared" si="2"/>
        <v>1850000</v>
      </c>
      <c r="U12" s="5">
        <f t="shared" si="3"/>
        <v>0</v>
      </c>
      <c r="V12" s="5">
        <f t="shared" si="4"/>
        <v>0</v>
      </c>
    </row>
    <row r="13" spans="1:27" ht="12.75" customHeight="1" x14ac:dyDescent="0.25">
      <c r="A13" s="4"/>
      <c r="C13" s="76" t="s">
        <v>79</v>
      </c>
      <c r="D13" s="77" t="s">
        <v>50</v>
      </c>
      <c r="E13" s="77" t="s">
        <v>12</v>
      </c>
      <c r="F13" s="77"/>
      <c r="G13" s="75" t="s">
        <v>1</v>
      </c>
      <c r="H13" s="2"/>
      <c r="I13" s="59" t="str">
        <f>IF(AND($E13="Labour",$F13="IT Labour"),Assumptions!$B$14,
IF(AND($E13="Labour",$F13="IT Specialist"),Assumptions!$B$16,""))</f>
        <v/>
      </c>
      <c r="J13" s="9" t="str">
        <f t="shared" si="5"/>
        <v>$</v>
      </c>
      <c r="K13" s="2"/>
      <c r="L13" s="78">
        <v>201465</v>
      </c>
      <c r="M13" s="78">
        <v>402930</v>
      </c>
      <c r="N13" s="78">
        <v>606430</v>
      </c>
      <c r="O13" s="78">
        <v>809930</v>
      </c>
      <c r="P13" s="78">
        <v>809930</v>
      </c>
      <c r="Q13" s="2"/>
      <c r="R13" s="5">
        <f t="shared" si="0"/>
        <v>201465</v>
      </c>
      <c r="S13" s="5">
        <f t="shared" si="1"/>
        <v>402930</v>
      </c>
      <c r="T13" s="5">
        <f t="shared" si="2"/>
        <v>606430</v>
      </c>
      <c r="U13" s="5">
        <f t="shared" si="3"/>
        <v>809930</v>
      </c>
      <c r="V13" s="5">
        <f t="shared" si="4"/>
        <v>809930</v>
      </c>
      <c r="AA13"/>
    </row>
    <row r="14" spans="1:27" ht="12.75" customHeight="1" x14ac:dyDescent="0.25">
      <c r="A14" s="4"/>
      <c r="C14" s="76"/>
      <c r="D14" s="77"/>
      <c r="E14" s="77"/>
      <c r="F14" s="77"/>
      <c r="G14" s="75"/>
      <c r="H14" s="2"/>
      <c r="I14" s="59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8"/>
      <c r="M14" s="78"/>
      <c r="N14" s="78"/>
      <c r="O14" s="78"/>
      <c r="P14" s="78"/>
      <c r="Q14" s="2"/>
      <c r="R14" s="5">
        <f t="shared" si="0"/>
        <v>0</v>
      </c>
      <c r="S14" s="5">
        <f t="shared" si="1"/>
        <v>0</v>
      </c>
      <c r="T14" s="5">
        <f t="shared" si="2"/>
        <v>0</v>
      </c>
      <c r="U14" s="5">
        <f t="shared" si="3"/>
        <v>0</v>
      </c>
      <c r="V14" s="5">
        <f t="shared" si="4"/>
        <v>0</v>
      </c>
      <c r="AA14"/>
    </row>
    <row r="15" spans="1:27" ht="12.75" customHeight="1" x14ac:dyDescent="0.25">
      <c r="A15" s="4"/>
      <c r="C15" s="76" t="s">
        <v>76</v>
      </c>
      <c r="D15" s="77" t="s">
        <v>53</v>
      </c>
      <c r="E15" s="77" t="s">
        <v>11</v>
      </c>
      <c r="F15" s="77" t="s">
        <v>40</v>
      </c>
      <c r="G15" s="75" t="s">
        <v>1</v>
      </c>
      <c r="H15" s="2"/>
      <c r="I15" s="59">
        <f>IF(AND($E15="Labour",$F15="IT Labour"),Assumptions!$B$14,
IF(AND($E15="Labour",$F15="IT Specialist"),Assumptions!$B$16,""))</f>
        <v>145.77740895836223</v>
      </c>
      <c r="J15" s="9" t="str">
        <f t="shared" si="5"/>
        <v>Hours</v>
      </c>
      <c r="K15" s="2"/>
      <c r="L15" s="78">
        <v>1200</v>
      </c>
      <c r="M15" s="78">
        <v>880</v>
      </c>
      <c r="N15" s="78">
        <v>800</v>
      </c>
      <c r="O15" s="78">
        <v>800</v>
      </c>
      <c r="P15" s="78">
        <v>479.99999999999994</v>
      </c>
      <c r="Q15" s="2"/>
      <c r="R15" s="5">
        <f t="shared" si="0"/>
        <v>174932.89075003468</v>
      </c>
      <c r="S15" s="5">
        <f t="shared" si="1"/>
        <v>128284.11988335877</v>
      </c>
      <c r="T15" s="5">
        <f t="shared" si="2"/>
        <v>116621.92716668978</v>
      </c>
      <c r="U15" s="5">
        <f t="shared" si="3"/>
        <v>116621.92716668978</v>
      </c>
      <c r="V15" s="5">
        <f t="shared" si="4"/>
        <v>69973.156300013856</v>
      </c>
      <c r="AA15"/>
    </row>
    <row r="16" spans="1:27" ht="12.75" customHeight="1" x14ac:dyDescent="0.25">
      <c r="A16" s="4"/>
      <c r="C16" s="76" t="s">
        <v>76</v>
      </c>
      <c r="D16" s="77" t="s">
        <v>53</v>
      </c>
      <c r="E16" s="77" t="s">
        <v>11</v>
      </c>
      <c r="F16" s="77" t="s">
        <v>41</v>
      </c>
      <c r="G16" s="75" t="s">
        <v>1</v>
      </c>
      <c r="H16" s="2"/>
      <c r="I16" s="59">
        <f>IF(AND($E16="Labour",$F16="IT Labour"),Assumptions!$B$14,
IF(AND($E16="Labour",$F16="IT Specialist"),Assumptions!$B$16,""))</f>
        <v>230.16624999999999</v>
      </c>
      <c r="J16" s="9" t="str">
        <f t="shared" si="5"/>
        <v>Hours</v>
      </c>
      <c r="K16" s="2"/>
      <c r="L16" s="78">
        <v>6000</v>
      </c>
      <c r="M16" s="78">
        <v>4400</v>
      </c>
      <c r="N16" s="78">
        <v>3999.9999999999995</v>
      </c>
      <c r="O16" s="78">
        <v>3999.9999999999995</v>
      </c>
      <c r="P16" s="78">
        <v>2400</v>
      </c>
      <c r="Q16" s="2"/>
      <c r="R16" s="5">
        <f t="shared" si="0"/>
        <v>1380997.5</v>
      </c>
      <c r="S16" s="5">
        <f t="shared" si="1"/>
        <v>1012731.5</v>
      </c>
      <c r="T16" s="5">
        <f t="shared" si="2"/>
        <v>920664.99999999988</v>
      </c>
      <c r="U16" s="5">
        <f t="shared" si="3"/>
        <v>920664.99999999988</v>
      </c>
      <c r="V16" s="5">
        <f t="shared" si="4"/>
        <v>552399</v>
      </c>
      <c r="AA16"/>
    </row>
    <row r="17" spans="1:27" ht="12.75" customHeight="1" x14ac:dyDescent="0.25">
      <c r="A17" s="4"/>
      <c r="C17" s="76" t="s">
        <v>76</v>
      </c>
      <c r="D17" s="77" t="s">
        <v>53</v>
      </c>
      <c r="E17" s="77" t="s">
        <v>12</v>
      </c>
      <c r="F17" s="77"/>
      <c r="G17" s="75" t="s">
        <v>1</v>
      </c>
      <c r="H17" s="2"/>
      <c r="I17" s="59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8">
        <v>1240500</v>
      </c>
      <c r="M17" s="78">
        <v>1421750</v>
      </c>
      <c r="N17" s="78">
        <v>1121750</v>
      </c>
      <c r="O17" s="78">
        <v>1496750</v>
      </c>
      <c r="P17" s="78">
        <v>1552750</v>
      </c>
      <c r="Q17" s="2"/>
      <c r="R17" s="5">
        <f t="shared" si="0"/>
        <v>1240500</v>
      </c>
      <c r="S17" s="5">
        <f t="shared" si="1"/>
        <v>1421750</v>
      </c>
      <c r="T17" s="5">
        <f t="shared" si="2"/>
        <v>1121750</v>
      </c>
      <c r="U17" s="5">
        <f t="shared" si="3"/>
        <v>1496750</v>
      </c>
      <c r="V17" s="5">
        <f t="shared" si="4"/>
        <v>1552750</v>
      </c>
      <c r="AA17"/>
    </row>
    <row r="18" spans="1:27" ht="12.75" customHeight="1" x14ac:dyDescent="0.25">
      <c r="A18" s="4"/>
      <c r="C18" s="76" t="s">
        <v>80</v>
      </c>
      <c r="D18" s="77" t="s">
        <v>50</v>
      </c>
      <c r="E18" s="77" t="s">
        <v>12</v>
      </c>
      <c r="F18" s="77"/>
      <c r="G18" s="75" t="s">
        <v>1</v>
      </c>
      <c r="H18" s="2"/>
      <c r="I18" s="59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8">
        <v>128266.05</v>
      </c>
      <c r="M18" s="78">
        <v>360083.07500000001</v>
      </c>
      <c r="N18" s="78">
        <v>567123.97499999998</v>
      </c>
      <c r="O18" s="78">
        <v>795532.375</v>
      </c>
      <c r="P18" s="78">
        <v>1049296.875</v>
      </c>
      <c r="Q18" s="2"/>
      <c r="R18" s="5">
        <f t="shared" si="0"/>
        <v>128266.05</v>
      </c>
      <c r="S18" s="5">
        <f t="shared" si="1"/>
        <v>360083.07500000001</v>
      </c>
      <c r="T18" s="5">
        <f t="shared" si="2"/>
        <v>567123.97499999998</v>
      </c>
      <c r="U18" s="5">
        <f t="shared" si="3"/>
        <v>795532.375</v>
      </c>
      <c r="V18" s="5">
        <f t="shared" si="4"/>
        <v>1049296.875</v>
      </c>
      <c r="AA18"/>
    </row>
    <row r="19" spans="1:27" ht="12.75" customHeight="1" x14ac:dyDescent="0.25">
      <c r="A19" s="4"/>
      <c r="C19" s="76"/>
      <c r="D19" s="77"/>
      <c r="E19" s="77"/>
      <c r="F19" s="77"/>
      <c r="G19" s="75"/>
      <c r="H19" s="2"/>
      <c r="I19" s="59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8"/>
      <c r="M19" s="78"/>
      <c r="N19" s="78"/>
      <c r="O19" s="78"/>
      <c r="P19" s="78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25">
      <c r="A20" s="4"/>
      <c r="C20" s="76" t="s">
        <v>77</v>
      </c>
      <c r="D20" s="77" t="s">
        <v>53</v>
      </c>
      <c r="E20" s="77" t="s">
        <v>11</v>
      </c>
      <c r="F20" s="77" t="s">
        <v>40</v>
      </c>
      <c r="G20" s="75" t="s">
        <v>1</v>
      </c>
      <c r="H20" s="2"/>
      <c r="I20" s="59">
        <f>IF(AND($E20="Labour",$F20="IT Labour"),Assumptions!$B$14,
IF(AND($E20="Labour",$F20="IT Specialist"),Assumptions!$B$16,""))</f>
        <v>145.77740895836223</v>
      </c>
      <c r="J20" s="9" t="str">
        <f t="shared" si="5"/>
        <v>Hours</v>
      </c>
      <c r="K20" s="2"/>
      <c r="L20" s="78">
        <v>3063.6</v>
      </c>
      <c r="M20" s="78">
        <v>2649.2</v>
      </c>
      <c r="N20" s="78">
        <v>2649.2</v>
      </c>
      <c r="O20" s="78">
        <v>2649.2</v>
      </c>
      <c r="P20" s="78">
        <v>2131.1999999999998</v>
      </c>
      <c r="Q20" s="2"/>
      <c r="R20" s="5">
        <f t="shared" si="0"/>
        <v>446603.67008483852</v>
      </c>
      <c r="S20" s="5">
        <f t="shared" si="1"/>
        <v>386193.51181249321</v>
      </c>
      <c r="T20" s="5">
        <f t="shared" si="2"/>
        <v>386193.51181249321</v>
      </c>
      <c r="U20" s="5">
        <f t="shared" si="3"/>
        <v>386193.51181249321</v>
      </c>
      <c r="V20" s="5">
        <f t="shared" si="4"/>
        <v>310680.81397206156</v>
      </c>
      <c r="AA20"/>
    </row>
    <row r="21" spans="1:27" ht="12.75" customHeight="1" x14ac:dyDescent="0.25">
      <c r="A21" s="4"/>
      <c r="C21" s="76" t="s">
        <v>77</v>
      </c>
      <c r="D21" s="77" t="s">
        <v>53</v>
      </c>
      <c r="E21" s="77" t="s">
        <v>11</v>
      </c>
      <c r="F21" s="77" t="s">
        <v>41</v>
      </c>
      <c r="G21" s="75" t="s">
        <v>1</v>
      </c>
      <c r="H21" s="2"/>
      <c r="I21" s="59">
        <f>IF(AND($E21="Labour",$F21="IT Labour"),Assumptions!$B$14,
IF(AND($E21="Labour",$F21="IT Specialist"),Assumptions!$B$16,""))</f>
        <v>230.16624999999999</v>
      </c>
      <c r="J21" s="9" t="str">
        <f t="shared" si="5"/>
        <v>Hours</v>
      </c>
      <c r="K21" s="2"/>
      <c r="L21" s="78">
        <v>6793.1999999999989</v>
      </c>
      <c r="M21" s="78">
        <v>5964.3999999999987</v>
      </c>
      <c r="N21" s="78">
        <v>5964.3999999999987</v>
      </c>
      <c r="O21" s="78">
        <v>5964.3999999999987</v>
      </c>
      <c r="P21" s="78">
        <v>4972.7999999999993</v>
      </c>
      <c r="Q21" s="2"/>
      <c r="R21" s="5">
        <f t="shared" si="0"/>
        <v>1563565.3694999998</v>
      </c>
      <c r="S21" s="5">
        <f t="shared" si="1"/>
        <v>1372803.5814999996</v>
      </c>
      <c r="T21" s="5">
        <f t="shared" si="2"/>
        <v>1372803.5814999996</v>
      </c>
      <c r="U21" s="5">
        <f t="shared" si="3"/>
        <v>1372803.5814999996</v>
      </c>
      <c r="V21" s="5">
        <f t="shared" si="4"/>
        <v>1144570.7279999999</v>
      </c>
      <c r="AA21"/>
    </row>
    <row r="22" spans="1:27" ht="12.75" customHeight="1" x14ac:dyDescent="0.25">
      <c r="A22" s="4"/>
      <c r="C22" s="76" t="s">
        <v>77</v>
      </c>
      <c r="D22" s="77" t="s">
        <v>53</v>
      </c>
      <c r="E22" s="77" t="s">
        <v>12</v>
      </c>
      <c r="F22" s="77"/>
      <c r="G22" s="75" t="s">
        <v>1</v>
      </c>
      <c r="H22" s="2"/>
      <c r="I22" s="59" t="str">
        <f>IF(AND($E22="Labour",$F22="IT Labour"),Assumptions!$B$14,
IF(AND($E22="Labour",$F22="IT Specialist"),Assumptions!$B$16,""))</f>
        <v/>
      </c>
      <c r="J22" s="9" t="str">
        <f t="shared" si="5"/>
        <v>$</v>
      </c>
      <c r="K22" s="2"/>
      <c r="L22" s="78">
        <v>2565950</v>
      </c>
      <c r="M22" s="78">
        <v>1147000</v>
      </c>
      <c r="N22" s="78">
        <v>1147000</v>
      </c>
      <c r="O22" s="78">
        <v>1147000</v>
      </c>
      <c r="P22" s="78">
        <v>0</v>
      </c>
      <c r="Q22" s="2"/>
      <c r="R22" s="5">
        <f t="shared" si="0"/>
        <v>2565950</v>
      </c>
      <c r="S22" s="5">
        <f t="shared" si="1"/>
        <v>1147000</v>
      </c>
      <c r="T22" s="5">
        <f t="shared" si="2"/>
        <v>1147000</v>
      </c>
      <c r="U22" s="5">
        <f t="shared" si="3"/>
        <v>1147000</v>
      </c>
      <c r="V22" s="5">
        <f t="shared" si="4"/>
        <v>0</v>
      </c>
      <c r="AA22"/>
    </row>
    <row r="23" spans="1:27" ht="12.75" customHeight="1" x14ac:dyDescent="0.25">
      <c r="A23" s="4"/>
      <c r="C23" s="76" t="s">
        <v>81</v>
      </c>
      <c r="D23" s="77" t="s">
        <v>50</v>
      </c>
      <c r="E23" s="77" t="s">
        <v>12</v>
      </c>
      <c r="F23" s="77"/>
      <c r="G23" s="75" t="s">
        <v>1</v>
      </c>
      <c r="H23" s="2"/>
      <c r="I23" s="59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8">
        <v>344322</v>
      </c>
      <c r="M23" s="78">
        <v>690679</v>
      </c>
      <c r="N23" s="78">
        <v>943019</v>
      </c>
      <c r="O23" s="78">
        <v>1195359</v>
      </c>
      <c r="P23" s="78">
        <v>1321529</v>
      </c>
      <c r="Q23" s="2"/>
      <c r="R23" s="5">
        <f t="shared" si="0"/>
        <v>344322</v>
      </c>
      <c r="S23" s="5">
        <f t="shared" si="1"/>
        <v>690679</v>
      </c>
      <c r="T23" s="5">
        <f t="shared" si="2"/>
        <v>943019</v>
      </c>
      <c r="U23" s="5">
        <f t="shared" si="3"/>
        <v>1195359</v>
      </c>
      <c r="V23" s="5">
        <f t="shared" si="4"/>
        <v>1321529</v>
      </c>
      <c r="AA23"/>
    </row>
    <row r="24" spans="1:27" ht="12.75" customHeight="1" x14ac:dyDescent="0.25">
      <c r="A24" s="4"/>
      <c r="C24" s="76"/>
      <c r="D24" s="77"/>
      <c r="E24" s="77"/>
      <c r="F24" s="77"/>
      <c r="G24" s="75"/>
      <c r="H24" s="2"/>
      <c r="I24" s="59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8"/>
      <c r="M24" s="78"/>
      <c r="N24" s="78"/>
      <c r="O24" s="78"/>
      <c r="P24" s="78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76" t="s">
        <v>78</v>
      </c>
      <c r="D25" s="77" t="s">
        <v>53</v>
      </c>
      <c r="E25" s="77" t="s">
        <v>11</v>
      </c>
      <c r="F25" s="77" t="s">
        <v>40</v>
      </c>
      <c r="G25" s="75" t="s">
        <v>1</v>
      </c>
      <c r="H25" s="2"/>
      <c r="I25" s="59">
        <f>IF(AND($E25="Labour",$F25="IT Labour"),Assumptions!$B$14,
IF(AND($E25="Labour",$F25="IT Specialist"),Assumptions!$B$16,""))</f>
        <v>145.77740895836223</v>
      </c>
      <c r="J25" s="9" t="str">
        <f t="shared" si="5"/>
        <v>Hours</v>
      </c>
      <c r="K25" s="2"/>
      <c r="L25" s="78">
        <v>473.6</v>
      </c>
      <c r="M25" s="78">
        <v>325.60000000000002</v>
      </c>
      <c r="N25" s="78">
        <v>384.79999999999995</v>
      </c>
      <c r="O25" s="78">
        <v>325.60000000000002</v>
      </c>
      <c r="P25" s="78">
        <v>0</v>
      </c>
      <c r="Q25" s="2"/>
      <c r="R25" s="5">
        <f t="shared" si="0"/>
        <v>69040.180882680361</v>
      </c>
      <c r="S25" s="5">
        <f t="shared" si="1"/>
        <v>47465.124356842745</v>
      </c>
      <c r="T25" s="5">
        <f t="shared" si="2"/>
        <v>56095.146967177781</v>
      </c>
      <c r="U25" s="5">
        <f t="shared" si="3"/>
        <v>47465.124356842745</v>
      </c>
      <c r="V25" s="5">
        <f t="shared" si="4"/>
        <v>0</v>
      </c>
      <c r="AA25"/>
    </row>
    <row r="26" spans="1:27" ht="12.75" customHeight="1" x14ac:dyDescent="0.25">
      <c r="A26" s="4"/>
      <c r="C26" s="76" t="s">
        <v>78</v>
      </c>
      <c r="D26" s="77" t="s">
        <v>53</v>
      </c>
      <c r="E26" s="77" t="s">
        <v>11</v>
      </c>
      <c r="F26" s="77" t="s">
        <v>41</v>
      </c>
      <c r="G26" s="75" t="s">
        <v>1</v>
      </c>
      <c r="H26" s="2"/>
      <c r="I26" s="59">
        <f>IF(AND($E26="Labour",$F26="IT Labour"),Assumptions!$B$14,
IF(AND($E26="Labour",$F26="IT Specialist"),Assumptions!$B$16,""))</f>
        <v>230.16624999999999</v>
      </c>
      <c r="J26" s="9" t="str">
        <f t="shared" si="5"/>
        <v>Hours</v>
      </c>
      <c r="K26" s="2"/>
      <c r="L26" s="78">
        <v>947.2</v>
      </c>
      <c r="M26" s="78">
        <v>562.4</v>
      </c>
      <c r="N26" s="78">
        <v>680.8</v>
      </c>
      <c r="O26" s="78">
        <v>562.4</v>
      </c>
      <c r="P26" s="78">
        <v>0</v>
      </c>
      <c r="Q26" s="2"/>
      <c r="R26" s="5">
        <f t="shared" si="0"/>
        <v>218013.47200000001</v>
      </c>
      <c r="S26" s="5">
        <f t="shared" si="1"/>
        <v>129445.499</v>
      </c>
      <c r="T26" s="5">
        <f t="shared" si="2"/>
        <v>156697.18299999999</v>
      </c>
      <c r="U26" s="5">
        <f t="shared" si="3"/>
        <v>129445.499</v>
      </c>
      <c r="V26" s="5">
        <f t="shared" si="4"/>
        <v>0</v>
      </c>
      <c r="AA26"/>
    </row>
    <row r="27" spans="1:27" ht="12.75" customHeight="1" x14ac:dyDescent="0.25">
      <c r="A27" s="4"/>
      <c r="C27" s="76" t="s">
        <v>78</v>
      </c>
      <c r="D27" s="77" t="s">
        <v>53</v>
      </c>
      <c r="E27" s="77" t="s">
        <v>12</v>
      </c>
      <c r="F27" s="77"/>
      <c r="G27" s="75" t="s">
        <v>1</v>
      </c>
      <c r="H27" s="2"/>
      <c r="I27" s="59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8">
        <v>888000</v>
      </c>
      <c r="M27" s="78">
        <v>412550</v>
      </c>
      <c r="N27" s="78">
        <v>865800</v>
      </c>
      <c r="O27" s="78">
        <v>562400</v>
      </c>
      <c r="P27" s="78">
        <v>236800</v>
      </c>
      <c r="Q27" s="2"/>
      <c r="R27" s="5">
        <f t="shared" si="0"/>
        <v>888000</v>
      </c>
      <c r="S27" s="5">
        <f t="shared" si="1"/>
        <v>412550</v>
      </c>
      <c r="T27" s="5">
        <f t="shared" si="2"/>
        <v>865800</v>
      </c>
      <c r="U27" s="5">
        <f t="shared" si="3"/>
        <v>562400</v>
      </c>
      <c r="V27" s="5">
        <f t="shared" si="4"/>
        <v>236800</v>
      </c>
      <c r="AA27"/>
    </row>
    <row r="28" spans="1:27" ht="12.75" customHeight="1" x14ac:dyDescent="0.25">
      <c r="A28" s="4"/>
      <c r="C28" s="76" t="s">
        <v>82</v>
      </c>
      <c r="D28" s="77" t="s">
        <v>50</v>
      </c>
      <c r="E28" s="77" t="s">
        <v>12</v>
      </c>
      <c r="F28" s="77"/>
      <c r="G28" s="75" t="s">
        <v>1</v>
      </c>
      <c r="H28" s="2"/>
      <c r="I28" s="59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8">
        <v>93610</v>
      </c>
      <c r="M28" s="78">
        <v>286121</v>
      </c>
      <c r="N28" s="78">
        <v>476597</v>
      </c>
      <c r="O28" s="78">
        <v>600325</v>
      </c>
      <c r="P28" s="78">
        <v>652421</v>
      </c>
      <c r="Q28" s="2"/>
      <c r="R28" s="5">
        <f t="shared" si="0"/>
        <v>93610</v>
      </c>
      <c r="S28" s="5">
        <f t="shared" si="1"/>
        <v>286121</v>
      </c>
      <c r="T28" s="5">
        <f t="shared" si="2"/>
        <v>476597</v>
      </c>
      <c r="U28" s="5">
        <f t="shared" si="3"/>
        <v>600325</v>
      </c>
      <c r="V28" s="5">
        <f t="shared" si="4"/>
        <v>652421</v>
      </c>
      <c r="AA28"/>
    </row>
    <row r="29" spans="1:27" ht="12.75" customHeight="1" x14ac:dyDescent="0.25">
      <c r="A29" s="4"/>
      <c r="C29" s="76"/>
      <c r="D29" s="77"/>
      <c r="E29" s="77"/>
      <c r="F29" s="77"/>
      <c r="G29" s="75"/>
      <c r="H29" s="2"/>
      <c r="I29" s="59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8"/>
      <c r="M29" s="78"/>
      <c r="N29" s="78"/>
      <c r="O29" s="78"/>
      <c r="P29" s="78"/>
      <c r="Q29" s="2"/>
      <c r="R29" s="5">
        <f t="shared" si="0"/>
        <v>0</v>
      </c>
      <c r="S29" s="5">
        <f t="shared" si="1"/>
        <v>0</v>
      </c>
      <c r="T29" s="5">
        <f t="shared" si="2"/>
        <v>0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25">
      <c r="A30" s="4"/>
      <c r="C30" s="76" t="s">
        <v>83</v>
      </c>
      <c r="D30" s="77" t="s">
        <v>50</v>
      </c>
      <c r="E30" s="77" t="s">
        <v>12</v>
      </c>
      <c r="F30" s="77"/>
      <c r="G30" s="75" t="s">
        <v>1</v>
      </c>
      <c r="H30" s="2"/>
      <c r="I30" s="59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8">
        <v>-2134900</v>
      </c>
      <c r="M30" s="78">
        <v>-2134900</v>
      </c>
      <c r="N30" s="78">
        <v>-2134900</v>
      </c>
      <c r="O30" s="78">
        <v>-2134900</v>
      </c>
      <c r="P30" s="78">
        <v>-2134900</v>
      </c>
      <c r="Q30" s="2"/>
      <c r="R30" s="5">
        <f t="shared" si="0"/>
        <v>-2134900</v>
      </c>
      <c r="S30" s="5">
        <f t="shared" si="1"/>
        <v>-2134900</v>
      </c>
      <c r="T30" s="5">
        <f t="shared" si="2"/>
        <v>-2134900</v>
      </c>
      <c r="U30" s="5">
        <f t="shared" si="3"/>
        <v>-2134900</v>
      </c>
      <c r="V30" s="5">
        <f t="shared" si="4"/>
        <v>-2134900</v>
      </c>
      <c r="AA30"/>
    </row>
    <row r="31" spans="1:27" ht="12.75" customHeight="1" x14ac:dyDescent="0.25">
      <c r="A31" s="4"/>
      <c r="C31" s="76"/>
      <c r="D31" s="77"/>
      <c r="E31" s="77"/>
      <c r="F31" s="77"/>
      <c r="G31" s="75"/>
      <c r="H31" s="2"/>
      <c r="I31" s="59" t="str">
        <f>IF(AND($E31="Labour",$F31="IT Labour"),Assumptions!$B$14,
IF(AND($E31="Labour",$F31="IT Specialist"),Assumptions!$B$16,""))</f>
        <v/>
      </c>
      <c r="J31" s="9" t="str">
        <f t="shared" si="5"/>
        <v>$</v>
      </c>
      <c r="K31" s="2"/>
      <c r="L31" s="78"/>
      <c r="M31" s="78"/>
      <c r="N31" s="78"/>
      <c r="O31" s="78"/>
      <c r="P31" s="78"/>
      <c r="Q31" s="2"/>
      <c r="R31" s="5">
        <f t="shared" si="0"/>
        <v>0</v>
      </c>
      <c r="S31" s="5">
        <f t="shared" si="1"/>
        <v>0</v>
      </c>
      <c r="T31" s="5">
        <f t="shared" si="2"/>
        <v>0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76"/>
      <c r="D32" s="77"/>
      <c r="E32" s="77"/>
      <c r="F32" s="77"/>
      <c r="G32" s="75"/>
      <c r="H32" s="2"/>
      <c r="I32" s="59" t="str">
        <f>IF(AND($E32="Labour",$F32="IT Labour"),Assumptions!$B$14,
IF(AND($E32="Labour",$F32="IT Specialist"),Assumptions!$B$16,""))</f>
        <v/>
      </c>
      <c r="J32" s="9" t="str">
        <f t="shared" si="5"/>
        <v>$</v>
      </c>
      <c r="K32" s="2"/>
      <c r="L32" s="78"/>
      <c r="M32" s="78"/>
      <c r="N32" s="78"/>
      <c r="O32" s="78"/>
      <c r="P32" s="78"/>
      <c r="Q32" s="2"/>
      <c r="R32" s="5">
        <f t="shared" si="0"/>
        <v>0</v>
      </c>
      <c r="S32" s="5">
        <f t="shared" si="1"/>
        <v>0</v>
      </c>
      <c r="T32" s="5">
        <f t="shared" si="2"/>
        <v>0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6"/>
      <c r="D33" s="77"/>
      <c r="E33" s="77"/>
      <c r="F33" s="77"/>
      <c r="G33" s="75"/>
      <c r="H33" s="2"/>
      <c r="I33" s="59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8"/>
      <c r="M33" s="78"/>
      <c r="N33" s="78"/>
      <c r="O33" s="78"/>
      <c r="P33" s="78"/>
      <c r="Q33" s="2"/>
      <c r="R33" s="5">
        <f t="shared" si="0"/>
        <v>0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76"/>
      <c r="D34" s="77"/>
      <c r="E34" s="77"/>
      <c r="F34" s="77"/>
      <c r="G34" s="75"/>
      <c r="H34" s="2"/>
      <c r="I34" s="59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8"/>
      <c r="M34" s="78"/>
      <c r="N34" s="78"/>
      <c r="O34" s="78"/>
      <c r="P34" s="78"/>
      <c r="Q34" s="2"/>
      <c r="R34" s="5">
        <f t="shared" si="0"/>
        <v>0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6"/>
      <c r="D35" s="77"/>
      <c r="E35" s="77"/>
      <c r="F35" s="77"/>
      <c r="G35" s="75"/>
      <c r="H35" s="2"/>
      <c r="I35" s="59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8"/>
      <c r="M35" s="78"/>
      <c r="N35" s="78"/>
      <c r="O35" s="78"/>
      <c r="P35" s="78"/>
      <c r="Q35" s="2"/>
      <c r="R35" s="5">
        <f t="shared" si="0"/>
        <v>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25">
      <c r="A36" s="4"/>
      <c r="C36" s="76"/>
      <c r="D36" s="77"/>
      <c r="E36" s="77"/>
      <c r="F36" s="77"/>
      <c r="G36" s="75"/>
      <c r="H36" s="2"/>
      <c r="I36" s="59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8"/>
      <c r="M36" s="78"/>
      <c r="N36" s="78"/>
      <c r="O36" s="78"/>
      <c r="P36" s="78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6"/>
      <c r="D37" s="77"/>
      <c r="E37" s="77"/>
      <c r="F37" s="77"/>
      <c r="G37" s="75"/>
      <c r="H37" s="2"/>
      <c r="I37" s="59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8"/>
      <c r="M37" s="78"/>
      <c r="N37" s="78"/>
      <c r="O37" s="78"/>
      <c r="P37" s="78"/>
      <c r="Q37" s="2"/>
      <c r="R37" s="5">
        <f t="shared" si="0"/>
        <v>0</v>
      </c>
      <c r="S37" s="5">
        <f t="shared" si="1"/>
        <v>0</v>
      </c>
      <c r="T37" s="5">
        <f t="shared" si="2"/>
        <v>0</v>
      </c>
      <c r="U37" s="5">
        <f t="shared" si="3"/>
        <v>0</v>
      </c>
      <c r="V37" s="5">
        <f t="shared" si="4"/>
        <v>0</v>
      </c>
      <c r="AA37"/>
    </row>
    <row r="38" spans="1:27" ht="12.75" customHeight="1" x14ac:dyDescent="0.25">
      <c r="A38" s="4"/>
      <c r="C38" s="76"/>
      <c r="D38" s="77"/>
      <c r="E38" s="77"/>
      <c r="F38" s="77"/>
      <c r="G38" s="75"/>
      <c r="H38" s="2"/>
      <c r="I38" s="59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8"/>
      <c r="M38" s="78"/>
      <c r="N38" s="78"/>
      <c r="O38" s="78"/>
      <c r="P38" s="78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6"/>
      <c r="D39" s="77"/>
      <c r="E39" s="77"/>
      <c r="F39" s="77"/>
      <c r="G39" s="75"/>
      <c r="H39" s="2"/>
      <c r="I39" s="59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8"/>
      <c r="M39" s="78"/>
      <c r="N39" s="78"/>
      <c r="O39" s="78"/>
      <c r="P39" s="78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6"/>
      <c r="D40" s="77"/>
      <c r="E40" s="77"/>
      <c r="F40" s="77"/>
      <c r="G40" s="75"/>
      <c r="H40" s="2"/>
      <c r="I40" s="59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8"/>
      <c r="M40" s="78"/>
      <c r="N40" s="78"/>
      <c r="O40" s="78"/>
      <c r="P40" s="78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6"/>
      <c r="D41" s="77"/>
      <c r="E41" s="77"/>
      <c r="F41" s="77"/>
      <c r="G41" s="75"/>
      <c r="H41" s="2"/>
      <c r="I41" s="59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8"/>
      <c r="M41" s="78"/>
      <c r="N41" s="78"/>
      <c r="O41" s="78"/>
      <c r="P41" s="78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6"/>
      <c r="D42" s="77"/>
      <c r="E42" s="77"/>
      <c r="F42" s="77"/>
      <c r="G42" s="75"/>
      <c r="H42" s="2"/>
      <c r="I42" s="59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8"/>
      <c r="M42" s="78"/>
      <c r="N42" s="78"/>
      <c r="O42" s="78"/>
      <c r="P42" s="78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6"/>
      <c r="D43" s="77"/>
      <c r="E43" s="77"/>
      <c r="F43" s="77"/>
      <c r="G43" s="75"/>
      <c r="H43" s="2"/>
      <c r="I43" s="59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8"/>
      <c r="M43" s="78"/>
      <c r="N43" s="78"/>
      <c r="O43" s="78"/>
      <c r="P43" s="78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6"/>
      <c r="D44" s="77"/>
      <c r="E44" s="77"/>
      <c r="F44" s="77"/>
      <c r="G44" s="75"/>
      <c r="H44" s="2"/>
      <c r="I44" s="59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8"/>
      <c r="M44" s="78"/>
      <c r="N44" s="78"/>
      <c r="O44" s="78"/>
      <c r="P44" s="78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6"/>
      <c r="D45" s="77"/>
      <c r="E45" s="77"/>
      <c r="F45" s="77"/>
      <c r="G45" s="75"/>
      <c r="H45" s="2"/>
      <c r="I45" s="59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8"/>
      <c r="M45" s="78"/>
      <c r="N45" s="78"/>
      <c r="O45" s="78"/>
      <c r="P45" s="78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6"/>
      <c r="D46" s="77"/>
      <c r="E46" s="77"/>
      <c r="F46" s="77"/>
      <c r="G46" s="75"/>
      <c r="H46" s="2"/>
      <c r="I46" s="59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8"/>
      <c r="M46" s="78"/>
      <c r="N46" s="78"/>
      <c r="O46" s="78"/>
      <c r="P46" s="78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6"/>
      <c r="D47" s="77"/>
      <c r="E47" s="77"/>
      <c r="F47" s="77"/>
      <c r="G47" s="75"/>
      <c r="H47" s="2"/>
      <c r="I47" s="59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8"/>
      <c r="M47" s="78"/>
      <c r="N47" s="78"/>
      <c r="O47" s="78"/>
      <c r="P47" s="78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6"/>
      <c r="D48" s="77"/>
      <c r="E48" s="77"/>
      <c r="F48" s="77"/>
      <c r="G48" s="75"/>
      <c r="H48" s="2"/>
      <c r="I48" s="59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8"/>
      <c r="M48" s="78"/>
      <c r="N48" s="78"/>
      <c r="O48" s="78"/>
      <c r="P48" s="78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6"/>
      <c r="D49" s="77"/>
      <c r="E49" s="77"/>
      <c r="F49" s="77"/>
      <c r="G49" s="75"/>
      <c r="H49" s="2"/>
      <c r="I49" s="59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8"/>
      <c r="M49" s="78"/>
      <c r="N49" s="78"/>
      <c r="O49" s="78"/>
      <c r="P49" s="78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6"/>
      <c r="D50" s="77"/>
      <c r="E50" s="77"/>
      <c r="F50" s="77"/>
      <c r="G50" s="75"/>
      <c r="H50" s="2"/>
      <c r="I50" s="59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8"/>
      <c r="M50" s="78"/>
      <c r="N50" s="78"/>
      <c r="O50" s="78"/>
      <c r="P50" s="78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6"/>
      <c r="D51" s="77"/>
      <c r="E51" s="77"/>
      <c r="F51" s="77"/>
      <c r="G51" s="75"/>
      <c r="H51" s="2"/>
      <c r="I51" s="59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8"/>
      <c r="M51" s="78"/>
      <c r="N51" s="78"/>
      <c r="O51" s="78"/>
      <c r="P51" s="78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6"/>
      <c r="D52" s="77"/>
      <c r="E52" s="77"/>
      <c r="F52" s="77"/>
      <c r="G52" s="75"/>
      <c r="H52" s="2"/>
      <c r="I52" s="59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8"/>
      <c r="M52" s="78"/>
      <c r="N52" s="78"/>
      <c r="O52" s="78"/>
      <c r="P52" s="78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6"/>
      <c r="D53" s="77"/>
      <c r="E53" s="77"/>
      <c r="F53" s="77"/>
      <c r="G53" s="75"/>
      <c r="H53" s="2"/>
      <c r="I53" s="59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8"/>
      <c r="M53" s="78"/>
      <c r="N53" s="78"/>
      <c r="O53" s="78"/>
      <c r="P53" s="78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6"/>
      <c r="D54" s="77"/>
      <c r="E54" s="77"/>
      <c r="F54" s="77"/>
      <c r="G54" s="75"/>
      <c r="H54" s="2"/>
      <c r="I54" s="59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8"/>
      <c r="M54" s="78"/>
      <c r="N54" s="78"/>
      <c r="O54" s="78"/>
      <c r="P54" s="78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6"/>
      <c r="D55" s="77"/>
      <c r="E55" s="77"/>
      <c r="F55" s="77"/>
      <c r="G55" s="75"/>
      <c r="H55" s="2"/>
      <c r="I55" s="59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8"/>
      <c r="M55" s="78"/>
      <c r="N55" s="78"/>
      <c r="O55" s="78"/>
      <c r="P55" s="78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6"/>
      <c r="D56" s="77"/>
      <c r="E56" s="77"/>
      <c r="F56" s="77"/>
      <c r="G56" s="75"/>
      <c r="H56" s="2"/>
      <c r="I56" s="59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8"/>
      <c r="M56" s="78"/>
      <c r="N56" s="78"/>
      <c r="O56" s="78"/>
      <c r="P56" s="78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6"/>
      <c r="D57" s="77"/>
      <c r="E57" s="77"/>
      <c r="F57" s="77"/>
      <c r="G57" s="75"/>
      <c r="H57" s="2"/>
      <c r="I57" s="59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8"/>
      <c r="M57" s="78"/>
      <c r="N57" s="78"/>
      <c r="O57" s="78"/>
      <c r="P57" s="78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6"/>
      <c r="D58" s="77"/>
      <c r="E58" s="77"/>
      <c r="F58" s="77"/>
      <c r="G58" s="75"/>
      <c r="H58" s="2"/>
      <c r="I58" s="59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8"/>
      <c r="M58" s="78"/>
      <c r="N58" s="78"/>
      <c r="O58" s="78"/>
      <c r="P58" s="78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6"/>
      <c r="D59" s="77"/>
      <c r="E59" s="77"/>
      <c r="F59" s="77"/>
      <c r="G59" s="75"/>
      <c r="H59" s="2"/>
      <c r="I59" s="59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8"/>
      <c r="M59" s="78"/>
      <c r="N59" s="78"/>
      <c r="O59" s="78"/>
      <c r="P59" s="78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6"/>
      <c r="D60" s="77"/>
      <c r="E60" s="77"/>
      <c r="F60" s="77"/>
      <c r="G60" s="75"/>
      <c r="H60" s="2"/>
      <c r="I60" s="59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8"/>
      <c r="M60" s="78"/>
      <c r="N60" s="78"/>
      <c r="O60" s="78"/>
      <c r="P60" s="78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6"/>
      <c r="D61" s="77"/>
      <c r="E61" s="77"/>
      <c r="F61" s="77"/>
      <c r="G61" s="75"/>
      <c r="H61" s="2"/>
      <c r="I61" s="59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8"/>
      <c r="M61" s="78"/>
      <c r="N61" s="78"/>
      <c r="O61" s="78"/>
      <c r="P61" s="78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6"/>
      <c r="D62" s="77"/>
      <c r="E62" s="77"/>
      <c r="F62" s="77"/>
      <c r="G62" s="75"/>
      <c r="H62" s="2"/>
      <c r="I62" s="59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8"/>
      <c r="M62" s="78"/>
      <c r="N62" s="78"/>
      <c r="O62" s="78"/>
      <c r="P62" s="78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6"/>
      <c r="D63" s="77"/>
      <c r="E63" s="77"/>
      <c r="F63" s="77"/>
      <c r="G63" s="75"/>
      <c r="H63" s="2"/>
      <c r="I63" s="59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8"/>
      <c r="M63" s="78"/>
      <c r="N63" s="78"/>
      <c r="O63" s="78"/>
      <c r="P63" s="78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6"/>
      <c r="D64" s="77"/>
      <c r="E64" s="77"/>
      <c r="F64" s="77"/>
      <c r="G64" s="75"/>
      <c r="I64" s="59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8"/>
      <c r="M64" s="78"/>
      <c r="N64" s="78"/>
      <c r="O64" s="78"/>
      <c r="P64" s="78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6"/>
      <c r="D65" s="77"/>
      <c r="E65" s="77"/>
      <c r="F65" s="77"/>
      <c r="G65" s="75"/>
      <c r="I65" s="59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8"/>
      <c r="M65" s="78"/>
      <c r="N65" s="78"/>
      <c r="O65" s="78"/>
      <c r="P65" s="78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6"/>
      <c r="D66" s="77"/>
      <c r="E66" s="77"/>
      <c r="F66" s="77"/>
      <c r="G66" s="75"/>
      <c r="I66" s="59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8"/>
      <c r="M66" s="78"/>
      <c r="N66" s="78"/>
      <c r="O66" s="78"/>
      <c r="P66" s="78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6"/>
      <c r="D67" s="77"/>
      <c r="E67" s="77"/>
      <c r="F67" s="77"/>
      <c r="G67" s="75"/>
      <c r="I67" s="59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8"/>
      <c r="M67" s="78"/>
      <c r="N67" s="78"/>
      <c r="O67" s="78"/>
      <c r="P67" s="78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6"/>
      <c r="D68" s="77"/>
      <c r="E68" s="77"/>
      <c r="F68" s="77"/>
      <c r="G68" s="75"/>
      <c r="I68" s="59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8"/>
      <c r="M68" s="78"/>
      <c r="N68" s="78"/>
      <c r="O68" s="78"/>
      <c r="P68" s="78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6"/>
      <c r="D69" s="77"/>
      <c r="E69" s="77"/>
      <c r="F69" s="77"/>
      <c r="G69" s="75"/>
      <c r="I69" s="59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8"/>
      <c r="M69" s="78"/>
      <c r="N69" s="78"/>
      <c r="O69" s="78"/>
      <c r="P69" s="78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6"/>
      <c r="D70" s="77"/>
      <c r="E70" s="77"/>
      <c r="F70" s="77"/>
      <c r="G70" s="75"/>
      <c r="I70" s="59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8"/>
      <c r="M70" s="78"/>
      <c r="N70" s="78"/>
      <c r="O70" s="78"/>
      <c r="P70" s="78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54</v>
      </c>
      <c r="H73" s="2"/>
      <c r="K73" s="2"/>
      <c r="Q73" s="2"/>
      <c r="R73" s="64" t="s">
        <v>6</v>
      </c>
      <c r="S73" s="64" t="s">
        <v>7</v>
      </c>
      <c r="T73" s="64" t="s">
        <v>8</v>
      </c>
      <c r="U73" s="64" t="s">
        <v>9</v>
      </c>
      <c r="V73" s="64" t="s">
        <v>10</v>
      </c>
      <c r="W73" s="64" t="s">
        <v>0</v>
      </c>
      <c r="AA73"/>
    </row>
    <row r="74" spans="1:27" ht="12.75" customHeight="1" x14ac:dyDescent="0.2">
      <c r="C74" s="24" t="s">
        <v>11</v>
      </c>
      <c r="D74" s="24" t="s">
        <v>53</v>
      </c>
      <c r="E74" s="24"/>
      <c r="F74" s="24"/>
      <c r="G74" s="24" t="s">
        <v>1</v>
      </c>
      <c r="H74" s="2"/>
      <c r="I74" s="61"/>
      <c r="J74" s="62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4150198.3748795632</v>
      </c>
      <c r="S74" s="25">
        <f t="shared" si="11"/>
        <v>3076923.336552694</v>
      </c>
      <c r="T74" s="25">
        <f t="shared" si="11"/>
        <v>3355629.1907187058</v>
      </c>
      <c r="U74" s="25">
        <f t="shared" si="11"/>
        <v>2973194.6438360251</v>
      </c>
      <c r="V74" s="25">
        <f t="shared" si="11"/>
        <v>2077623.6982720753</v>
      </c>
      <c r="W74" s="66">
        <f>SUM(R74:V74)</f>
        <v>15633569.244259063</v>
      </c>
    </row>
    <row r="75" spans="1:27" ht="12.75" customHeight="1" x14ac:dyDescent="0.2">
      <c r="C75" s="1" t="s">
        <v>12</v>
      </c>
      <c r="D75" s="1" t="s">
        <v>53</v>
      </c>
      <c r="G75" s="1" t="s">
        <v>1</v>
      </c>
      <c r="H75" s="2"/>
      <c r="I75" s="63"/>
      <c r="K75" s="2"/>
      <c r="Q75" s="2"/>
      <c r="R75" s="6">
        <f t="shared" si="11"/>
        <v>6525950</v>
      </c>
      <c r="S75" s="6">
        <f t="shared" si="11"/>
        <v>2981300</v>
      </c>
      <c r="T75" s="6">
        <f t="shared" si="11"/>
        <v>4984550</v>
      </c>
      <c r="U75" s="6">
        <f t="shared" si="11"/>
        <v>3206150</v>
      </c>
      <c r="V75" s="6">
        <f t="shared" si="11"/>
        <v>1789550</v>
      </c>
      <c r="W75" s="67">
        <f t="shared" ref="W75:W89" si="12">SUM(R75:V75)</f>
        <v>19487500</v>
      </c>
    </row>
    <row r="76" spans="1:27" ht="12.75" customHeight="1" x14ac:dyDescent="0.2">
      <c r="C76" s="1" t="s">
        <v>13</v>
      </c>
      <c r="D76" s="1" t="s">
        <v>53</v>
      </c>
      <c r="G76" s="1" t="s">
        <v>1</v>
      </c>
      <c r="H76" s="2"/>
      <c r="I76" s="63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7">
        <f t="shared" si="12"/>
        <v>0</v>
      </c>
    </row>
    <row r="77" spans="1:27" ht="12.75" customHeight="1" x14ac:dyDescent="0.2">
      <c r="C77" s="1" t="s">
        <v>11</v>
      </c>
      <c r="D77" s="1" t="s">
        <v>53</v>
      </c>
      <c r="G77" s="1" t="s">
        <v>51</v>
      </c>
      <c r="H77" s="2"/>
      <c r="I77" s="63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7">
        <f t="shared" si="12"/>
        <v>0</v>
      </c>
    </row>
    <row r="78" spans="1:27" ht="12.75" customHeight="1" x14ac:dyDescent="0.2">
      <c r="C78" s="1" t="s">
        <v>12</v>
      </c>
      <c r="D78" s="1" t="s">
        <v>53</v>
      </c>
      <c r="G78" s="1" t="s">
        <v>51</v>
      </c>
      <c r="H78" s="2"/>
      <c r="I78" s="63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7">
        <f t="shared" si="12"/>
        <v>0</v>
      </c>
    </row>
    <row r="79" spans="1:27" ht="12.75" customHeight="1" x14ac:dyDescent="0.2">
      <c r="C79" s="1" t="s">
        <v>13</v>
      </c>
      <c r="D79" s="1" t="s">
        <v>53</v>
      </c>
      <c r="G79" s="1" t="s">
        <v>51</v>
      </c>
      <c r="H79" s="2"/>
      <c r="I79" s="63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7">
        <f t="shared" si="12"/>
        <v>0</v>
      </c>
    </row>
    <row r="80" spans="1:27" ht="12.75" customHeight="1" x14ac:dyDescent="0.2">
      <c r="C80" s="21" t="s">
        <v>14</v>
      </c>
      <c r="D80" s="21" t="s">
        <v>53</v>
      </c>
      <c r="E80" s="95"/>
      <c r="F80" s="95"/>
      <c r="G80" s="96"/>
      <c r="H80" s="2"/>
      <c r="I80" s="96"/>
      <c r="J80" s="98"/>
      <c r="K80" s="97"/>
      <c r="L80" s="95"/>
      <c r="M80" s="95"/>
      <c r="N80" s="95"/>
      <c r="O80" s="95"/>
      <c r="P80" s="95"/>
      <c r="Q80" s="2"/>
      <c r="R80" s="22">
        <f>SUM(R74:R79)</f>
        <v>10676148.374879563</v>
      </c>
      <c r="S80" s="22">
        <f t="shared" ref="S80:V80" si="13">SUM(S74:S79)</f>
        <v>6058223.3365526944</v>
      </c>
      <c r="T80" s="22">
        <f t="shared" si="13"/>
        <v>8340179.1907187058</v>
      </c>
      <c r="U80" s="22">
        <f t="shared" si="13"/>
        <v>6179344.6438360251</v>
      </c>
      <c r="V80" s="22">
        <f t="shared" si="13"/>
        <v>3867173.6982720755</v>
      </c>
      <c r="W80" s="22">
        <f>SUM(W74:W79)</f>
        <v>35121069.244259059</v>
      </c>
    </row>
    <row r="81" spans="3:24" ht="12.75" customHeight="1" x14ac:dyDescent="0.2">
      <c r="C81" s="1" t="s">
        <v>11</v>
      </c>
      <c r="D81" s="1" t="s">
        <v>50</v>
      </c>
      <c r="G81" s="1" t="s">
        <v>1</v>
      </c>
      <c r="H81" s="2"/>
      <c r="I81" s="63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7">
        <f t="shared" si="12"/>
        <v>0</v>
      </c>
    </row>
    <row r="82" spans="3:24" ht="12.75" customHeight="1" x14ac:dyDescent="0.2">
      <c r="C82" s="1" t="s">
        <v>12</v>
      </c>
      <c r="D82" s="1" t="s">
        <v>50</v>
      </c>
      <c r="G82" s="1" t="s">
        <v>1</v>
      </c>
      <c r="H82" s="2"/>
      <c r="I82" s="63"/>
      <c r="K82" s="2"/>
      <c r="Q82" s="2"/>
      <c r="R82" s="6">
        <f t="shared" si="14"/>
        <v>-1367236.95</v>
      </c>
      <c r="S82" s="6">
        <f t="shared" si="14"/>
        <v>-395086.92500000005</v>
      </c>
      <c r="T82" s="6">
        <f t="shared" si="14"/>
        <v>458269.97500000009</v>
      </c>
      <c r="U82" s="6">
        <f t="shared" si="14"/>
        <v>1266246.375</v>
      </c>
      <c r="V82" s="6">
        <f t="shared" si="14"/>
        <v>1698276.875</v>
      </c>
      <c r="W82" s="67">
        <f t="shared" si="12"/>
        <v>1660469.35</v>
      </c>
    </row>
    <row r="83" spans="3:24" ht="12.75" customHeight="1" x14ac:dyDescent="0.2">
      <c r="C83" s="1" t="s">
        <v>13</v>
      </c>
      <c r="D83" s="1" t="s">
        <v>50</v>
      </c>
      <c r="G83" s="1" t="s">
        <v>1</v>
      </c>
      <c r="H83" s="2"/>
      <c r="I83" s="63"/>
      <c r="K83" s="2"/>
      <c r="Q83" s="2"/>
      <c r="R83" s="6">
        <f t="shared" si="14"/>
        <v>0</v>
      </c>
      <c r="S83" s="6">
        <f t="shared" si="14"/>
        <v>0</v>
      </c>
      <c r="T83" s="6">
        <f t="shared" si="14"/>
        <v>0</v>
      </c>
      <c r="U83" s="6">
        <f t="shared" si="14"/>
        <v>0</v>
      </c>
      <c r="V83" s="6">
        <f t="shared" si="14"/>
        <v>0</v>
      </c>
      <c r="W83" s="67">
        <f t="shared" si="12"/>
        <v>0</v>
      </c>
    </row>
    <row r="84" spans="3:24" ht="12.75" customHeight="1" x14ac:dyDescent="0.2">
      <c r="C84" s="1" t="s">
        <v>11</v>
      </c>
      <c r="D84" s="1" t="s">
        <v>50</v>
      </c>
      <c r="G84" s="1" t="s">
        <v>51</v>
      </c>
      <c r="H84" s="2"/>
      <c r="I84" s="63"/>
      <c r="K84" s="2"/>
      <c r="Q84" s="2"/>
      <c r="R84" s="6">
        <f t="shared" si="14"/>
        <v>0</v>
      </c>
      <c r="S84" s="6">
        <f t="shared" si="14"/>
        <v>0</v>
      </c>
      <c r="T84" s="6">
        <f t="shared" si="14"/>
        <v>0</v>
      </c>
      <c r="U84" s="6">
        <f t="shared" si="14"/>
        <v>0</v>
      </c>
      <c r="V84" s="6">
        <f t="shared" si="14"/>
        <v>0</v>
      </c>
      <c r="W84" s="67">
        <f t="shared" si="12"/>
        <v>0</v>
      </c>
    </row>
    <row r="85" spans="3:24" ht="12.75" customHeight="1" x14ac:dyDescent="0.2">
      <c r="C85" s="1" t="s">
        <v>12</v>
      </c>
      <c r="D85" s="1" t="s">
        <v>50</v>
      </c>
      <c r="G85" s="1" t="s">
        <v>51</v>
      </c>
      <c r="H85" s="2"/>
      <c r="I85" s="63"/>
      <c r="K85" s="2"/>
      <c r="Q85" s="2"/>
      <c r="R85" s="6">
        <f t="shared" si="14"/>
        <v>0</v>
      </c>
      <c r="S85" s="6">
        <f t="shared" si="14"/>
        <v>0</v>
      </c>
      <c r="T85" s="6">
        <f t="shared" si="14"/>
        <v>0</v>
      </c>
      <c r="U85" s="6">
        <f t="shared" si="14"/>
        <v>0</v>
      </c>
      <c r="V85" s="6">
        <f t="shared" si="14"/>
        <v>0</v>
      </c>
      <c r="W85" s="67">
        <f t="shared" si="12"/>
        <v>0</v>
      </c>
    </row>
    <row r="86" spans="3:24" ht="12.75" customHeight="1" x14ac:dyDescent="0.2">
      <c r="C86" s="1" t="s">
        <v>13</v>
      </c>
      <c r="D86" s="1" t="s">
        <v>50</v>
      </c>
      <c r="G86" s="1" t="s">
        <v>51</v>
      </c>
      <c r="H86" s="2"/>
      <c r="I86" s="63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7">
        <f t="shared" si="12"/>
        <v>0</v>
      </c>
    </row>
    <row r="87" spans="3:24" ht="12.75" customHeight="1" x14ac:dyDescent="0.2">
      <c r="C87" s="21" t="s">
        <v>15</v>
      </c>
      <c r="D87" s="21" t="s">
        <v>50</v>
      </c>
      <c r="E87" s="95"/>
      <c r="F87" s="95"/>
      <c r="G87" s="96"/>
      <c r="H87" s="2"/>
      <c r="I87" s="96"/>
      <c r="J87" s="98"/>
      <c r="K87" s="97"/>
      <c r="L87" s="95"/>
      <c r="M87" s="95"/>
      <c r="N87" s="95"/>
      <c r="O87" s="95"/>
      <c r="P87" s="95"/>
      <c r="Q87" s="2"/>
      <c r="R87" s="22">
        <f>SUM(R81:R86)</f>
        <v>-1367236.95</v>
      </c>
      <c r="S87" s="22">
        <f t="shared" ref="S87:V87" si="15">SUM(S81:S86)</f>
        <v>-395086.92500000005</v>
      </c>
      <c r="T87" s="22">
        <f t="shared" si="15"/>
        <v>458269.97500000009</v>
      </c>
      <c r="U87" s="22">
        <f t="shared" si="15"/>
        <v>1266246.375</v>
      </c>
      <c r="V87" s="22">
        <f t="shared" si="15"/>
        <v>1698276.875</v>
      </c>
      <c r="W87" s="22">
        <f>SUM(W81:W86)</f>
        <v>1660469.35</v>
      </c>
    </row>
    <row r="88" spans="3:24" ht="12.75" customHeight="1" x14ac:dyDescent="0.2">
      <c r="G88" s="63"/>
      <c r="H88" s="2"/>
      <c r="I88" s="63"/>
      <c r="K88" s="2"/>
      <c r="Q88" s="2"/>
      <c r="R88" s="6"/>
      <c r="S88" s="6"/>
      <c r="T88" s="6"/>
      <c r="U88" s="6"/>
      <c r="V88" s="6"/>
      <c r="W88" s="67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9308911.424879564</v>
      </c>
      <c r="S89" s="8">
        <f t="shared" ref="S89:V89" si="16">S80+S87</f>
        <v>5663136.4115526946</v>
      </c>
      <c r="T89" s="8">
        <f t="shared" si="16"/>
        <v>8798449.1657187063</v>
      </c>
      <c r="U89" s="8">
        <f t="shared" si="16"/>
        <v>7445591.0188360251</v>
      </c>
      <c r="V89" s="8">
        <f t="shared" si="16"/>
        <v>5565450.5732720755</v>
      </c>
      <c r="W89" s="68">
        <f t="shared" si="12"/>
        <v>36781538.594259068</v>
      </c>
    </row>
    <row r="90" spans="3:24" ht="12.75" customHeight="1" x14ac:dyDescent="0.2">
      <c r="C90" s="42" t="s">
        <v>55</v>
      </c>
      <c r="D90" s="42"/>
      <c r="E90" s="42"/>
      <c r="F90" s="42"/>
      <c r="G90" s="42"/>
      <c r="H90" s="2"/>
      <c r="I90" s="42"/>
      <c r="J90" s="42"/>
      <c r="K90" s="2"/>
      <c r="L90" s="42"/>
      <c r="M90" s="42"/>
      <c r="N90" s="42"/>
      <c r="O90" s="42"/>
      <c r="P90" s="42"/>
      <c r="Q90" s="2"/>
      <c r="R90" s="43">
        <f>R89-SUM(R$10:R$70)</f>
        <v>0</v>
      </c>
      <c r="S90" s="43">
        <f>S89-SUM(S$10:S$70)</f>
        <v>0</v>
      </c>
      <c r="T90" s="43">
        <f>T89-SUM(T$10:T$70)</f>
        <v>0</v>
      </c>
      <c r="U90" s="43">
        <f>U89-SUM(U$10:U$70)</f>
        <v>0</v>
      </c>
      <c r="V90" s="43">
        <f>V89-SUM(V$10:V$70)</f>
        <v>0</v>
      </c>
      <c r="W90" s="43">
        <f>W89-SUM(R$10:V$70)</f>
        <v>0</v>
      </c>
      <c r="X90" s="43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1" t="str">
        <f>"NPV ($ "&amp;Assumptions!$B$12&amp;")"</f>
        <v>NPV ($ June 2024)</v>
      </c>
      <c r="D92" s="52">
        <f>NPV(Real_Discount_rate,R89:V89)</f>
        <v>33390775.270913564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54</v>
      </c>
      <c r="G95" s="3"/>
      <c r="H95" s="2"/>
      <c r="K95" s="2"/>
      <c r="Q95" s="2"/>
      <c r="R95" s="64" t="s">
        <v>6</v>
      </c>
      <c r="S95" s="64" t="s">
        <v>7</v>
      </c>
      <c r="T95" s="64" t="s">
        <v>8</v>
      </c>
      <c r="U95" s="64" t="s">
        <v>9</v>
      </c>
      <c r="V95" s="64" t="s">
        <v>10</v>
      </c>
      <c r="W95" s="104" t="s">
        <v>0</v>
      </c>
    </row>
    <row r="96" spans="3:24" ht="12.75" customHeight="1" x14ac:dyDescent="0.2">
      <c r="C96" s="24"/>
      <c r="D96" s="24" t="s">
        <v>53</v>
      </c>
      <c r="E96" s="24"/>
      <c r="F96" s="24"/>
      <c r="G96" s="24" t="s">
        <v>1</v>
      </c>
      <c r="H96" s="2"/>
      <c r="I96" s="61"/>
      <c r="J96" s="62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10676148.374879565</v>
      </c>
      <c r="S96" s="25">
        <f t="shared" si="17"/>
        <v>6058223.3365526935</v>
      </c>
      <c r="T96" s="25">
        <f t="shared" si="17"/>
        <v>8340179.1907187058</v>
      </c>
      <c r="U96" s="25">
        <f t="shared" si="17"/>
        <v>6179344.6438360251</v>
      </c>
      <c r="V96" s="25">
        <f t="shared" si="17"/>
        <v>3867173.6982720755</v>
      </c>
      <c r="W96" s="67">
        <f t="shared" ref="W96:W97" si="18">SUM(R96:V96)</f>
        <v>35121069.244259067</v>
      </c>
    </row>
    <row r="97" spans="3:24" ht="12.75" customHeight="1" x14ac:dyDescent="0.2">
      <c r="D97" s="1" t="s">
        <v>50</v>
      </c>
      <c r="G97" s="1" t="s">
        <v>1</v>
      </c>
      <c r="H97" s="2"/>
      <c r="K97" s="2"/>
      <c r="Q97" s="2"/>
      <c r="R97" s="103">
        <f t="shared" si="17"/>
        <v>-1367236.95</v>
      </c>
      <c r="S97" s="103">
        <f t="shared" si="17"/>
        <v>-395086.92500000005</v>
      </c>
      <c r="T97" s="103">
        <f t="shared" si="17"/>
        <v>458269.97500000009</v>
      </c>
      <c r="U97" s="103">
        <f t="shared" si="17"/>
        <v>1266246.375</v>
      </c>
      <c r="V97" s="103">
        <f t="shared" si="17"/>
        <v>1698276.875</v>
      </c>
      <c r="W97" s="67">
        <f t="shared" si="18"/>
        <v>1660469.35</v>
      </c>
    </row>
    <row r="98" spans="3:24" ht="12.75" customHeight="1" x14ac:dyDescent="0.2">
      <c r="C98" s="21" t="s">
        <v>56</v>
      </c>
      <c r="D98" s="21"/>
      <c r="E98" s="95"/>
      <c r="F98" s="95"/>
      <c r="G98" s="96"/>
      <c r="H98" s="2"/>
      <c r="I98" s="96"/>
      <c r="J98" s="98"/>
      <c r="K98" s="97"/>
      <c r="L98" s="95"/>
      <c r="M98" s="95"/>
      <c r="N98" s="95"/>
      <c r="O98" s="95"/>
      <c r="P98" s="95"/>
      <c r="Q98" s="2"/>
      <c r="R98" s="22">
        <f>SUM(R96:R97)</f>
        <v>9308911.4248795658</v>
      </c>
      <c r="S98" s="22">
        <f t="shared" ref="S98:W98" si="19">SUM(S96:S97)</f>
        <v>5663136.4115526937</v>
      </c>
      <c r="T98" s="22">
        <f t="shared" si="19"/>
        <v>8798449.1657187063</v>
      </c>
      <c r="U98" s="22">
        <f t="shared" si="19"/>
        <v>7445591.0188360251</v>
      </c>
      <c r="V98" s="22">
        <f t="shared" si="19"/>
        <v>5565450.5732720755</v>
      </c>
      <c r="W98" s="22">
        <f t="shared" si="19"/>
        <v>36781538.594259068</v>
      </c>
    </row>
    <row r="99" spans="3:24" ht="12.75" customHeight="1" x14ac:dyDescent="0.2">
      <c r="C99" s="4"/>
      <c r="D99" s="1" t="s">
        <v>53</v>
      </c>
      <c r="G99" s="1" t="s">
        <v>51</v>
      </c>
      <c r="H99" s="2"/>
      <c r="I99" s="63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7">
        <f t="shared" ref="W99:W100" si="21">SUM(R99:V99)</f>
        <v>0</v>
      </c>
    </row>
    <row r="100" spans="3:24" ht="12.75" customHeight="1" x14ac:dyDescent="0.2">
      <c r="C100" s="4"/>
      <c r="D100" s="1" t="s">
        <v>50</v>
      </c>
      <c r="G100" s="1" t="s">
        <v>51</v>
      </c>
      <c r="H100" s="2"/>
      <c r="I100" s="63"/>
      <c r="K100" s="2"/>
      <c r="Q100" s="2"/>
      <c r="R100" s="6">
        <f t="shared" si="20"/>
        <v>0</v>
      </c>
      <c r="S100" s="6">
        <f t="shared" si="20"/>
        <v>0</v>
      </c>
      <c r="T100" s="6">
        <f t="shared" si="20"/>
        <v>0</v>
      </c>
      <c r="U100" s="6">
        <f t="shared" si="20"/>
        <v>0</v>
      </c>
      <c r="V100" s="6">
        <f t="shared" si="20"/>
        <v>0</v>
      </c>
      <c r="W100" s="67">
        <f t="shared" si="21"/>
        <v>0</v>
      </c>
    </row>
    <row r="101" spans="3:24" ht="12.75" customHeight="1" x14ac:dyDescent="0.2">
      <c r="C101" s="21" t="s">
        <v>57</v>
      </c>
      <c r="D101" s="21"/>
      <c r="E101" s="95"/>
      <c r="F101" s="95"/>
      <c r="G101" s="96"/>
      <c r="H101" s="2"/>
      <c r="I101" s="96"/>
      <c r="J101" s="98"/>
      <c r="K101" s="97"/>
      <c r="L101" s="95"/>
      <c r="M101" s="95"/>
      <c r="N101" s="95"/>
      <c r="O101" s="95"/>
      <c r="P101" s="95"/>
      <c r="Q101" s="2"/>
      <c r="R101" s="22">
        <f>SUM(R99:R100)</f>
        <v>0</v>
      </c>
      <c r="S101" s="22">
        <f t="shared" ref="S101:W101" si="22">SUM(S99:S100)</f>
        <v>0</v>
      </c>
      <c r="T101" s="22">
        <f t="shared" si="22"/>
        <v>0</v>
      </c>
      <c r="U101" s="22">
        <f t="shared" si="22"/>
        <v>0</v>
      </c>
      <c r="V101" s="22">
        <f t="shared" si="22"/>
        <v>0</v>
      </c>
      <c r="W101" s="22">
        <f t="shared" si="22"/>
        <v>0</v>
      </c>
    </row>
    <row r="102" spans="3:24" ht="12.75" customHeight="1" x14ac:dyDescent="0.2">
      <c r="C102" s="4"/>
      <c r="D102" s="4"/>
      <c r="G102" s="63"/>
      <c r="H102" s="2"/>
      <c r="I102" s="63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9308911.4248795658</v>
      </c>
      <c r="S103" s="8">
        <f t="shared" ref="S103:V103" si="23">S98+S101</f>
        <v>5663136.4115526937</v>
      </c>
      <c r="T103" s="8">
        <f t="shared" si="23"/>
        <v>8798449.1657187063</v>
      </c>
      <c r="U103" s="8">
        <f t="shared" si="23"/>
        <v>7445591.0188360251</v>
      </c>
      <c r="V103" s="8">
        <f t="shared" si="23"/>
        <v>5565450.5732720755</v>
      </c>
      <c r="W103" s="68">
        <f t="shared" ref="W103" si="24">SUM(R103:V103)</f>
        <v>36781538.594259068</v>
      </c>
    </row>
    <row r="104" spans="3:24" ht="12.75" customHeight="1" x14ac:dyDescent="0.2">
      <c r="C104" s="42" t="s">
        <v>55</v>
      </c>
      <c r="D104" s="42"/>
      <c r="E104" s="42"/>
      <c r="F104" s="42"/>
      <c r="G104" s="42"/>
      <c r="H104" s="2"/>
      <c r="I104" s="42"/>
      <c r="J104" s="42"/>
      <c r="K104" s="2"/>
      <c r="L104" s="42"/>
      <c r="M104" s="42"/>
      <c r="N104" s="42"/>
      <c r="O104" s="42"/>
      <c r="P104" s="42"/>
      <c r="Q104" s="2"/>
      <c r="R104" s="43">
        <f>R103-SUM(R$10:R$70)</f>
        <v>0</v>
      </c>
      <c r="S104" s="43">
        <f>S103-SUM(S$10:S$70)</f>
        <v>0</v>
      </c>
      <c r="T104" s="43">
        <f>T103-SUM(T$10:T$70)</f>
        <v>0</v>
      </c>
      <c r="U104" s="43">
        <f>U103-SUM(U$10:U$70)</f>
        <v>0</v>
      </c>
      <c r="V104" s="43">
        <f>V103-SUM(V$10:V$70)</f>
        <v>0</v>
      </c>
      <c r="W104" s="43">
        <f>W103-SUM(R$10:V$70)</f>
        <v>0</v>
      </c>
      <c r="X104" s="43">
        <f>SUM(R104:W104)</f>
        <v>0</v>
      </c>
    </row>
    <row r="105" spans="3:24" ht="12.75" customHeight="1" x14ac:dyDescent="0.2">
      <c r="C105" s="105"/>
      <c r="D105" s="105"/>
      <c r="E105" s="105"/>
      <c r="F105" s="105"/>
      <c r="G105" s="105"/>
      <c r="H105" s="2"/>
      <c r="I105" s="105"/>
      <c r="J105" s="105"/>
      <c r="K105" s="2"/>
      <c r="L105" s="105"/>
      <c r="M105" s="105"/>
      <c r="N105" s="105"/>
      <c r="O105" s="105"/>
      <c r="P105" s="105"/>
      <c r="Q105" s="2"/>
      <c r="R105" s="106"/>
      <c r="S105" s="106"/>
      <c r="T105" s="106"/>
      <c r="U105" s="106"/>
      <c r="V105" s="106"/>
      <c r="W105" s="106"/>
      <c r="X105" s="106"/>
    </row>
    <row r="106" spans="3:24" ht="12.75" customHeight="1" x14ac:dyDescent="0.2">
      <c r="C106" s="105"/>
      <c r="D106" s="105"/>
      <c r="E106" s="105"/>
      <c r="F106" s="105"/>
      <c r="G106" s="105"/>
      <c r="H106" s="2"/>
      <c r="I106" s="105"/>
      <c r="J106" s="105"/>
      <c r="K106" s="2"/>
      <c r="L106" s="105"/>
      <c r="M106" s="105"/>
      <c r="N106" s="105"/>
      <c r="O106" s="105"/>
      <c r="P106" s="105"/>
      <c r="Q106" s="2"/>
      <c r="R106" s="106"/>
      <c r="S106" s="106"/>
      <c r="T106" s="106"/>
      <c r="U106" s="106"/>
      <c r="V106" s="106"/>
      <c r="W106" s="106"/>
      <c r="X106" s="106"/>
    </row>
    <row r="107" spans="3:24" ht="12.75" customHeight="1" x14ac:dyDescent="0.2">
      <c r="C107" s="105"/>
      <c r="D107" s="105"/>
      <c r="E107" s="105"/>
      <c r="F107" s="105"/>
      <c r="G107" s="105"/>
      <c r="H107" s="2"/>
      <c r="I107" s="105"/>
      <c r="J107" s="105"/>
      <c r="K107" s="2"/>
      <c r="L107" s="105"/>
      <c r="M107" s="105"/>
      <c r="N107" s="105"/>
      <c r="O107" s="105"/>
      <c r="P107" s="105"/>
      <c r="Q107" s="2"/>
      <c r="R107" s="106"/>
      <c r="S107" s="106"/>
      <c r="T107" s="106"/>
      <c r="U107" s="106"/>
      <c r="V107" s="106"/>
      <c r="W107" s="106"/>
      <c r="X107" s="106"/>
    </row>
    <row r="108" spans="3:24" ht="12.75" customHeight="1" x14ac:dyDescent="0.2">
      <c r="C108" s="71" t="s">
        <v>58</v>
      </c>
      <c r="H108" s="2"/>
      <c r="K108" s="2"/>
      <c r="Q108" s="2"/>
      <c r="R108" s="64" t="s">
        <v>6</v>
      </c>
      <c r="S108" s="64" t="s">
        <v>7</v>
      </c>
      <c r="T108" s="64" t="s">
        <v>8</v>
      </c>
      <c r="U108" s="64" t="s">
        <v>9</v>
      </c>
      <c r="V108" s="64" t="s">
        <v>10</v>
      </c>
      <c r="W108" s="64" t="s">
        <v>0</v>
      </c>
    </row>
    <row r="109" spans="3:24" ht="12.75" customHeight="1" x14ac:dyDescent="0.2">
      <c r="C109" s="24" t="s">
        <v>11</v>
      </c>
      <c r="D109" s="24" t="s">
        <v>53</v>
      </c>
      <c r="E109" s="24"/>
      <c r="F109" s="24"/>
      <c r="G109" s="24" t="s">
        <v>1</v>
      </c>
      <c r="H109" s="2"/>
      <c r="I109" s="61"/>
      <c r="J109" s="62"/>
      <c r="K109" s="2"/>
      <c r="L109" s="24"/>
      <c r="M109" s="24"/>
      <c r="N109" s="24"/>
      <c r="O109" s="24"/>
      <c r="P109" s="24"/>
      <c r="Q109" s="2"/>
      <c r="R109" s="32">
        <f t="shared" ref="R109:V114" si="25">R74*business_case_dollars</f>
        <v>4618808.2565410733</v>
      </c>
      <c r="S109" s="32">
        <f t="shared" si="25"/>
        <v>3424346.8933038427</v>
      </c>
      <c r="T109" s="32">
        <f t="shared" si="25"/>
        <v>3734522.1630355371</v>
      </c>
      <c r="U109" s="32">
        <f t="shared" si="25"/>
        <v>3308905.9193832013</v>
      </c>
      <c r="V109" s="32">
        <f t="shared" si="25"/>
        <v>2312213.6883018119</v>
      </c>
      <c r="W109" s="66">
        <f>SUM(R109:V109)</f>
        <v>17398796.920565467</v>
      </c>
    </row>
    <row r="110" spans="3:24" ht="12.75" customHeight="1" x14ac:dyDescent="0.2">
      <c r="C110" s="1" t="s">
        <v>12</v>
      </c>
      <c r="D110" s="1" t="s">
        <v>53</v>
      </c>
      <c r="G110" s="1" t="s">
        <v>1</v>
      </c>
      <c r="H110" s="2"/>
      <c r="I110" s="63"/>
      <c r="K110" s="2"/>
      <c r="Q110" s="2"/>
      <c r="R110" s="6">
        <f t="shared" si="25"/>
        <v>7262812.284882389</v>
      </c>
      <c r="S110" s="6">
        <f t="shared" si="25"/>
        <v>3317926.4727617996</v>
      </c>
      <c r="T110" s="6">
        <f t="shared" si="25"/>
        <v>5547368.7316958467</v>
      </c>
      <c r="U110" s="6">
        <f t="shared" si="25"/>
        <v>3568164.881308571</v>
      </c>
      <c r="V110" s="6">
        <f t="shared" si="25"/>
        <v>1991612.8263948204</v>
      </c>
      <c r="W110" s="67">
        <f t="shared" ref="W110:W124" si="26">SUM(R110:V110)</f>
        <v>21687885.197043423</v>
      </c>
    </row>
    <row r="111" spans="3:24" ht="12.75" customHeight="1" x14ac:dyDescent="0.2">
      <c r="C111" s="1" t="s">
        <v>13</v>
      </c>
      <c r="D111" s="1" t="s">
        <v>53</v>
      </c>
      <c r="G111" s="1" t="s">
        <v>1</v>
      </c>
      <c r="H111" s="2"/>
      <c r="I111" s="63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7">
        <f t="shared" si="26"/>
        <v>0</v>
      </c>
    </row>
    <row r="112" spans="3:24" ht="12.75" customHeight="1" x14ac:dyDescent="0.2">
      <c r="C112" s="1" t="s">
        <v>11</v>
      </c>
      <c r="D112" s="1" t="s">
        <v>53</v>
      </c>
      <c r="G112" s="1" t="s">
        <v>51</v>
      </c>
      <c r="H112" s="2"/>
      <c r="I112" s="63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2">
      <c r="C113" s="1" t="s">
        <v>12</v>
      </c>
      <c r="D113" s="1" t="s">
        <v>53</v>
      </c>
      <c r="G113" s="1" t="s">
        <v>51</v>
      </c>
      <c r="H113" s="2"/>
      <c r="I113" s="63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2">
      <c r="C114" s="1" t="s">
        <v>13</v>
      </c>
      <c r="D114" s="1" t="s">
        <v>53</v>
      </c>
      <c r="G114" s="1" t="s">
        <v>51</v>
      </c>
      <c r="H114" s="2"/>
      <c r="I114" s="63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2">
      <c r="C115" s="21" t="s">
        <v>14</v>
      </c>
      <c r="D115" s="21" t="s">
        <v>53</v>
      </c>
      <c r="E115" s="95"/>
      <c r="F115" s="95"/>
      <c r="G115" s="96"/>
      <c r="H115" s="97"/>
      <c r="I115" s="96"/>
      <c r="J115" s="98"/>
      <c r="K115" s="97"/>
      <c r="L115" s="95"/>
      <c r="M115" s="95"/>
      <c r="N115" s="95"/>
      <c r="O115" s="95"/>
      <c r="P115" s="95"/>
      <c r="Q115" s="97"/>
      <c r="R115" s="22">
        <f>SUM(R109:R114)</f>
        <v>11881620.541423462</v>
      </c>
      <c r="S115" s="22">
        <f t="shared" ref="S115:V115" si="27">SUM(S109:S114)</f>
        <v>6742273.3660656419</v>
      </c>
      <c r="T115" s="22">
        <f t="shared" si="27"/>
        <v>9281890.8947313838</v>
      </c>
      <c r="U115" s="22">
        <f t="shared" si="27"/>
        <v>6877070.8006917723</v>
      </c>
      <c r="V115" s="22">
        <f t="shared" si="27"/>
        <v>4303826.5146966325</v>
      </c>
      <c r="W115" s="22">
        <f>SUM(W109:W114)</f>
        <v>39086682.11760889</v>
      </c>
    </row>
    <row r="116" spans="3:24" ht="12.75" customHeight="1" x14ac:dyDescent="0.2">
      <c r="C116" s="1" t="s">
        <v>11</v>
      </c>
      <c r="D116" s="1" t="s">
        <v>50</v>
      </c>
      <c r="G116" s="1" t="s">
        <v>1</v>
      </c>
      <c r="H116" s="2"/>
      <c r="I116" s="63"/>
      <c r="K116" s="2"/>
      <c r="Q116" s="2"/>
      <c r="R116" s="107">
        <f t="shared" ref="R116:V121" si="28">R81*business_case_dollars</f>
        <v>0</v>
      </c>
      <c r="S116" s="107">
        <f t="shared" si="28"/>
        <v>0</v>
      </c>
      <c r="T116" s="107">
        <f t="shared" si="28"/>
        <v>0</v>
      </c>
      <c r="U116" s="107">
        <f t="shared" si="28"/>
        <v>0</v>
      </c>
      <c r="V116" s="107">
        <f t="shared" si="28"/>
        <v>0</v>
      </c>
      <c r="W116" s="67">
        <f>SUM(R116:V116)</f>
        <v>0</v>
      </c>
    </row>
    <row r="117" spans="3:24" ht="12.75" customHeight="1" x14ac:dyDescent="0.2">
      <c r="C117" s="1" t="s">
        <v>12</v>
      </c>
      <c r="D117" s="1" t="s">
        <v>50</v>
      </c>
      <c r="G117" s="1" t="s">
        <v>1</v>
      </c>
      <c r="H117" s="2"/>
      <c r="I117" s="63"/>
      <c r="K117" s="2"/>
      <c r="Q117" s="2"/>
      <c r="R117" s="6">
        <f t="shared" si="28"/>
        <v>-1521615.292303056</v>
      </c>
      <c r="S117" s="6">
        <f t="shared" si="28"/>
        <v>-439697.23526634549</v>
      </c>
      <c r="T117" s="6">
        <f t="shared" si="28"/>
        <v>510014.45065051765</v>
      </c>
      <c r="U117" s="6">
        <f t="shared" si="28"/>
        <v>1409221.6042166722</v>
      </c>
      <c r="V117" s="6">
        <f t="shared" si="28"/>
        <v>1890033.8113043576</v>
      </c>
      <c r="W117" s="67">
        <f t="shared" ref="W117:W121" si="29">SUM(R117:V117)</f>
        <v>1847957.3386021459</v>
      </c>
    </row>
    <row r="118" spans="3:24" ht="12.75" customHeight="1" x14ac:dyDescent="0.2">
      <c r="C118" s="1" t="s">
        <v>13</v>
      </c>
      <c r="D118" s="1" t="s">
        <v>50</v>
      </c>
      <c r="G118" s="1" t="s">
        <v>1</v>
      </c>
      <c r="H118" s="2"/>
      <c r="I118" s="63"/>
      <c r="K118" s="2"/>
      <c r="Q118" s="2"/>
      <c r="R118" s="6">
        <f t="shared" si="28"/>
        <v>0</v>
      </c>
      <c r="S118" s="6">
        <f t="shared" si="28"/>
        <v>0</v>
      </c>
      <c r="T118" s="6">
        <f t="shared" si="28"/>
        <v>0</v>
      </c>
      <c r="U118" s="6">
        <f t="shared" si="28"/>
        <v>0</v>
      </c>
      <c r="V118" s="6">
        <f t="shared" si="28"/>
        <v>0</v>
      </c>
      <c r="W118" s="67">
        <f t="shared" si="29"/>
        <v>0</v>
      </c>
    </row>
    <row r="119" spans="3:24" ht="12.75" customHeight="1" x14ac:dyDescent="0.2">
      <c r="C119" s="1" t="s">
        <v>11</v>
      </c>
      <c r="D119" s="1" t="s">
        <v>50</v>
      </c>
      <c r="G119" s="1" t="s">
        <v>51</v>
      </c>
      <c r="H119" s="2"/>
      <c r="I119" s="63"/>
      <c r="K119" s="2"/>
      <c r="Q119" s="2"/>
      <c r="R119" s="6">
        <f t="shared" si="28"/>
        <v>0</v>
      </c>
      <c r="S119" s="6">
        <f t="shared" si="28"/>
        <v>0</v>
      </c>
      <c r="T119" s="6">
        <f t="shared" si="28"/>
        <v>0</v>
      </c>
      <c r="U119" s="6">
        <f t="shared" si="28"/>
        <v>0</v>
      </c>
      <c r="V119" s="6">
        <f t="shared" si="28"/>
        <v>0</v>
      </c>
      <c r="W119" s="6">
        <f t="shared" si="29"/>
        <v>0</v>
      </c>
    </row>
    <row r="120" spans="3:24" ht="12.75" customHeight="1" x14ac:dyDescent="0.2">
      <c r="C120" s="1" t="s">
        <v>12</v>
      </c>
      <c r="D120" s="1" t="s">
        <v>50</v>
      </c>
      <c r="G120" s="1" t="s">
        <v>51</v>
      </c>
      <c r="H120" s="2"/>
      <c r="I120" s="63"/>
      <c r="K120" s="2"/>
      <c r="Q120" s="2"/>
      <c r="R120" s="6">
        <f t="shared" si="28"/>
        <v>0</v>
      </c>
      <c r="S120" s="6">
        <f t="shared" si="28"/>
        <v>0</v>
      </c>
      <c r="T120" s="6">
        <f t="shared" si="28"/>
        <v>0</v>
      </c>
      <c r="U120" s="6">
        <f t="shared" si="28"/>
        <v>0</v>
      </c>
      <c r="V120" s="6">
        <f t="shared" si="28"/>
        <v>0</v>
      </c>
      <c r="W120" s="6">
        <f t="shared" si="29"/>
        <v>0</v>
      </c>
    </row>
    <row r="121" spans="3:24" ht="12.75" customHeight="1" x14ac:dyDescent="0.2">
      <c r="C121" s="1" t="s">
        <v>13</v>
      </c>
      <c r="D121" s="1" t="s">
        <v>50</v>
      </c>
      <c r="G121" s="1" t="s">
        <v>51</v>
      </c>
      <c r="H121" s="2"/>
      <c r="I121" s="63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2">
      <c r="C122" s="21" t="s">
        <v>15</v>
      </c>
      <c r="D122" s="21" t="s">
        <v>50</v>
      </c>
      <c r="E122" s="95"/>
      <c r="F122" s="95"/>
      <c r="G122" s="96"/>
      <c r="H122" s="97"/>
      <c r="I122" s="96"/>
      <c r="J122" s="98"/>
      <c r="K122" s="97"/>
      <c r="L122" s="95"/>
      <c r="M122" s="95"/>
      <c r="N122" s="95"/>
      <c r="O122" s="95"/>
      <c r="P122" s="95"/>
      <c r="Q122" s="97"/>
      <c r="R122" s="22">
        <f>SUM(R116:R121)</f>
        <v>-1521615.292303056</v>
      </c>
      <c r="S122" s="22">
        <f t="shared" ref="S122:W122" si="30">SUM(S116:S121)</f>
        <v>-439697.23526634549</v>
      </c>
      <c r="T122" s="22">
        <f t="shared" si="30"/>
        <v>510014.45065051765</v>
      </c>
      <c r="U122" s="22">
        <f t="shared" si="30"/>
        <v>1409221.6042166722</v>
      </c>
      <c r="V122" s="22">
        <f t="shared" si="30"/>
        <v>1890033.8113043576</v>
      </c>
      <c r="W122" s="22">
        <f t="shared" si="30"/>
        <v>1847957.3386021459</v>
      </c>
    </row>
    <row r="123" spans="3:24" ht="12.75" customHeight="1" x14ac:dyDescent="0.2">
      <c r="H123" s="2"/>
      <c r="I123" s="63"/>
      <c r="K123" s="2"/>
      <c r="Q123" s="2"/>
      <c r="R123" s="6"/>
      <c r="S123" s="6"/>
      <c r="T123" s="6"/>
      <c r="U123" s="6"/>
      <c r="V123" s="6"/>
      <c r="W123" s="67"/>
    </row>
    <row r="124" spans="3:24" x14ac:dyDescent="0.2">
      <c r="C124" s="7" t="str">
        <f>"Total Expenditure ($ "&amp;Assumptions!$C$39&amp;")"</f>
        <v>Total Expenditure ($ June 2026)</v>
      </c>
      <c r="D124" s="7" t="s">
        <v>59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10360005.249120407</v>
      </c>
      <c r="S124" s="8">
        <f t="shared" ref="S124:V124" si="31">S115+S122</f>
        <v>6302576.1307992963</v>
      </c>
      <c r="T124" s="8">
        <f t="shared" si="31"/>
        <v>9791905.3453819007</v>
      </c>
      <c r="U124" s="8">
        <f t="shared" si="31"/>
        <v>8286292.4049084447</v>
      </c>
      <c r="V124" s="8">
        <f t="shared" si="31"/>
        <v>6193860.3260009903</v>
      </c>
      <c r="W124" s="68">
        <f t="shared" si="26"/>
        <v>40934639.456211038</v>
      </c>
    </row>
    <row r="125" spans="3:24" x14ac:dyDescent="0.2">
      <c r="H125" s="2"/>
      <c r="K125" s="2"/>
      <c r="Q125" s="2"/>
      <c r="R125" s="43">
        <f>SUM(R10:R70)*business_case_dollars-R124</f>
        <v>0</v>
      </c>
      <c r="S125" s="43">
        <f>SUM(S10:S70)*business_case_dollars-S124</f>
        <v>0</v>
      </c>
      <c r="T125" s="43">
        <f>SUM(T10:T70)*business_case_dollars-T124</f>
        <v>0</v>
      </c>
      <c r="U125" s="43">
        <f>SUM(U10:U70)*business_case_dollars-U124</f>
        <v>0</v>
      </c>
      <c r="V125" s="43">
        <f>SUM(V10:V70)*business_case_dollars-V124</f>
        <v>0</v>
      </c>
      <c r="W125" s="43">
        <f>SUM(R10:V70)*business_case_dollars-W124</f>
        <v>0</v>
      </c>
      <c r="X125" s="43">
        <f>SUM(R125:W125)</f>
        <v>0</v>
      </c>
    </row>
    <row r="126" spans="3:24" x14ac:dyDescent="0.2">
      <c r="C126" s="51" t="str">
        <f>"NPV ($ "&amp;Assumptions!$C$39&amp;")"</f>
        <v>NPV ($ June 2026)</v>
      </c>
      <c r="D126" s="52">
        <f>NPV(Real_Discount_rate,R124:V124)</f>
        <v>37161016.072654262</v>
      </c>
      <c r="H126" s="2"/>
      <c r="K126" s="2"/>
      <c r="Q126" s="2"/>
      <c r="R126" s="49"/>
      <c r="S126" s="49"/>
      <c r="T126" s="49"/>
      <c r="U126" s="49"/>
      <c r="V126" s="49"/>
    </row>
    <row r="129" spans="3:24" x14ac:dyDescent="0.2">
      <c r="C129" s="4" t="s">
        <v>54</v>
      </c>
      <c r="G129" s="3"/>
      <c r="H129" s="2"/>
      <c r="K129" s="2"/>
      <c r="Q129" s="2"/>
      <c r="R129" s="64" t="s">
        <v>6</v>
      </c>
      <c r="S129" s="64" t="s">
        <v>7</v>
      </c>
      <c r="T129" s="64" t="s">
        <v>8</v>
      </c>
      <c r="U129" s="64" t="s">
        <v>9</v>
      </c>
      <c r="V129" s="64" t="s">
        <v>10</v>
      </c>
      <c r="W129" s="104" t="s">
        <v>0</v>
      </c>
    </row>
    <row r="130" spans="3:24" x14ac:dyDescent="0.2">
      <c r="C130" s="24"/>
      <c r="D130" s="24" t="s">
        <v>53</v>
      </c>
      <c r="E130" s="24"/>
      <c r="F130" s="24"/>
      <c r="G130" s="24" t="s">
        <v>1</v>
      </c>
      <c r="H130" s="2"/>
      <c r="I130" s="61"/>
      <c r="J130" s="62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11881620.541423464</v>
      </c>
      <c r="S130" s="25">
        <f t="shared" si="32"/>
        <v>6742273.3660656419</v>
      </c>
      <c r="T130" s="25">
        <f t="shared" si="32"/>
        <v>9281890.8947313838</v>
      </c>
      <c r="U130" s="25">
        <f t="shared" si="32"/>
        <v>6877070.8006917723</v>
      </c>
      <c r="V130" s="25">
        <f t="shared" si="32"/>
        <v>4303826.5146966325</v>
      </c>
      <c r="W130" s="67">
        <f t="shared" ref="W130:W131" si="33">SUM(R130:V130)</f>
        <v>39086682.117608897</v>
      </c>
    </row>
    <row r="131" spans="3:24" x14ac:dyDescent="0.2">
      <c r="D131" s="1" t="s">
        <v>50</v>
      </c>
      <c r="G131" s="1" t="s">
        <v>1</v>
      </c>
      <c r="H131" s="2"/>
      <c r="K131" s="2"/>
      <c r="Q131" s="2"/>
      <c r="R131" s="103">
        <f t="shared" si="32"/>
        <v>-1521615.292303056</v>
      </c>
      <c r="S131" s="103">
        <f t="shared" si="32"/>
        <v>-439697.23526634549</v>
      </c>
      <c r="T131" s="103">
        <f t="shared" si="32"/>
        <v>510014.45065051765</v>
      </c>
      <c r="U131" s="103">
        <f t="shared" si="32"/>
        <v>1409221.6042166722</v>
      </c>
      <c r="V131" s="103">
        <f t="shared" si="32"/>
        <v>1890033.8113043576</v>
      </c>
      <c r="W131" s="67">
        <f t="shared" si="33"/>
        <v>1847957.3386021459</v>
      </c>
    </row>
    <row r="132" spans="3:24" x14ac:dyDescent="0.2">
      <c r="C132" s="21" t="s">
        <v>56</v>
      </c>
      <c r="D132" s="21"/>
      <c r="E132" s="95"/>
      <c r="F132" s="95"/>
      <c r="G132" s="96"/>
      <c r="H132" s="2"/>
      <c r="I132" s="96"/>
      <c r="J132" s="98"/>
      <c r="K132" s="97"/>
      <c r="L132" s="95"/>
      <c r="M132" s="95"/>
      <c r="N132" s="95"/>
      <c r="O132" s="95"/>
      <c r="P132" s="95"/>
      <c r="Q132" s="2"/>
      <c r="R132" s="22">
        <f>SUM(R130:R131)</f>
        <v>10360005.249120409</v>
      </c>
      <c r="S132" s="22">
        <f t="shared" ref="S132:W132" si="34">SUM(S130:S131)</f>
        <v>6302576.1307992963</v>
      </c>
      <c r="T132" s="22">
        <f t="shared" si="34"/>
        <v>9791905.3453819007</v>
      </c>
      <c r="U132" s="22">
        <f t="shared" si="34"/>
        <v>8286292.4049084447</v>
      </c>
      <c r="V132" s="22">
        <f t="shared" si="34"/>
        <v>6193860.3260009903</v>
      </c>
      <c r="W132" s="22">
        <f t="shared" si="34"/>
        <v>40934639.456211045</v>
      </c>
    </row>
    <row r="133" spans="3:24" x14ac:dyDescent="0.2">
      <c r="C133" s="4"/>
      <c r="D133" s="1" t="s">
        <v>53</v>
      </c>
      <c r="G133" s="1" t="s">
        <v>51</v>
      </c>
      <c r="H133" s="2"/>
      <c r="I133" s="63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7">
        <f t="shared" ref="W133:W134" si="36">SUM(R133:V133)</f>
        <v>0</v>
      </c>
    </row>
    <row r="134" spans="3:24" x14ac:dyDescent="0.2">
      <c r="C134" s="4"/>
      <c r="D134" s="1" t="s">
        <v>50</v>
      </c>
      <c r="G134" s="1" t="s">
        <v>51</v>
      </c>
      <c r="H134" s="2"/>
      <c r="I134" s="63"/>
      <c r="K134" s="2"/>
      <c r="Q134" s="2"/>
      <c r="R134" s="6">
        <f t="shared" si="35"/>
        <v>0</v>
      </c>
      <c r="S134" s="6">
        <f t="shared" si="35"/>
        <v>0</v>
      </c>
      <c r="T134" s="6">
        <f t="shared" si="35"/>
        <v>0</v>
      </c>
      <c r="U134" s="6">
        <f t="shared" si="35"/>
        <v>0</v>
      </c>
      <c r="V134" s="6">
        <f t="shared" si="35"/>
        <v>0</v>
      </c>
      <c r="W134" s="67">
        <f t="shared" si="36"/>
        <v>0</v>
      </c>
    </row>
    <row r="135" spans="3:24" x14ac:dyDescent="0.2">
      <c r="C135" s="21" t="s">
        <v>57</v>
      </c>
      <c r="D135" s="21"/>
      <c r="E135" s="95"/>
      <c r="F135" s="95"/>
      <c r="G135" s="96"/>
      <c r="H135" s="2"/>
      <c r="I135" s="96"/>
      <c r="J135" s="98"/>
      <c r="K135" s="97"/>
      <c r="L135" s="95"/>
      <c r="M135" s="95"/>
      <c r="N135" s="95"/>
      <c r="O135" s="95"/>
      <c r="P135" s="95"/>
      <c r="Q135" s="2"/>
      <c r="R135" s="22">
        <f>SUM(R133:R134)</f>
        <v>0</v>
      </c>
      <c r="S135" s="22">
        <f t="shared" ref="S135:W135" si="37">SUM(S133:S134)</f>
        <v>0</v>
      </c>
      <c r="T135" s="22">
        <f t="shared" si="37"/>
        <v>0</v>
      </c>
      <c r="U135" s="22">
        <f t="shared" si="37"/>
        <v>0</v>
      </c>
      <c r="V135" s="22">
        <f t="shared" si="37"/>
        <v>0</v>
      </c>
      <c r="W135" s="22">
        <f t="shared" si="37"/>
        <v>0</v>
      </c>
    </row>
    <row r="136" spans="3:24" x14ac:dyDescent="0.2">
      <c r="C136" s="4"/>
      <c r="D136" s="4"/>
      <c r="G136" s="63"/>
      <c r="H136" s="2"/>
      <c r="I136" s="63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10360005.249120409</v>
      </c>
      <c r="S137" s="8">
        <f t="shared" ref="S137:V137" si="38">S132+S135</f>
        <v>6302576.1307992963</v>
      </c>
      <c r="T137" s="8">
        <f t="shared" si="38"/>
        <v>9791905.3453819007</v>
      </c>
      <c r="U137" s="8">
        <f t="shared" si="38"/>
        <v>8286292.4049084447</v>
      </c>
      <c r="V137" s="8">
        <f t="shared" si="38"/>
        <v>6193860.3260009903</v>
      </c>
      <c r="W137" s="68">
        <f t="shared" ref="W137" si="39">SUM(R137:V137)</f>
        <v>40934639.456211038</v>
      </c>
    </row>
    <row r="138" spans="3:24" x14ac:dyDescent="0.2">
      <c r="C138" s="42" t="s">
        <v>55</v>
      </c>
      <c r="D138" s="42"/>
      <c r="E138" s="42"/>
      <c r="F138" s="42"/>
      <c r="G138" s="42"/>
      <c r="H138" s="2"/>
      <c r="I138" s="42"/>
      <c r="J138" s="42"/>
      <c r="K138" s="2"/>
      <c r="L138" s="42"/>
      <c r="M138" s="42"/>
      <c r="N138" s="42"/>
      <c r="O138" s="42"/>
      <c r="P138" s="42"/>
      <c r="Q138" s="2"/>
      <c r="R138" s="43">
        <f>R137-SUM(R$10:R$70)*business_case_dollars</f>
        <v>0</v>
      </c>
      <c r="S138" s="43">
        <f>S137-SUM(S$10:S$70)*business_case_dollars</f>
        <v>0</v>
      </c>
      <c r="T138" s="43">
        <f>T137-SUM(T$10:T$70)*business_case_dollars</f>
        <v>0</v>
      </c>
      <c r="U138" s="43">
        <f>U137-SUM(U$10:U$70)*business_case_dollars</f>
        <v>0</v>
      </c>
      <c r="V138" s="43">
        <f>V137-SUM(V$10:V$70)*business_case_dollars</f>
        <v>0</v>
      </c>
      <c r="W138" s="43">
        <f>W137-SUM(R$10:V$70)*business_case_dollars</f>
        <v>0</v>
      </c>
      <c r="X138" s="43">
        <f>SUM(R138:W138)</f>
        <v>0</v>
      </c>
    </row>
  </sheetData>
  <conditionalFormatting sqref="F10:F70">
    <cfRule type="expression" dxfId="41" priority="1">
      <formula>$E10="Contracts"</formula>
    </cfRule>
    <cfRule type="expression" dxfId="40" priority="2">
      <formula>$E10="Materials"</formula>
    </cfRule>
    <cfRule type="expression" dxfId="39" priority="3">
      <formula>$E10="Labour"</formula>
    </cfRule>
  </conditionalFormatting>
  <conditionalFormatting sqref="I10:I70">
    <cfRule type="expression" dxfId="38" priority="4">
      <formula>$E10="Contracts"</formula>
    </cfRule>
    <cfRule type="expression" dxfId="37" priority="5">
      <formula>$E10="Materials"</formula>
    </cfRule>
    <cfRule type="expression" dxfId="36" priority="6">
      <formula>$E10="Labour"</formula>
    </cfRule>
  </conditionalFormatting>
  <conditionalFormatting sqref="R90:W90">
    <cfRule type="expression" dxfId="35" priority="16">
      <formula>ABS(R90)&gt;0.001</formula>
    </cfRule>
  </conditionalFormatting>
  <conditionalFormatting sqref="R104:W107">
    <cfRule type="expression" dxfId="34" priority="13">
      <formula>ABS(R104)&gt;0.001</formula>
    </cfRule>
  </conditionalFormatting>
  <conditionalFormatting sqref="R125:W125">
    <cfRule type="expression" dxfId="33" priority="17">
      <formula>ABS(R125)&gt;0.001</formula>
    </cfRule>
  </conditionalFormatting>
  <conditionalFormatting sqref="R138:W138">
    <cfRule type="expression" dxfId="32" priority="10">
      <formula>ABS(R138)&gt;0.001</formula>
    </cfRule>
  </conditionalFormatting>
  <conditionalFormatting sqref="X90">
    <cfRule type="expression" dxfId="31" priority="26">
      <formula>ABS(X90)&gt;0.001</formula>
    </cfRule>
  </conditionalFormatting>
  <conditionalFormatting sqref="X104:X107">
    <cfRule type="expression" dxfId="30" priority="14">
      <formula>ABS(X104)&gt;0.001</formula>
    </cfRule>
  </conditionalFormatting>
  <conditionalFormatting sqref="X125">
    <cfRule type="expression" dxfId="29" priority="18">
      <formula>ABS(X125)&gt;0.001</formula>
    </cfRule>
  </conditionalFormatting>
  <conditionalFormatting sqref="X138">
    <cfRule type="expression" dxfId="28" priority="11">
      <formula>ABS(X138)&gt;0.001</formula>
    </cfRule>
  </conditionalFormatting>
  <dataValidations count="3">
    <dataValidation type="list" allowBlank="1" showInputMessage="1" showErrorMessage="1" sqref="G10:G70" xr:uid="{62F3F087-87F3-4E5A-B0D6-C76D92ABBAEF}">
      <formula1>"Recurrent, Non recurrent"</formula1>
    </dataValidation>
    <dataValidation type="list" allowBlank="1" showInputMessage="1" showErrorMessage="1" sqref="D10:D70" xr:uid="{2827424A-175C-47A9-8376-819542451550}">
      <formula1>"Capex, Opex"</formula1>
    </dataValidation>
    <dataValidation type="list" allowBlank="1" showInputMessage="1" showErrorMessage="1" sqref="E10:E70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484E31-2F8D-4B2D-B180-85E00ACFE8E4}">
          <x14:formula1>
            <xm:f>IF($E31="Labour",Assumptions!$A$57:$A$58,Assumptions!$K$11:$K$12)</xm:f>
          </x14:formula1>
          <xm:sqref>F31:F70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AA138"/>
  <sheetViews>
    <sheetView showGridLines="0" zoomScale="80" zoomScaleNormal="80" workbookViewId="0">
      <pane ySplit="9" topLeftCell="A10" activePane="bottomLeft" state="frozen"/>
      <selection activeCell="F24" sqref="F24"/>
      <selection pane="bottomLeft" activeCell="F24" sqref="F2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58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5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1" customFormat="1" ht="15.75" x14ac:dyDescent="0.25">
      <c r="A3" s="29" t="s">
        <v>17</v>
      </c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29"/>
      <c r="P3" s="29"/>
      <c r="Q3" s="29"/>
      <c r="R3" s="13"/>
      <c r="S3" s="11"/>
      <c r="T3" s="11"/>
      <c r="U3" s="11"/>
      <c r="V3" s="11"/>
      <c r="X3" s="45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7" t="s">
        <v>42</v>
      </c>
      <c r="D7" s="60" t="s">
        <v>43</v>
      </c>
      <c r="E7" s="60" t="s">
        <v>44</v>
      </c>
      <c r="F7" s="60" t="s">
        <v>45</v>
      </c>
      <c r="G7" s="102" t="s">
        <v>46</v>
      </c>
      <c r="H7" s="16"/>
      <c r="I7" s="19" t="s">
        <v>11</v>
      </c>
      <c r="J7" s="19" t="s">
        <v>47</v>
      </c>
      <c r="L7" s="19" t="s">
        <v>48</v>
      </c>
      <c r="M7" s="20"/>
      <c r="N7" s="20"/>
      <c r="O7" s="20"/>
      <c r="P7" s="20"/>
      <c r="R7" s="19" t="s">
        <v>49</v>
      </c>
      <c r="S7" s="20"/>
      <c r="T7" s="20"/>
      <c r="U7" s="20"/>
      <c r="V7" s="20"/>
    </row>
    <row r="8" spans="1:27" ht="12.75" customHeight="1" x14ac:dyDescent="0.2">
      <c r="A8" s="4"/>
      <c r="B8" s="4"/>
      <c r="C8" s="93"/>
      <c r="D8" s="93" t="s">
        <v>50</v>
      </c>
      <c r="E8" s="93"/>
      <c r="F8" s="93"/>
      <c r="G8" s="93" t="s">
        <v>51</v>
      </c>
      <c r="H8" s="16"/>
      <c r="I8" s="101" t="s">
        <v>52</v>
      </c>
      <c r="J8" s="93"/>
      <c r="L8" s="48" t="s">
        <v>6</v>
      </c>
      <c r="M8" s="48" t="s">
        <v>7</v>
      </c>
      <c r="N8" s="48" t="s">
        <v>8</v>
      </c>
      <c r="O8" s="48" t="s">
        <v>9</v>
      </c>
      <c r="P8" s="48" t="s">
        <v>10</v>
      </c>
      <c r="R8" s="48" t="s">
        <v>6</v>
      </c>
      <c r="S8" s="48" t="s">
        <v>7</v>
      </c>
      <c r="T8" s="48" t="s">
        <v>8</v>
      </c>
      <c r="U8" s="48" t="s">
        <v>9</v>
      </c>
      <c r="V8" s="48" t="s">
        <v>10</v>
      </c>
    </row>
    <row r="9" spans="1:27" ht="12.75" customHeight="1" x14ac:dyDescent="0.2">
      <c r="H9" s="16"/>
    </row>
    <row r="10" spans="1:27" ht="12.75" customHeight="1" x14ac:dyDescent="0.2">
      <c r="A10" s="4"/>
      <c r="C10" s="76" t="s">
        <v>84</v>
      </c>
      <c r="D10" s="77" t="s">
        <v>53</v>
      </c>
      <c r="E10" s="77" t="s">
        <v>11</v>
      </c>
      <c r="F10" s="77" t="s">
        <v>40</v>
      </c>
      <c r="G10" s="75" t="s">
        <v>1</v>
      </c>
      <c r="H10" s="2"/>
      <c r="I10" s="59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8">
        <v>1239.2</v>
      </c>
      <c r="M10" s="78">
        <v>239.99999999999997</v>
      </c>
      <c r="N10" s="78">
        <v>714.4</v>
      </c>
      <c r="O10" s="78">
        <v>239.99999999999997</v>
      </c>
      <c r="P10" s="78">
        <v>59.999999999999993</v>
      </c>
      <c r="Q10" s="2"/>
      <c r="R10" s="5">
        <f t="shared" ref="R10:R41" si="0">IF($E10="Labour",$I10*L10,L10)</f>
        <v>180647.36518120248</v>
      </c>
      <c r="S10" s="5">
        <f t="shared" ref="S10:S41" si="1">IF($E10="Labour",$I10*M10,M10)</f>
        <v>34986.578150006928</v>
      </c>
      <c r="T10" s="5">
        <f t="shared" ref="T10:T41" si="2">IF($E10="Labour",$I10*N10,N10)</f>
        <v>104143.38095985397</v>
      </c>
      <c r="U10" s="5">
        <f t="shared" ref="U10:U41" si="3">IF($E10="Labour",$I10*O10,O10)</f>
        <v>34986.578150006928</v>
      </c>
      <c r="V10" s="5">
        <f t="shared" ref="V10:V41" si="4">IF($E10="Labour",$I10*P10,P10)</f>
        <v>8746.644537501732</v>
      </c>
    </row>
    <row r="11" spans="1:27" ht="12.75" customHeight="1" x14ac:dyDescent="0.2">
      <c r="A11" s="4"/>
      <c r="C11" s="76" t="s">
        <v>84</v>
      </c>
      <c r="D11" s="77" t="s">
        <v>53</v>
      </c>
      <c r="E11" s="77" t="s">
        <v>11</v>
      </c>
      <c r="F11" s="77" t="s">
        <v>41</v>
      </c>
      <c r="G11" s="75" t="s">
        <v>1</v>
      </c>
      <c r="H11" s="2"/>
      <c r="I11" s="59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8">
        <v>3537.6</v>
      </c>
      <c r="M11" s="78">
        <v>480</v>
      </c>
      <c r="N11" s="78">
        <v>1843.2</v>
      </c>
      <c r="O11" s="78">
        <v>480</v>
      </c>
      <c r="P11" s="78">
        <v>120</v>
      </c>
      <c r="Q11" s="2"/>
      <c r="R11" s="5">
        <f t="shared" si="0"/>
        <v>814236.12599999993</v>
      </c>
      <c r="S11" s="5">
        <f t="shared" si="1"/>
        <v>110479.79999999999</v>
      </c>
      <c r="T11" s="5">
        <f t="shared" si="2"/>
        <v>424242.43199999997</v>
      </c>
      <c r="U11" s="5">
        <f t="shared" si="3"/>
        <v>110479.79999999999</v>
      </c>
      <c r="V11" s="5">
        <f t="shared" si="4"/>
        <v>27619.949999999997</v>
      </c>
    </row>
    <row r="12" spans="1:27" ht="12.75" customHeight="1" x14ac:dyDescent="0.2">
      <c r="A12" s="4"/>
      <c r="C12" s="76" t="s">
        <v>84</v>
      </c>
      <c r="D12" s="77" t="s">
        <v>50</v>
      </c>
      <c r="E12" s="77" t="s">
        <v>11</v>
      </c>
      <c r="F12" s="77" t="s">
        <v>40</v>
      </c>
      <c r="G12" s="75" t="s">
        <v>51</v>
      </c>
      <c r="H12" s="2"/>
      <c r="I12" s="59">
        <f>IF(AND($E12="Labour",$F12="IT Labour"),Assumptions!$B$14,
IF(AND($E12="Labour",$F12="IT Specialist"),Assumptions!$B$16,""))</f>
        <v>145.77740895836223</v>
      </c>
      <c r="J12" s="9" t="str">
        <f t="shared" si="5"/>
        <v>Hours</v>
      </c>
      <c r="K12" s="2"/>
      <c r="L12" s="78">
        <v>318.07999999999993</v>
      </c>
      <c r="M12" s="78">
        <v>142.07999999999996</v>
      </c>
      <c r="N12" s="78">
        <v>35.519999999999989</v>
      </c>
      <c r="O12" s="78">
        <v>0</v>
      </c>
      <c r="P12" s="78">
        <v>0</v>
      </c>
      <c r="Q12" s="2"/>
      <c r="R12" s="5">
        <f t="shared" si="0"/>
        <v>46368.878241475846</v>
      </c>
      <c r="S12" s="5">
        <f t="shared" si="1"/>
        <v>20712.054264804101</v>
      </c>
      <c r="T12" s="5">
        <f t="shared" si="2"/>
        <v>5178.0135662010252</v>
      </c>
      <c r="U12" s="5">
        <f t="shared" si="3"/>
        <v>0</v>
      </c>
      <c r="V12" s="5">
        <f t="shared" si="4"/>
        <v>0</v>
      </c>
    </row>
    <row r="13" spans="1:27" ht="12.75" customHeight="1" x14ac:dyDescent="0.25">
      <c r="A13" s="4"/>
      <c r="C13" s="76" t="s">
        <v>84</v>
      </c>
      <c r="D13" s="77" t="s">
        <v>50</v>
      </c>
      <c r="E13" s="77" t="s">
        <v>11</v>
      </c>
      <c r="F13" s="77" t="s">
        <v>41</v>
      </c>
      <c r="G13" s="75" t="s">
        <v>51</v>
      </c>
      <c r="H13" s="2"/>
      <c r="I13" s="59">
        <f>IF(AND($E13="Labour",$F13="IT Labour"),Assumptions!$B$14,
IF(AND($E13="Labour",$F13="IT Specialist"),Assumptions!$B$16,""))</f>
        <v>230.16624999999999</v>
      </c>
      <c r="J13" s="9" t="str">
        <f t="shared" si="5"/>
        <v>Hours</v>
      </c>
      <c r="K13" s="2"/>
      <c r="L13" s="78">
        <v>954.2399999999999</v>
      </c>
      <c r="M13" s="78">
        <v>426.2399999999999</v>
      </c>
      <c r="N13" s="78">
        <v>106.55999999999997</v>
      </c>
      <c r="O13" s="78">
        <v>0</v>
      </c>
      <c r="P13" s="78">
        <v>0</v>
      </c>
      <c r="Q13" s="2"/>
      <c r="R13" s="5">
        <f t="shared" si="0"/>
        <v>219633.84239999996</v>
      </c>
      <c r="S13" s="5">
        <f t="shared" si="1"/>
        <v>98106.062399999966</v>
      </c>
      <c r="T13" s="5">
        <f t="shared" si="2"/>
        <v>24526.515599999992</v>
      </c>
      <c r="U13" s="5">
        <f t="shared" si="3"/>
        <v>0</v>
      </c>
      <c r="V13" s="5">
        <f t="shared" si="4"/>
        <v>0</v>
      </c>
      <c r="AA13"/>
    </row>
    <row r="14" spans="1:27" ht="12.75" customHeight="1" x14ac:dyDescent="0.25">
      <c r="A14" s="4"/>
      <c r="C14" s="76" t="s">
        <v>84</v>
      </c>
      <c r="D14" s="77" t="s">
        <v>53</v>
      </c>
      <c r="E14" s="77" t="s">
        <v>12</v>
      </c>
      <c r="F14" s="77"/>
      <c r="G14" s="75" t="s">
        <v>1</v>
      </c>
      <c r="H14" s="2"/>
      <c r="I14" s="59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8">
        <v>4653445.28</v>
      </c>
      <c r="M14" s="78">
        <v>524577.28000000003</v>
      </c>
      <c r="N14" s="78">
        <v>2206144.3200000003</v>
      </c>
      <c r="O14" s="78">
        <v>315000</v>
      </c>
      <c r="P14" s="78">
        <v>216000</v>
      </c>
      <c r="Q14" s="2"/>
      <c r="R14" s="5">
        <f t="shared" si="0"/>
        <v>4653445.28</v>
      </c>
      <c r="S14" s="5">
        <f t="shared" si="1"/>
        <v>524577.28000000003</v>
      </c>
      <c r="T14" s="5">
        <f t="shared" si="2"/>
        <v>2206144.3200000003</v>
      </c>
      <c r="U14" s="5">
        <f t="shared" si="3"/>
        <v>315000</v>
      </c>
      <c r="V14" s="5">
        <f t="shared" si="4"/>
        <v>216000</v>
      </c>
      <c r="AA14"/>
    </row>
    <row r="15" spans="1:27" ht="12.75" customHeight="1" x14ac:dyDescent="0.25">
      <c r="A15" s="4"/>
      <c r="C15" s="76" t="s">
        <v>84</v>
      </c>
      <c r="D15" s="77" t="s">
        <v>50</v>
      </c>
      <c r="E15" s="77" t="s">
        <v>12</v>
      </c>
      <c r="F15" s="77"/>
      <c r="G15" s="75" t="s">
        <v>51</v>
      </c>
      <c r="H15" s="2"/>
      <c r="I15" s="59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8">
        <v>555059.99999999988</v>
      </c>
      <c r="M15" s="78">
        <v>207791.99999999997</v>
      </c>
      <c r="N15" s="78">
        <v>139860</v>
      </c>
      <c r="O15" s="78">
        <v>117216</v>
      </c>
      <c r="P15" s="78">
        <v>117216</v>
      </c>
      <c r="Q15" s="2"/>
      <c r="R15" s="5">
        <f t="shared" si="0"/>
        <v>555059.99999999988</v>
      </c>
      <c r="S15" s="5">
        <f t="shared" si="1"/>
        <v>207791.99999999997</v>
      </c>
      <c r="T15" s="5">
        <f t="shared" si="2"/>
        <v>139860</v>
      </c>
      <c r="U15" s="5">
        <f t="shared" si="3"/>
        <v>117216</v>
      </c>
      <c r="V15" s="5">
        <f t="shared" si="4"/>
        <v>117216</v>
      </c>
      <c r="AA15"/>
    </row>
    <row r="16" spans="1:27" ht="12.75" customHeight="1" x14ac:dyDescent="0.25">
      <c r="A16" s="4"/>
      <c r="C16" s="76" t="s">
        <v>85</v>
      </c>
      <c r="D16" s="77" t="s">
        <v>50</v>
      </c>
      <c r="E16" s="77" t="s">
        <v>12</v>
      </c>
      <c r="F16" s="77"/>
      <c r="G16" s="75" t="s">
        <v>1</v>
      </c>
      <c r="H16" s="2"/>
      <c r="I16" s="59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8">
        <v>159528.6</v>
      </c>
      <c r="M16" s="78">
        <v>355236.19999999995</v>
      </c>
      <c r="N16" s="78">
        <v>664759.69999999995</v>
      </c>
      <c r="O16" s="78">
        <v>915878.7</v>
      </c>
      <c r="P16" s="78">
        <v>955072.79999999993</v>
      </c>
      <c r="Q16" s="2"/>
      <c r="R16" s="5">
        <f t="shared" si="0"/>
        <v>159528.6</v>
      </c>
      <c r="S16" s="5">
        <f t="shared" si="1"/>
        <v>355236.19999999995</v>
      </c>
      <c r="T16" s="5">
        <f t="shared" si="2"/>
        <v>664759.69999999995</v>
      </c>
      <c r="U16" s="5">
        <f t="shared" si="3"/>
        <v>915878.7</v>
      </c>
      <c r="V16" s="5">
        <f t="shared" si="4"/>
        <v>955072.79999999993</v>
      </c>
      <c r="AA16"/>
    </row>
    <row r="17" spans="1:27" ht="12.75" customHeight="1" x14ac:dyDescent="0.25">
      <c r="A17" s="4"/>
      <c r="C17" s="76" t="s">
        <v>86</v>
      </c>
      <c r="D17" s="77" t="s">
        <v>50</v>
      </c>
      <c r="E17" s="77" t="s">
        <v>13</v>
      </c>
      <c r="F17" s="77"/>
      <c r="G17" s="75" t="s">
        <v>1</v>
      </c>
      <c r="H17" s="2"/>
      <c r="I17" s="59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8">
        <v>204517.5</v>
      </c>
      <c r="M17" s="78">
        <v>374440</v>
      </c>
      <c r="N17" s="78">
        <v>374440</v>
      </c>
      <c r="O17" s="78">
        <v>374440</v>
      </c>
      <c r="P17" s="78">
        <v>374440</v>
      </c>
      <c r="Q17" s="2"/>
      <c r="R17" s="5">
        <f t="shared" si="0"/>
        <v>204517.5</v>
      </c>
      <c r="S17" s="5">
        <f t="shared" si="1"/>
        <v>374440</v>
      </c>
      <c r="T17" s="5">
        <f t="shared" si="2"/>
        <v>374440</v>
      </c>
      <c r="U17" s="5">
        <f t="shared" si="3"/>
        <v>374440</v>
      </c>
      <c r="V17" s="5">
        <f t="shared" si="4"/>
        <v>374440</v>
      </c>
      <c r="AA17"/>
    </row>
    <row r="18" spans="1:27" ht="12.75" customHeight="1" x14ac:dyDescent="0.25">
      <c r="A18" s="4"/>
      <c r="C18" s="76"/>
      <c r="D18" s="77"/>
      <c r="E18" s="77"/>
      <c r="F18" s="77"/>
      <c r="G18" s="75"/>
      <c r="H18" s="2"/>
      <c r="I18" s="59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8"/>
      <c r="M18" s="78"/>
      <c r="N18" s="78"/>
      <c r="O18" s="78"/>
      <c r="P18" s="78"/>
      <c r="Q18" s="2"/>
      <c r="R18" s="5">
        <f t="shared" si="0"/>
        <v>0</v>
      </c>
      <c r="S18" s="5">
        <f t="shared" si="1"/>
        <v>0</v>
      </c>
      <c r="T18" s="5">
        <f t="shared" si="2"/>
        <v>0</v>
      </c>
      <c r="U18" s="5">
        <f t="shared" si="3"/>
        <v>0</v>
      </c>
      <c r="V18" s="5">
        <f t="shared" si="4"/>
        <v>0</v>
      </c>
      <c r="AA18"/>
    </row>
    <row r="19" spans="1:27" ht="12.75" customHeight="1" x14ac:dyDescent="0.25">
      <c r="A19" s="4"/>
      <c r="C19" s="76" t="s">
        <v>87</v>
      </c>
      <c r="D19" s="77" t="s">
        <v>53</v>
      </c>
      <c r="E19" s="77" t="s">
        <v>11</v>
      </c>
      <c r="F19" s="77" t="s">
        <v>40</v>
      </c>
      <c r="G19" s="75" t="s">
        <v>1</v>
      </c>
      <c r="H19" s="2"/>
      <c r="I19" s="59">
        <f>IF(AND($E19="Labour",$F19="IT Labour"),Assumptions!$B$14,
IF(AND($E19="Labour",$F19="IT Specialist"),Assumptions!$B$16,""))</f>
        <v>145.77740895836223</v>
      </c>
      <c r="J19" s="9" t="str">
        <f t="shared" si="5"/>
        <v>Hours</v>
      </c>
      <c r="K19" s="2"/>
      <c r="L19" s="78">
        <v>2012.8</v>
      </c>
      <c r="M19" s="78">
        <v>2699.5199999999995</v>
      </c>
      <c r="N19" s="78">
        <v>781.43999999999994</v>
      </c>
      <c r="O19" s="78">
        <v>568.31999999999994</v>
      </c>
      <c r="P19" s="78">
        <v>757.76</v>
      </c>
      <c r="Q19" s="2"/>
      <c r="R19" s="5">
        <f t="shared" si="0"/>
        <v>293420.7687513915</v>
      </c>
      <c r="S19" s="5">
        <f t="shared" si="1"/>
        <v>393529.03103127796</v>
      </c>
      <c r="T19" s="5">
        <f t="shared" si="2"/>
        <v>113916.29845642258</v>
      </c>
      <c r="U19" s="5">
        <f t="shared" si="3"/>
        <v>82848.217059216418</v>
      </c>
      <c r="V19" s="5">
        <f t="shared" si="4"/>
        <v>110464.28941228856</v>
      </c>
      <c r="AA19"/>
    </row>
    <row r="20" spans="1:27" ht="12.75" customHeight="1" x14ac:dyDescent="0.25">
      <c r="A20" s="4"/>
      <c r="C20" s="76" t="s">
        <v>87</v>
      </c>
      <c r="D20" s="77" t="s">
        <v>53</v>
      </c>
      <c r="E20" s="77" t="s">
        <v>11</v>
      </c>
      <c r="F20" s="77" t="s">
        <v>41</v>
      </c>
      <c r="G20" s="75" t="s">
        <v>1</v>
      </c>
      <c r="H20" s="2"/>
      <c r="I20" s="59">
        <f>IF(AND($E20="Labour",$F20="IT Labour"),Assumptions!$B$14,
IF(AND($E20="Labour",$F20="IT Specialist"),Assumptions!$B$16,""))</f>
        <v>230.16624999999999</v>
      </c>
      <c r="J20" s="9" t="str">
        <f t="shared" si="5"/>
        <v>Hours</v>
      </c>
      <c r="K20" s="2"/>
      <c r="L20" s="78">
        <v>8382.7200000000012</v>
      </c>
      <c r="M20" s="78">
        <v>13781.759999999998</v>
      </c>
      <c r="N20" s="78">
        <v>3457.2799999999997</v>
      </c>
      <c r="O20" s="78">
        <v>2273.2799999999997</v>
      </c>
      <c r="P20" s="78">
        <v>2652.16</v>
      </c>
      <c r="Q20" s="2"/>
      <c r="R20" s="5">
        <f t="shared" si="0"/>
        <v>1929419.2272000001</v>
      </c>
      <c r="S20" s="5">
        <f t="shared" si="1"/>
        <v>3172096.0175999994</v>
      </c>
      <c r="T20" s="5">
        <f t="shared" si="2"/>
        <v>795749.17279999994</v>
      </c>
      <c r="U20" s="5">
        <f t="shared" si="3"/>
        <v>523232.33279999992</v>
      </c>
      <c r="V20" s="5">
        <f t="shared" si="4"/>
        <v>610437.72159999993</v>
      </c>
      <c r="AA20"/>
    </row>
    <row r="21" spans="1:27" ht="12.75" customHeight="1" x14ac:dyDescent="0.25">
      <c r="A21" s="4"/>
      <c r="C21" s="76" t="s">
        <v>87</v>
      </c>
      <c r="D21" s="77" t="s">
        <v>50</v>
      </c>
      <c r="E21" s="77" t="s">
        <v>11</v>
      </c>
      <c r="F21" s="77" t="s">
        <v>40</v>
      </c>
      <c r="G21" s="75" t="s">
        <v>51</v>
      </c>
      <c r="H21" s="2"/>
      <c r="I21" s="59">
        <f>IF(AND($E21="Labour",$F21="IT Labour"),Assumptions!$B$14,
IF(AND($E21="Labour",$F21="IT Specialist"),Assumptions!$B$16,""))</f>
        <v>145.77740895836223</v>
      </c>
      <c r="J21" s="9" t="str">
        <f t="shared" si="5"/>
        <v>Hours</v>
      </c>
      <c r="K21" s="2"/>
      <c r="L21" s="78">
        <v>355.19999999999993</v>
      </c>
      <c r="M21" s="78">
        <v>319.67999999999995</v>
      </c>
      <c r="N21" s="78">
        <v>165.75999999999996</v>
      </c>
      <c r="O21" s="78">
        <v>142.07999999999996</v>
      </c>
      <c r="P21" s="78">
        <v>189.43999999999994</v>
      </c>
      <c r="Q21" s="2"/>
      <c r="R21" s="5">
        <f t="shared" si="0"/>
        <v>51780.135662010252</v>
      </c>
      <c r="S21" s="5">
        <f t="shared" si="1"/>
        <v>46602.122095809231</v>
      </c>
      <c r="T21" s="5">
        <f t="shared" si="2"/>
        <v>24164.063308938119</v>
      </c>
      <c r="U21" s="5">
        <f t="shared" si="3"/>
        <v>20712.054264804101</v>
      </c>
      <c r="V21" s="5">
        <f t="shared" si="4"/>
        <v>27616.072353072133</v>
      </c>
      <c r="AA21"/>
    </row>
    <row r="22" spans="1:27" ht="12.75" customHeight="1" x14ac:dyDescent="0.25">
      <c r="A22" s="4"/>
      <c r="C22" s="76" t="s">
        <v>87</v>
      </c>
      <c r="D22" s="77" t="s">
        <v>50</v>
      </c>
      <c r="E22" s="77" t="s">
        <v>11</v>
      </c>
      <c r="F22" s="77" t="s">
        <v>41</v>
      </c>
      <c r="G22" s="75" t="s">
        <v>51</v>
      </c>
      <c r="H22" s="2"/>
      <c r="I22" s="59">
        <f>IF(AND($E22="Labour",$F22="IT Labour"),Assumptions!$B$14,
IF(AND($E22="Labour",$F22="IT Specialist"),Assumptions!$B$16,""))</f>
        <v>230.16624999999999</v>
      </c>
      <c r="J22" s="9" t="str">
        <f t="shared" si="5"/>
        <v>Hours</v>
      </c>
      <c r="K22" s="2"/>
      <c r="L22" s="78">
        <v>1207.6799999999998</v>
      </c>
      <c r="M22" s="78">
        <v>1314.2399999999998</v>
      </c>
      <c r="N22" s="78">
        <v>686.7199999999998</v>
      </c>
      <c r="O22" s="78">
        <v>568.31999999999982</v>
      </c>
      <c r="P22" s="78">
        <v>663.03999999999985</v>
      </c>
      <c r="Q22" s="2"/>
      <c r="R22" s="5">
        <f t="shared" si="0"/>
        <v>277967.17679999996</v>
      </c>
      <c r="S22" s="5">
        <f t="shared" si="1"/>
        <v>302493.69239999994</v>
      </c>
      <c r="T22" s="5">
        <f t="shared" si="2"/>
        <v>158059.76719999994</v>
      </c>
      <c r="U22" s="5">
        <f t="shared" si="3"/>
        <v>130808.08319999995</v>
      </c>
      <c r="V22" s="5">
        <f t="shared" si="4"/>
        <v>152609.43039999995</v>
      </c>
      <c r="AA22"/>
    </row>
    <row r="23" spans="1:27" ht="12.75" customHeight="1" x14ac:dyDescent="0.25">
      <c r="A23" s="4"/>
      <c r="C23" s="76" t="s">
        <v>87</v>
      </c>
      <c r="D23" s="77" t="s">
        <v>53</v>
      </c>
      <c r="E23" s="77" t="s">
        <v>12</v>
      </c>
      <c r="F23" s="77"/>
      <c r="G23" s="75" t="s">
        <v>1</v>
      </c>
      <c r="H23" s="2"/>
      <c r="I23" s="59" t="str">
        <f>IF(AND($E23="Labour",$F23="IT Labour"),Assumptions!$B$14,
IF(AND($E23="Labour",$F23="IT Specialist"),Assumptions!$B$16,""))</f>
        <v/>
      </c>
      <c r="J23" s="9" t="str">
        <f t="shared" si="5"/>
        <v>$</v>
      </c>
      <c r="K23" s="2"/>
      <c r="L23" s="78">
        <v>553520</v>
      </c>
      <c r="M23" s="78">
        <v>124320</v>
      </c>
      <c r="N23" s="78">
        <v>0</v>
      </c>
      <c r="O23" s="78">
        <v>0</v>
      </c>
      <c r="P23" s="78">
        <v>124320</v>
      </c>
      <c r="Q23" s="2"/>
      <c r="R23" s="5">
        <f t="shared" si="0"/>
        <v>553520</v>
      </c>
      <c r="S23" s="5">
        <f t="shared" si="1"/>
        <v>124320</v>
      </c>
      <c r="T23" s="5">
        <f t="shared" si="2"/>
        <v>0</v>
      </c>
      <c r="U23" s="5">
        <f t="shared" si="3"/>
        <v>0</v>
      </c>
      <c r="V23" s="5">
        <f t="shared" si="4"/>
        <v>124320</v>
      </c>
      <c r="AA23"/>
    </row>
    <row r="24" spans="1:27" ht="12.75" customHeight="1" x14ac:dyDescent="0.25">
      <c r="A24" s="4"/>
      <c r="C24" s="76" t="s">
        <v>87</v>
      </c>
      <c r="D24" s="77" t="s">
        <v>50</v>
      </c>
      <c r="E24" s="77" t="s">
        <v>12</v>
      </c>
      <c r="F24" s="77"/>
      <c r="G24" s="75" t="s">
        <v>51</v>
      </c>
      <c r="H24" s="2"/>
      <c r="I24" s="59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8"/>
      <c r="M24" s="78"/>
      <c r="N24" s="78"/>
      <c r="O24" s="78"/>
      <c r="P24" s="78"/>
      <c r="Q24" s="2"/>
      <c r="R24" s="5">
        <f t="shared" si="0"/>
        <v>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76" t="s">
        <v>87</v>
      </c>
      <c r="D25" s="77" t="s">
        <v>50</v>
      </c>
      <c r="E25" s="77" t="s">
        <v>12</v>
      </c>
      <c r="F25" s="77"/>
      <c r="G25" s="75" t="s">
        <v>51</v>
      </c>
      <c r="H25" s="2"/>
      <c r="I25" s="59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8">
        <v>138379.99999999994</v>
      </c>
      <c r="M25" s="78">
        <v>31079.999999999993</v>
      </c>
      <c r="N25" s="78">
        <v>0</v>
      </c>
      <c r="O25" s="78">
        <v>0</v>
      </c>
      <c r="P25" s="78">
        <v>31079.999999999993</v>
      </c>
      <c r="Q25" s="2"/>
      <c r="R25" s="5">
        <f t="shared" si="0"/>
        <v>138379.99999999994</v>
      </c>
      <c r="S25" s="5">
        <f t="shared" si="1"/>
        <v>31079.999999999993</v>
      </c>
      <c r="T25" s="5">
        <f t="shared" si="2"/>
        <v>0</v>
      </c>
      <c r="U25" s="5">
        <f t="shared" si="3"/>
        <v>0</v>
      </c>
      <c r="V25" s="5">
        <f t="shared" si="4"/>
        <v>31079.999999999993</v>
      </c>
      <c r="AA25"/>
    </row>
    <row r="26" spans="1:27" ht="12.75" customHeight="1" x14ac:dyDescent="0.25">
      <c r="A26" s="4"/>
      <c r="C26" s="76" t="s">
        <v>88</v>
      </c>
      <c r="D26" s="77" t="s">
        <v>50</v>
      </c>
      <c r="E26" s="77" t="s">
        <v>12</v>
      </c>
      <c r="F26" s="77"/>
      <c r="G26" s="75" t="s">
        <v>1</v>
      </c>
      <c r="H26" s="2"/>
      <c r="I26" s="59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8">
        <v>574517.44819999998</v>
      </c>
      <c r="M26" s="78">
        <v>682797.91859999998</v>
      </c>
      <c r="N26" s="78">
        <v>707069.91119999997</v>
      </c>
      <c r="O26" s="78">
        <v>707069.91119999997</v>
      </c>
      <c r="P26" s="78">
        <v>779885.88899999997</v>
      </c>
      <c r="Q26" s="2"/>
      <c r="R26" s="5">
        <f t="shared" si="0"/>
        <v>574517.44819999998</v>
      </c>
      <c r="S26" s="5">
        <f t="shared" si="1"/>
        <v>682797.91859999998</v>
      </c>
      <c r="T26" s="5">
        <f t="shared" si="2"/>
        <v>707069.91119999997</v>
      </c>
      <c r="U26" s="5">
        <f t="shared" si="3"/>
        <v>707069.91119999997</v>
      </c>
      <c r="V26" s="5">
        <f t="shared" si="4"/>
        <v>779885.88899999997</v>
      </c>
      <c r="AA26"/>
    </row>
    <row r="27" spans="1:27" ht="12.75" customHeight="1" x14ac:dyDescent="0.25">
      <c r="A27" s="4"/>
      <c r="C27" s="76" t="s">
        <v>89</v>
      </c>
      <c r="D27" s="77" t="s">
        <v>50</v>
      </c>
      <c r="E27" s="77" t="s">
        <v>13</v>
      </c>
      <c r="F27" s="77"/>
      <c r="G27" s="75" t="s">
        <v>1</v>
      </c>
      <c r="H27" s="2"/>
      <c r="I27" s="59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8">
        <v>84201.428571428565</v>
      </c>
      <c r="M27" s="78">
        <v>259740.00000000003</v>
      </c>
      <c r="N27" s="78">
        <v>422434.2857142858</v>
      </c>
      <c r="O27" s="78">
        <v>536605.71428571444</v>
      </c>
      <c r="P27" s="78">
        <v>650777.14285714307</v>
      </c>
      <c r="Q27" s="2"/>
      <c r="R27" s="5">
        <f t="shared" si="0"/>
        <v>84201.428571428565</v>
      </c>
      <c r="S27" s="5">
        <f t="shared" si="1"/>
        <v>259740.00000000003</v>
      </c>
      <c r="T27" s="5">
        <f t="shared" si="2"/>
        <v>422434.2857142858</v>
      </c>
      <c r="U27" s="5">
        <f t="shared" si="3"/>
        <v>536605.71428571444</v>
      </c>
      <c r="V27" s="5">
        <f t="shared" si="4"/>
        <v>650777.14285714307</v>
      </c>
      <c r="AA27"/>
    </row>
    <row r="28" spans="1:27" ht="12.75" customHeight="1" x14ac:dyDescent="0.25">
      <c r="A28" s="4"/>
      <c r="C28" s="76"/>
      <c r="D28" s="77"/>
      <c r="E28" s="77"/>
      <c r="F28" s="77"/>
      <c r="G28" s="75"/>
      <c r="H28" s="2"/>
      <c r="I28" s="59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8"/>
      <c r="M28" s="78"/>
      <c r="N28" s="78"/>
      <c r="O28" s="78"/>
      <c r="P28" s="78"/>
      <c r="Q28" s="2"/>
      <c r="R28" s="5">
        <f t="shared" si="0"/>
        <v>0</v>
      </c>
      <c r="S28" s="5">
        <f t="shared" si="1"/>
        <v>0</v>
      </c>
      <c r="T28" s="5">
        <f t="shared" si="2"/>
        <v>0</v>
      </c>
      <c r="U28" s="5">
        <f t="shared" si="3"/>
        <v>0</v>
      </c>
      <c r="V28" s="5">
        <f t="shared" si="4"/>
        <v>0</v>
      </c>
      <c r="AA28"/>
    </row>
    <row r="29" spans="1:27" ht="12.75" customHeight="1" x14ac:dyDescent="0.25">
      <c r="A29" s="4"/>
      <c r="C29" s="76" t="s">
        <v>90</v>
      </c>
      <c r="D29" s="77" t="s">
        <v>53</v>
      </c>
      <c r="E29" s="77" t="s">
        <v>11</v>
      </c>
      <c r="F29" s="77" t="s">
        <v>40</v>
      </c>
      <c r="G29" s="75" t="s">
        <v>1</v>
      </c>
      <c r="H29" s="2"/>
      <c r="I29" s="59">
        <f>IF(AND($E29="Labour",$F29="IT Labour"),Assumptions!$B$14,
IF(AND($E29="Labour",$F29="IT Specialist"),Assumptions!$B$16,""))</f>
        <v>145.77740895836223</v>
      </c>
      <c r="J29" s="9" t="str">
        <f t="shared" si="5"/>
        <v>Hours</v>
      </c>
      <c r="K29" s="2"/>
      <c r="L29" s="78">
        <v>0</v>
      </c>
      <c r="M29" s="78">
        <v>3072</v>
      </c>
      <c r="N29" s="78">
        <v>3072</v>
      </c>
      <c r="O29" s="78">
        <v>0</v>
      </c>
      <c r="P29" s="78">
        <v>0</v>
      </c>
      <c r="Q29" s="2"/>
      <c r="R29" s="5">
        <f t="shared" si="0"/>
        <v>0</v>
      </c>
      <c r="S29" s="5">
        <f t="shared" si="1"/>
        <v>447828.20032008877</v>
      </c>
      <c r="T29" s="5">
        <f t="shared" si="2"/>
        <v>447828.20032008877</v>
      </c>
      <c r="U29" s="5">
        <f t="shared" si="3"/>
        <v>0</v>
      </c>
      <c r="V29" s="5">
        <f t="shared" si="4"/>
        <v>0</v>
      </c>
      <c r="AA29"/>
    </row>
    <row r="30" spans="1:27" ht="12.75" customHeight="1" x14ac:dyDescent="0.25">
      <c r="A30" s="4"/>
      <c r="C30" s="76" t="s">
        <v>90</v>
      </c>
      <c r="D30" s="77" t="s">
        <v>53</v>
      </c>
      <c r="E30" s="77" t="s">
        <v>11</v>
      </c>
      <c r="F30" s="77" t="s">
        <v>41</v>
      </c>
      <c r="G30" s="75" t="s">
        <v>1</v>
      </c>
      <c r="H30" s="2"/>
      <c r="I30" s="59">
        <f>IF(AND($E30="Labour",$F30="IT Labour"),Assumptions!$B$14,
IF(AND($E30="Labour",$F30="IT Specialist"),Assumptions!$B$16,""))</f>
        <v>230.16624999999999</v>
      </c>
      <c r="J30" s="9" t="str">
        <f t="shared" si="5"/>
        <v>Hours</v>
      </c>
      <c r="K30" s="2"/>
      <c r="L30" s="78">
        <v>0</v>
      </c>
      <c r="M30" s="78">
        <v>15360</v>
      </c>
      <c r="N30" s="78">
        <v>15360</v>
      </c>
      <c r="O30" s="78">
        <v>0</v>
      </c>
      <c r="P30" s="78">
        <v>0</v>
      </c>
      <c r="Q30" s="2"/>
      <c r="R30" s="5">
        <f t="shared" si="0"/>
        <v>0</v>
      </c>
      <c r="S30" s="5">
        <f t="shared" si="1"/>
        <v>3535353.5999999996</v>
      </c>
      <c r="T30" s="5">
        <f t="shared" si="2"/>
        <v>3535353.5999999996</v>
      </c>
      <c r="U30" s="5">
        <f t="shared" si="3"/>
        <v>0</v>
      </c>
      <c r="V30" s="5">
        <f t="shared" si="4"/>
        <v>0</v>
      </c>
      <c r="AA30"/>
    </row>
    <row r="31" spans="1:27" ht="12.75" customHeight="1" x14ac:dyDescent="0.25">
      <c r="A31" s="4"/>
      <c r="C31" s="76" t="s">
        <v>90</v>
      </c>
      <c r="D31" s="77" t="s">
        <v>50</v>
      </c>
      <c r="E31" s="77" t="s">
        <v>11</v>
      </c>
      <c r="F31" s="77" t="s">
        <v>40</v>
      </c>
      <c r="G31" s="75" t="s">
        <v>51</v>
      </c>
      <c r="H31" s="2"/>
      <c r="I31" s="59">
        <f>IF(AND($E31="Labour",$F31="IT Labour"),Assumptions!$B$14,
IF(AND($E31="Labour",$F31="IT Specialist"),Assumptions!$B$16,""))</f>
        <v>145.77740895836223</v>
      </c>
      <c r="J31" s="9" t="str">
        <f t="shared" si="5"/>
        <v>Hours</v>
      </c>
      <c r="K31" s="2"/>
      <c r="L31" s="78">
        <v>151.99999999999997</v>
      </c>
      <c r="M31" s="78">
        <v>767.99999999999977</v>
      </c>
      <c r="N31" s="78">
        <v>767.99999999999977</v>
      </c>
      <c r="O31" s="78">
        <v>0</v>
      </c>
      <c r="P31" s="78">
        <v>0</v>
      </c>
      <c r="Q31" s="2"/>
      <c r="R31" s="5">
        <f t="shared" si="0"/>
        <v>22158.166161671055</v>
      </c>
      <c r="S31" s="5">
        <f t="shared" si="1"/>
        <v>111957.05008002216</v>
      </c>
      <c r="T31" s="5">
        <f t="shared" si="2"/>
        <v>111957.05008002216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76" t="s">
        <v>90</v>
      </c>
      <c r="D32" s="77" t="s">
        <v>50</v>
      </c>
      <c r="E32" s="77" t="s">
        <v>11</v>
      </c>
      <c r="F32" s="77" t="s">
        <v>41</v>
      </c>
      <c r="G32" s="75" t="s">
        <v>51</v>
      </c>
      <c r="H32" s="2"/>
      <c r="I32" s="59">
        <f>IF(AND($E32="Labour",$F32="IT Labour"),Assumptions!$B$14,
IF(AND($E32="Labour",$F32="IT Specialist"),Assumptions!$B$16,""))</f>
        <v>230.16624999999999</v>
      </c>
      <c r="J32" s="9" t="str">
        <f t="shared" si="5"/>
        <v>Hours</v>
      </c>
      <c r="K32" s="2"/>
      <c r="L32" s="78">
        <v>759.99999999999977</v>
      </c>
      <c r="M32" s="78">
        <v>3839.9999999999991</v>
      </c>
      <c r="N32" s="78">
        <v>3839.9999999999991</v>
      </c>
      <c r="O32" s="78">
        <v>0</v>
      </c>
      <c r="P32" s="78">
        <v>0</v>
      </c>
      <c r="Q32" s="2"/>
      <c r="R32" s="5">
        <f t="shared" si="0"/>
        <v>174926.34999999995</v>
      </c>
      <c r="S32" s="5">
        <f t="shared" si="1"/>
        <v>883838.39999999979</v>
      </c>
      <c r="T32" s="5">
        <f t="shared" si="2"/>
        <v>883838.39999999979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6" t="s">
        <v>90</v>
      </c>
      <c r="D33" s="77" t="s">
        <v>53</v>
      </c>
      <c r="E33" s="77" t="s">
        <v>12</v>
      </c>
      <c r="F33" s="77"/>
      <c r="G33" s="75" t="s">
        <v>1</v>
      </c>
      <c r="H33" s="2"/>
      <c r="I33" s="59" t="str">
        <f>IF(AND($E33="Labour",$F33="IT Labour"),Assumptions!$B$14,
IF(AND($E33="Labour",$F33="IT Specialist"),Assumptions!$B$16,""))</f>
        <v/>
      </c>
      <c r="J33" s="9" t="str">
        <f t="shared" si="5"/>
        <v>$</v>
      </c>
      <c r="K33" s="2"/>
      <c r="L33" s="78">
        <v>1610208</v>
      </c>
      <c r="M33" s="78">
        <v>0</v>
      </c>
      <c r="N33" s="78">
        <v>0</v>
      </c>
      <c r="O33" s="78">
        <v>0</v>
      </c>
      <c r="P33" s="78">
        <v>0</v>
      </c>
      <c r="Q33" s="2"/>
      <c r="R33" s="5">
        <f t="shared" si="0"/>
        <v>1610208</v>
      </c>
      <c r="S33" s="5">
        <f t="shared" si="1"/>
        <v>0</v>
      </c>
      <c r="T33" s="5">
        <f t="shared" si="2"/>
        <v>0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76" t="s">
        <v>90</v>
      </c>
      <c r="D34" s="77" t="s">
        <v>50</v>
      </c>
      <c r="E34" s="77" t="s">
        <v>12</v>
      </c>
      <c r="F34" s="77"/>
      <c r="G34" s="75" t="s">
        <v>51</v>
      </c>
      <c r="H34" s="2"/>
      <c r="I34" s="59" t="str">
        <f>IF(AND($E34="Labour",$F34="IT Labour"),Assumptions!$B$14,
IF(AND($E34="Labour",$F34="IT Specialist"),Assumptions!$B$16,""))</f>
        <v/>
      </c>
      <c r="J34" s="9" t="str">
        <f t="shared" si="5"/>
        <v>$</v>
      </c>
      <c r="K34" s="2"/>
      <c r="L34" s="78">
        <v>177999.99999999994</v>
      </c>
      <c r="M34" s="78">
        <v>0</v>
      </c>
      <c r="N34" s="78">
        <v>0</v>
      </c>
      <c r="O34" s="78">
        <v>0</v>
      </c>
      <c r="P34" s="78">
        <v>0</v>
      </c>
      <c r="Q34" s="2"/>
      <c r="R34" s="5">
        <f t="shared" si="0"/>
        <v>177999.99999999994</v>
      </c>
      <c r="S34" s="5">
        <f t="shared" si="1"/>
        <v>0</v>
      </c>
      <c r="T34" s="5">
        <f t="shared" si="2"/>
        <v>0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6" t="s">
        <v>91</v>
      </c>
      <c r="D35" s="77" t="s">
        <v>50</v>
      </c>
      <c r="E35" s="77" t="s">
        <v>12</v>
      </c>
      <c r="F35" s="77"/>
      <c r="G35" s="75" t="s">
        <v>1</v>
      </c>
      <c r="H35" s="2"/>
      <c r="I35" s="59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8">
        <v>698699.88</v>
      </c>
      <c r="M35" s="78">
        <v>931599.84</v>
      </c>
      <c r="N35" s="78">
        <v>931599.84</v>
      </c>
      <c r="O35" s="78">
        <v>931599.84</v>
      </c>
      <c r="P35" s="78">
        <v>931599.84</v>
      </c>
      <c r="Q35" s="2"/>
      <c r="R35" s="5">
        <f t="shared" si="0"/>
        <v>698699.88</v>
      </c>
      <c r="S35" s="5">
        <f t="shared" si="1"/>
        <v>931599.84</v>
      </c>
      <c r="T35" s="5">
        <f t="shared" si="2"/>
        <v>931599.84</v>
      </c>
      <c r="U35" s="5">
        <f t="shared" si="3"/>
        <v>931599.84</v>
      </c>
      <c r="V35" s="5">
        <f t="shared" si="4"/>
        <v>931599.84</v>
      </c>
      <c r="AA35"/>
    </row>
    <row r="36" spans="1:27" ht="12.75" customHeight="1" x14ac:dyDescent="0.25">
      <c r="A36" s="4"/>
      <c r="C36" s="76"/>
      <c r="D36" s="77"/>
      <c r="E36" s="77"/>
      <c r="F36" s="77"/>
      <c r="G36" s="75"/>
      <c r="H36" s="2"/>
      <c r="I36" s="59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8"/>
      <c r="M36" s="78"/>
      <c r="N36" s="78"/>
      <c r="O36" s="78"/>
      <c r="P36" s="78"/>
      <c r="Q36" s="2"/>
      <c r="R36" s="5">
        <f t="shared" si="0"/>
        <v>0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6" t="s">
        <v>83</v>
      </c>
      <c r="D37" s="77" t="s">
        <v>50</v>
      </c>
      <c r="E37" s="77" t="s">
        <v>12</v>
      </c>
      <c r="F37" s="77"/>
      <c r="G37" s="75" t="s">
        <v>1</v>
      </c>
      <c r="H37" s="2"/>
      <c r="I37" s="59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8">
        <v>-2134900</v>
      </c>
      <c r="M37" s="78">
        <v>-2134900</v>
      </c>
      <c r="N37" s="78">
        <v>-2134900</v>
      </c>
      <c r="O37" s="78">
        <v>-2134900</v>
      </c>
      <c r="P37" s="78">
        <v>-2134900</v>
      </c>
      <c r="Q37" s="2"/>
      <c r="R37" s="5">
        <f t="shared" si="0"/>
        <v>-2134900</v>
      </c>
      <c r="S37" s="5">
        <f t="shared" si="1"/>
        <v>-2134900</v>
      </c>
      <c r="T37" s="5">
        <f t="shared" si="2"/>
        <v>-2134900</v>
      </c>
      <c r="U37" s="5">
        <f t="shared" si="3"/>
        <v>-2134900</v>
      </c>
      <c r="V37" s="5">
        <f t="shared" si="4"/>
        <v>-2134900</v>
      </c>
      <c r="AA37"/>
    </row>
    <row r="38" spans="1:27" ht="12.75" customHeight="1" x14ac:dyDescent="0.25">
      <c r="A38" s="4"/>
      <c r="C38" s="76"/>
      <c r="D38" s="77"/>
      <c r="E38" s="77"/>
      <c r="F38" s="77"/>
      <c r="G38" s="75"/>
      <c r="H38" s="2"/>
      <c r="I38" s="59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8"/>
      <c r="M38" s="78"/>
      <c r="N38" s="78"/>
      <c r="O38" s="78"/>
      <c r="P38" s="78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6"/>
      <c r="D39" s="77"/>
      <c r="E39" s="77"/>
      <c r="F39" s="77"/>
      <c r="G39" s="75"/>
      <c r="H39" s="2"/>
      <c r="I39" s="59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8"/>
      <c r="M39" s="78"/>
      <c r="N39" s="78"/>
      <c r="O39" s="78"/>
      <c r="P39" s="78"/>
      <c r="Q39" s="2"/>
      <c r="R39" s="5">
        <f t="shared" si="0"/>
        <v>0</v>
      </c>
      <c r="S39" s="5">
        <f t="shared" si="1"/>
        <v>0</v>
      </c>
      <c r="T39" s="5">
        <f t="shared" si="2"/>
        <v>0</v>
      </c>
      <c r="U39" s="5">
        <f t="shared" si="3"/>
        <v>0</v>
      </c>
      <c r="V39" s="5">
        <f t="shared" si="4"/>
        <v>0</v>
      </c>
      <c r="AA39"/>
    </row>
    <row r="40" spans="1:27" ht="12.75" customHeight="1" x14ac:dyDescent="0.25">
      <c r="A40" s="4"/>
      <c r="C40" s="76"/>
      <c r="D40" s="77"/>
      <c r="E40" s="77"/>
      <c r="F40" s="77"/>
      <c r="G40" s="75"/>
      <c r="H40" s="2"/>
      <c r="I40" s="59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8"/>
      <c r="M40" s="78"/>
      <c r="N40" s="78"/>
      <c r="O40" s="78"/>
      <c r="P40" s="78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6"/>
      <c r="D41" s="77"/>
      <c r="E41" s="77"/>
      <c r="F41" s="77"/>
      <c r="G41" s="75"/>
      <c r="H41" s="2"/>
      <c r="I41" s="59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8"/>
      <c r="M41" s="78"/>
      <c r="N41" s="78"/>
      <c r="O41" s="78"/>
      <c r="P41" s="78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6"/>
      <c r="D42" s="77"/>
      <c r="E42" s="77"/>
      <c r="F42" s="77"/>
      <c r="G42" s="75"/>
      <c r="H42" s="2"/>
      <c r="I42" s="59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8"/>
      <c r="M42" s="78"/>
      <c r="N42" s="78"/>
      <c r="O42" s="78"/>
      <c r="P42" s="78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6"/>
      <c r="D43" s="77"/>
      <c r="E43" s="77"/>
      <c r="F43" s="77"/>
      <c r="G43" s="75"/>
      <c r="H43" s="2"/>
      <c r="I43" s="59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8"/>
      <c r="M43" s="78"/>
      <c r="N43" s="78"/>
      <c r="O43" s="78"/>
      <c r="P43" s="78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6"/>
      <c r="D44" s="77"/>
      <c r="E44" s="77"/>
      <c r="F44" s="77"/>
      <c r="G44" s="75"/>
      <c r="H44" s="2"/>
      <c r="I44" s="59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8"/>
      <c r="M44" s="78"/>
      <c r="N44" s="78"/>
      <c r="O44" s="78"/>
      <c r="P44" s="78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6"/>
      <c r="D45" s="77"/>
      <c r="E45" s="77"/>
      <c r="F45" s="77"/>
      <c r="G45" s="75"/>
      <c r="H45" s="2"/>
      <c r="I45" s="59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8"/>
      <c r="M45" s="78"/>
      <c r="N45" s="78"/>
      <c r="O45" s="78"/>
      <c r="P45" s="78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6"/>
      <c r="D46" s="77"/>
      <c r="E46" s="77"/>
      <c r="F46" s="77"/>
      <c r="G46" s="75"/>
      <c r="H46" s="2"/>
      <c r="I46" s="59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8"/>
      <c r="M46" s="78"/>
      <c r="N46" s="78"/>
      <c r="O46" s="78"/>
      <c r="P46" s="78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6"/>
      <c r="D47" s="77"/>
      <c r="E47" s="77"/>
      <c r="F47" s="77"/>
      <c r="G47" s="75"/>
      <c r="H47" s="2"/>
      <c r="I47" s="59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8"/>
      <c r="M47" s="78"/>
      <c r="N47" s="78"/>
      <c r="O47" s="78"/>
      <c r="P47" s="78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6"/>
      <c r="D48" s="77"/>
      <c r="E48" s="77"/>
      <c r="F48" s="77"/>
      <c r="G48" s="75"/>
      <c r="H48" s="2"/>
      <c r="I48" s="59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8"/>
      <c r="M48" s="78"/>
      <c r="N48" s="78"/>
      <c r="O48" s="78"/>
      <c r="P48" s="78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6"/>
      <c r="D49" s="77"/>
      <c r="E49" s="77"/>
      <c r="F49" s="77"/>
      <c r="G49" s="75"/>
      <c r="H49" s="2"/>
      <c r="I49" s="59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8"/>
      <c r="M49" s="78"/>
      <c r="N49" s="78"/>
      <c r="O49" s="78"/>
      <c r="P49" s="78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6"/>
      <c r="D50" s="77"/>
      <c r="E50" s="77"/>
      <c r="F50" s="77"/>
      <c r="G50" s="75"/>
      <c r="H50" s="2"/>
      <c r="I50" s="59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8"/>
      <c r="M50" s="78"/>
      <c r="N50" s="78"/>
      <c r="O50" s="78"/>
      <c r="P50" s="78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6"/>
      <c r="D51" s="77"/>
      <c r="E51" s="77"/>
      <c r="F51" s="77"/>
      <c r="G51" s="75"/>
      <c r="H51" s="2"/>
      <c r="I51" s="59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8"/>
      <c r="M51" s="78"/>
      <c r="N51" s="78"/>
      <c r="O51" s="78"/>
      <c r="P51" s="78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6"/>
      <c r="D52" s="77"/>
      <c r="E52" s="77"/>
      <c r="F52" s="77"/>
      <c r="G52" s="75"/>
      <c r="H52" s="2"/>
      <c r="I52" s="59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8"/>
      <c r="M52" s="78"/>
      <c r="N52" s="78"/>
      <c r="O52" s="78"/>
      <c r="P52" s="78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6"/>
      <c r="D53" s="77"/>
      <c r="E53" s="77"/>
      <c r="F53" s="77"/>
      <c r="G53" s="75"/>
      <c r="H53" s="2"/>
      <c r="I53" s="59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8"/>
      <c r="M53" s="78"/>
      <c r="N53" s="78"/>
      <c r="O53" s="78"/>
      <c r="P53" s="78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6"/>
      <c r="D54" s="77"/>
      <c r="E54" s="77"/>
      <c r="F54" s="77"/>
      <c r="G54" s="75"/>
      <c r="H54" s="2"/>
      <c r="I54" s="59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8"/>
      <c r="M54" s="78"/>
      <c r="N54" s="78"/>
      <c r="O54" s="78"/>
      <c r="P54" s="78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6"/>
      <c r="D55" s="77"/>
      <c r="E55" s="77"/>
      <c r="F55" s="77"/>
      <c r="G55" s="75"/>
      <c r="H55" s="2"/>
      <c r="I55" s="59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8"/>
      <c r="M55" s="78"/>
      <c r="N55" s="78"/>
      <c r="O55" s="78"/>
      <c r="P55" s="78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6"/>
      <c r="D56" s="77"/>
      <c r="E56" s="77"/>
      <c r="F56" s="77"/>
      <c r="G56" s="75"/>
      <c r="H56" s="2"/>
      <c r="I56" s="59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8"/>
      <c r="M56" s="78"/>
      <c r="N56" s="78"/>
      <c r="O56" s="78"/>
      <c r="P56" s="78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6"/>
      <c r="D57" s="77"/>
      <c r="E57" s="77"/>
      <c r="F57" s="77"/>
      <c r="G57" s="75"/>
      <c r="H57" s="2"/>
      <c r="I57" s="59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8"/>
      <c r="M57" s="78"/>
      <c r="N57" s="78"/>
      <c r="O57" s="78"/>
      <c r="P57" s="78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6"/>
      <c r="D58" s="77"/>
      <c r="E58" s="77"/>
      <c r="F58" s="77"/>
      <c r="G58" s="75"/>
      <c r="H58" s="2"/>
      <c r="I58" s="59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8"/>
      <c r="M58" s="78"/>
      <c r="N58" s="78"/>
      <c r="O58" s="78"/>
      <c r="P58" s="78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6"/>
      <c r="D59" s="77"/>
      <c r="E59" s="77"/>
      <c r="F59" s="77"/>
      <c r="G59" s="75"/>
      <c r="H59" s="2"/>
      <c r="I59" s="59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8"/>
      <c r="M59" s="78"/>
      <c r="N59" s="78"/>
      <c r="O59" s="78"/>
      <c r="P59" s="78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6"/>
      <c r="D60" s="77"/>
      <c r="E60" s="77"/>
      <c r="F60" s="77"/>
      <c r="G60" s="75"/>
      <c r="H60" s="2"/>
      <c r="I60" s="59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8"/>
      <c r="M60" s="78"/>
      <c r="N60" s="78"/>
      <c r="O60" s="78"/>
      <c r="P60" s="78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6"/>
      <c r="D61" s="77"/>
      <c r="E61" s="77"/>
      <c r="F61" s="77"/>
      <c r="G61" s="75"/>
      <c r="H61" s="2"/>
      <c r="I61" s="59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8"/>
      <c r="M61" s="78"/>
      <c r="N61" s="78"/>
      <c r="O61" s="78"/>
      <c r="P61" s="78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6"/>
      <c r="D62" s="77"/>
      <c r="E62" s="77"/>
      <c r="F62" s="77"/>
      <c r="G62" s="75"/>
      <c r="H62" s="2"/>
      <c r="I62" s="59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8"/>
      <c r="M62" s="78"/>
      <c r="N62" s="78"/>
      <c r="O62" s="78"/>
      <c r="P62" s="78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6"/>
      <c r="D63" s="77"/>
      <c r="E63" s="77"/>
      <c r="F63" s="77"/>
      <c r="G63" s="75"/>
      <c r="H63" s="2"/>
      <c r="I63" s="59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8"/>
      <c r="M63" s="78"/>
      <c r="N63" s="78"/>
      <c r="O63" s="78"/>
      <c r="P63" s="78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6"/>
      <c r="D64" s="77"/>
      <c r="E64" s="77"/>
      <c r="F64" s="77"/>
      <c r="G64" s="75"/>
      <c r="I64" s="59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8"/>
      <c r="M64" s="78"/>
      <c r="N64" s="78"/>
      <c r="O64" s="78"/>
      <c r="P64" s="78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6"/>
      <c r="D65" s="77"/>
      <c r="E65" s="77"/>
      <c r="F65" s="77"/>
      <c r="G65" s="75"/>
      <c r="I65" s="59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8"/>
      <c r="M65" s="78"/>
      <c r="N65" s="78"/>
      <c r="O65" s="78"/>
      <c r="P65" s="78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6"/>
      <c r="D66" s="77"/>
      <c r="E66" s="77"/>
      <c r="F66" s="77"/>
      <c r="G66" s="75"/>
      <c r="I66" s="59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8"/>
      <c r="M66" s="78"/>
      <c r="N66" s="78"/>
      <c r="O66" s="78"/>
      <c r="P66" s="78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6"/>
      <c r="D67" s="77"/>
      <c r="E67" s="77"/>
      <c r="F67" s="77"/>
      <c r="G67" s="75"/>
      <c r="I67" s="59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8"/>
      <c r="M67" s="78"/>
      <c r="N67" s="78"/>
      <c r="O67" s="78"/>
      <c r="P67" s="78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6"/>
      <c r="D68" s="77"/>
      <c r="E68" s="77"/>
      <c r="F68" s="77"/>
      <c r="G68" s="75"/>
      <c r="I68" s="59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8"/>
      <c r="M68" s="78"/>
      <c r="N68" s="78"/>
      <c r="O68" s="78"/>
      <c r="P68" s="78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6"/>
      <c r="D69" s="77"/>
      <c r="E69" s="77"/>
      <c r="F69" s="77"/>
      <c r="G69" s="75"/>
      <c r="I69" s="59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8"/>
      <c r="M69" s="78"/>
      <c r="N69" s="78"/>
      <c r="O69" s="78"/>
      <c r="P69" s="78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6"/>
      <c r="D70" s="77"/>
      <c r="E70" s="77"/>
      <c r="F70" s="77"/>
      <c r="G70" s="75"/>
      <c r="I70" s="59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8"/>
      <c r="M70" s="78"/>
      <c r="N70" s="78"/>
      <c r="O70" s="78"/>
      <c r="P70" s="78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54</v>
      </c>
      <c r="H73" s="2"/>
      <c r="K73" s="2"/>
      <c r="Q73" s="2"/>
      <c r="R73" s="64" t="s">
        <v>6</v>
      </c>
      <c r="S73" s="64" t="s">
        <v>7</v>
      </c>
      <c r="T73" s="64" t="s">
        <v>8</v>
      </c>
      <c r="U73" s="64" t="s">
        <v>9</v>
      </c>
      <c r="V73" s="64" t="s">
        <v>10</v>
      </c>
      <c r="W73" s="64" t="s">
        <v>0</v>
      </c>
      <c r="AA73"/>
    </row>
    <row r="74" spans="1:27" ht="12.75" customHeight="1" x14ac:dyDescent="0.2">
      <c r="C74" s="24" t="s">
        <v>11</v>
      </c>
      <c r="D74" s="24" t="s">
        <v>53</v>
      </c>
      <c r="E74" s="24"/>
      <c r="F74" s="24"/>
      <c r="G74" s="24" t="s">
        <v>1</v>
      </c>
      <c r="H74" s="2"/>
      <c r="I74" s="61"/>
      <c r="J74" s="62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3217723.487132594</v>
      </c>
      <c r="S74" s="25">
        <f t="shared" si="11"/>
        <v>7694273.2271013726</v>
      </c>
      <c r="T74" s="25">
        <f t="shared" si="11"/>
        <v>5421233.0845363643</v>
      </c>
      <c r="U74" s="25">
        <f t="shared" si="11"/>
        <v>751546.92800922319</v>
      </c>
      <c r="V74" s="25">
        <f t="shared" si="11"/>
        <v>757268.6055497902</v>
      </c>
      <c r="W74" s="66">
        <f>SUM(R74:V74)</f>
        <v>17842045.332329344</v>
      </c>
    </row>
    <row r="75" spans="1:27" ht="12.75" customHeight="1" x14ac:dyDescent="0.2">
      <c r="C75" s="1" t="s">
        <v>12</v>
      </c>
      <c r="D75" s="1" t="s">
        <v>53</v>
      </c>
      <c r="G75" s="1" t="s">
        <v>1</v>
      </c>
      <c r="H75" s="2"/>
      <c r="I75" s="63"/>
      <c r="K75" s="2"/>
      <c r="Q75" s="2"/>
      <c r="R75" s="6">
        <f t="shared" si="11"/>
        <v>6817173.2800000003</v>
      </c>
      <c r="S75" s="6">
        <f t="shared" si="11"/>
        <v>648897.28000000003</v>
      </c>
      <c r="T75" s="6">
        <f t="shared" si="11"/>
        <v>2206144.3200000003</v>
      </c>
      <c r="U75" s="6">
        <f t="shared" si="11"/>
        <v>315000</v>
      </c>
      <c r="V75" s="6">
        <f t="shared" si="11"/>
        <v>340320</v>
      </c>
      <c r="W75" s="67">
        <f t="shared" ref="W75:W89" si="12">SUM(R75:V75)</f>
        <v>10327534.880000001</v>
      </c>
    </row>
    <row r="76" spans="1:27" ht="12.75" customHeight="1" x14ac:dyDescent="0.2">
      <c r="C76" s="1" t="s">
        <v>13</v>
      </c>
      <c r="D76" s="1" t="s">
        <v>53</v>
      </c>
      <c r="G76" s="1" t="s">
        <v>1</v>
      </c>
      <c r="H76" s="2"/>
      <c r="I76" s="63"/>
      <c r="K76" s="2"/>
      <c r="Q76" s="2"/>
      <c r="R76" s="6">
        <f t="shared" si="11"/>
        <v>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0</v>
      </c>
      <c r="W76" s="67">
        <f t="shared" si="12"/>
        <v>0</v>
      </c>
    </row>
    <row r="77" spans="1:27" ht="12.75" customHeight="1" x14ac:dyDescent="0.2">
      <c r="C77" s="1" t="s">
        <v>11</v>
      </c>
      <c r="D77" s="1" t="s">
        <v>53</v>
      </c>
      <c r="G77" s="1" t="s">
        <v>51</v>
      </c>
      <c r="H77" s="2"/>
      <c r="I77" s="63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7">
        <f t="shared" si="12"/>
        <v>0</v>
      </c>
    </row>
    <row r="78" spans="1:27" ht="12.75" customHeight="1" x14ac:dyDescent="0.2">
      <c r="C78" s="1" t="s">
        <v>12</v>
      </c>
      <c r="D78" s="1" t="s">
        <v>53</v>
      </c>
      <c r="G78" s="1" t="s">
        <v>51</v>
      </c>
      <c r="H78" s="2"/>
      <c r="I78" s="63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7">
        <f t="shared" si="12"/>
        <v>0</v>
      </c>
    </row>
    <row r="79" spans="1:27" ht="12.75" customHeight="1" x14ac:dyDescent="0.2">
      <c r="C79" s="1" t="s">
        <v>13</v>
      </c>
      <c r="D79" s="1" t="s">
        <v>53</v>
      </c>
      <c r="G79" s="1" t="s">
        <v>51</v>
      </c>
      <c r="H79" s="2"/>
      <c r="I79" s="63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7">
        <f t="shared" si="12"/>
        <v>0</v>
      </c>
    </row>
    <row r="80" spans="1:27" ht="12.75" customHeight="1" x14ac:dyDescent="0.2">
      <c r="C80" s="21" t="s">
        <v>14</v>
      </c>
      <c r="D80" s="21" t="s">
        <v>53</v>
      </c>
      <c r="E80" s="95"/>
      <c r="F80" s="95"/>
      <c r="G80" s="96"/>
      <c r="H80" s="2"/>
      <c r="I80" s="96"/>
      <c r="J80" s="98"/>
      <c r="K80" s="97"/>
      <c r="L80" s="95"/>
      <c r="M80" s="95"/>
      <c r="N80" s="95"/>
      <c r="O80" s="95"/>
      <c r="P80" s="95"/>
      <c r="Q80" s="2"/>
      <c r="R80" s="22">
        <f>SUM(R74:R79)</f>
        <v>10034896.767132595</v>
      </c>
      <c r="S80" s="22">
        <f t="shared" ref="S80:V80" si="13">SUM(S74:S79)</f>
        <v>8343170.5071013728</v>
      </c>
      <c r="T80" s="22">
        <f t="shared" si="13"/>
        <v>7627377.4045363646</v>
      </c>
      <c r="U80" s="22">
        <f t="shared" si="13"/>
        <v>1066546.9280092232</v>
      </c>
      <c r="V80" s="22">
        <f t="shared" si="13"/>
        <v>1097588.6055497902</v>
      </c>
      <c r="W80" s="22">
        <f>SUM(W74:W79)</f>
        <v>28169580.212329343</v>
      </c>
    </row>
    <row r="81" spans="3:24" ht="12.75" customHeight="1" x14ac:dyDescent="0.2">
      <c r="C81" s="1" t="s">
        <v>11</v>
      </c>
      <c r="D81" s="1" t="s">
        <v>50</v>
      </c>
      <c r="G81" s="1" t="s">
        <v>1</v>
      </c>
      <c r="H81" s="2"/>
      <c r="I81" s="63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7">
        <f t="shared" si="12"/>
        <v>0</v>
      </c>
    </row>
    <row r="82" spans="3:24" ht="12.75" customHeight="1" x14ac:dyDescent="0.2">
      <c r="C82" s="1" t="s">
        <v>12</v>
      </c>
      <c r="D82" s="1" t="s">
        <v>50</v>
      </c>
      <c r="G82" s="1" t="s">
        <v>1</v>
      </c>
      <c r="H82" s="2"/>
      <c r="I82" s="63"/>
      <c r="K82" s="2"/>
      <c r="Q82" s="2"/>
      <c r="R82" s="6">
        <f t="shared" si="14"/>
        <v>-702154.07180000003</v>
      </c>
      <c r="S82" s="6">
        <f t="shared" si="14"/>
        <v>-165266.04139999999</v>
      </c>
      <c r="T82" s="6">
        <f t="shared" si="14"/>
        <v>168529.45120000001</v>
      </c>
      <c r="U82" s="6">
        <f t="shared" si="14"/>
        <v>419648.45120000001</v>
      </c>
      <c r="V82" s="6">
        <f t="shared" si="14"/>
        <v>531658.52899999963</v>
      </c>
      <c r="W82" s="67">
        <f t="shared" si="12"/>
        <v>252416.31819999963</v>
      </c>
    </row>
    <row r="83" spans="3:24" ht="12.75" customHeight="1" x14ac:dyDescent="0.2">
      <c r="C83" s="1" t="s">
        <v>13</v>
      </c>
      <c r="D83" s="1" t="s">
        <v>50</v>
      </c>
      <c r="G83" s="1" t="s">
        <v>1</v>
      </c>
      <c r="H83" s="2"/>
      <c r="I83" s="63"/>
      <c r="K83" s="2"/>
      <c r="Q83" s="2"/>
      <c r="R83" s="6">
        <f t="shared" si="14"/>
        <v>288718.92857142858</v>
      </c>
      <c r="S83" s="6">
        <f t="shared" si="14"/>
        <v>634180</v>
      </c>
      <c r="T83" s="6">
        <f t="shared" si="14"/>
        <v>796874.2857142858</v>
      </c>
      <c r="U83" s="6">
        <f t="shared" si="14"/>
        <v>911045.71428571444</v>
      </c>
      <c r="V83" s="6">
        <f t="shared" si="14"/>
        <v>1025217.1428571431</v>
      </c>
      <c r="W83" s="67">
        <f t="shared" si="12"/>
        <v>3656036.0714285723</v>
      </c>
    </row>
    <row r="84" spans="3:24" ht="12.75" customHeight="1" x14ac:dyDescent="0.2">
      <c r="C84" s="1" t="s">
        <v>11</v>
      </c>
      <c r="D84" s="1" t="s">
        <v>50</v>
      </c>
      <c r="G84" s="1" t="s">
        <v>51</v>
      </c>
      <c r="H84" s="2"/>
      <c r="I84" s="63"/>
      <c r="K84" s="2"/>
      <c r="Q84" s="2"/>
      <c r="R84" s="6">
        <f t="shared" si="14"/>
        <v>792834.54926515708</v>
      </c>
      <c r="S84" s="6">
        <f t="shared" si="14"/>
        <v>1463709.3812406352</v>
      </c>
      <c r="T84" s="6">
        <f t="shared" si="14"/>
        <v>1207723.8097551609</v>
      </c>
      <c r="U84" s="6">
        <f t="shared" si="14"/>
        <v>151520.13746480405</v>
      </c>
      <c r="V84" s="6">
        <f t="shared" si="14"/>
        <v>180225.5027530721</v>
      </c>
      <c r="W84" s="67">
        <f t="shared" si="12"/>
        <v>3796013.3804788291</v>
      </c>
    </row>
    <row r="85" spans="3:24" ht="12.75" customHeight="1" x14ac:dyDescent="0.2">
      <c r="C85" s="1" t="s">
        <v>12</v>
      </c>
      <c r="D85" s="1" t="s">
        <v>50</v>
      </c>
      <c r="G85" s="1" t="s">
        <v>51</v>
      </c>
      <c r="H85" s="2"/>
      <c r="I85" s="63"/>
      <c r="K85" s="2"/>
      <c r="Q85" s="2"/>
      <c r="R85" s="6">
        <f t="shared" si="14"/>
        <v>871439.99999999977</v>
      </c>
      <c r="S85" s="6">
        <f t="shared" si="14"/>
        <v>238871.99999999997</v>
      </c>
      <c r="T85" s="6">
        <f t="shared" si="14"/>
        <v>139860</v>
      </c>
      <c r="U85" s="6">
        <f t="shared" si="14"/>
        <v>117216</v>
      </c>
      <c r="V85" s="6">
        <f t="shared" si="14"/>
        <v>148296</v>
      </c>
      <c r="W85" s="67">
        <f t="shared" si="12"/>
        <v>1515683.9999999998</v>
      </c>
    </row>
    <row r="86" spans="3:24" ht="12.75" customHeight="1" x14ac:dyDescent="0.2">
      <c r="C86" s="1" t="s">
        <v>13</v>
      </c>
      <c r="D86" s="1" t="s">
        <v>50</v>
      </c>
      <c r="G86" s="1" t="s">
        <v>51</v>
      </c>
      <c r="H86" s="2"/>
      <c r="I86" s="63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7">
        <f t="shared" si="12"/>
        <v>0</v>
      </c>
    </row>
    <row r="87" spans="3:24" ht="12.75" customHeight="1" x14ac:dyDescent="0.2">
      <c r="C87" s="21" t="s">
        <v>15</v>
      </c>
      <c r="D87" s="21" t="s">
        <v>50</v>
      </c>
      <c r="E87" s="95"/>
      <c r="F87" s="95"/>
      <c r="G87" s="96"/>
      <c r="H87" s="2"/>
      <c r="I87" s="96"/>
      <c r="J87" s="98"/>
      <c r="K87" s="97"/>
      <c r="L87" s="95"/>
      <c r="M87" s="95"/>
      <c r="N87" s="95"/>
      <c r="O87" s="95"/>
      <c r="P87" s="95"/>
      <c r="Q87" s="2"/>
      <c r="R87" s="22">
        <f>SUM(R81:R86)</f>
        <v>1250839.4060365853</v>
      </c>
      <c r="S87" s="22">
        <f t="shared" ref="S87:V87" si="15">SUM(S81:S86)</f>
        <v>2171495.3398406352</v>
      </c>
      <c r="T87" s="22">
        <f t="shared" si="15"/>
        <v>2312987.5466694469</v>
      </c>
      <c r="U87" s="22">
        <f t="shared" si="15"/>
        <v>1599430.3029505187</v>
      </c>
      <c r="V87" s="22">
        <f t="shared" si="15"/>
        <v>1885397.174610215</v>
      </c>
      <c r="W87" s="22">
        <f>SUM(W81:W86)</f>
        <v>9220149.7701074015</v>
      </c>
    </row>
    <row r="88" spans="3:24" ht="12.75" customHeight="1" x14ac:dyDescent="0.2">
      <c r="G88" s="63"/>
      <c r="H88" s="2"/>
      <c r="I88" s="63"/>
      <c r="K88" s="2"/>
      <c r="Q88" s="2"/>
      <c r="R88" s="6"/>
      <c r="S88" s="6"/>
      <c r="T88" s="6"/>
      <c r="U88" s="6"/>
      <c r="V88" s="6"/>
      <c r="W88" s="67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11285736.173169181</v>
      </c>
      <c r="S89" s="8">
        <f t="shared" ref="S89:V89" si="16">S80+S87</f>
        <v>10514665.846942008</v>
      </c>
      <c r="T89" s="8">
        <f t="shared" si="16"/>
        <v>9940364.9512058124</v>
      </c>
      <c r="U89" s="8">
        <f t="shared" si="16"/>
        <v>2665977.2309597419</v>
      </c>
      <c r="V89" s="8">
        <f t="shared" si="16"/>
        <v>2982985.7801600052</v>
      </c>
      <c r="W89" s="68">
        <f t="shared" si="12"/>
        <v>37389729.982436746</v>
      </c>
    </row>
    <row r="90" spans="3:24" ht="12.75" customHeight="1" x14ac:dyDescent="0.2">
      <c r="C90" s="42" t="s">
        <v>55</v>
      </c>
      <c r="D90" s="42"/>
      <c r="E90" s="42"/>
      <c r="F90" s="42"/>
      <c r="G90" s="42"/>
      <c r="H90" s="2"/>
      <c r="I90" s="42"/>
      <c r="J90" s="42"/>
      <c r="K90" s="2"/>
      <c r="L90" s="42"/>
      <c r="M90" s="42"/>
      <c r="N90" s="42"/>
      <c r="O90" s="42"/>
      <c r="P90" s="42"/>
      <c r="Q90" s="2"/>
      <c r="R90" s="43">
        <f>R89-SUM(R$10:R$70)</f>
        <v>0</v>
      </c>
      <c r="S90" s="43">
        <f>S89-SUM(S$10:S$70)</f>
        <v>0</v>
      </c>
      <c r="T90" s="43">
        <f>T89-SUM(T$10:T$70)</f>
        <v>0</v>
      </c>
      <c r="U90" s="43">
        <f>U89-SUM(U$10:U$70)</f>
        <v>0</v>
      </c>
      <c r="V90" s="43">
        <f>V89-SUM(V$10:V$70)</f>
        <v>0</v>
      </c>
      <c r="W90" s="43">
        <f>W89-SUM(R$10:V$70)</f>
        <v>0</v>
      </c>
      <c r="X90" s="43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1" t="str">
        <f>"NPV ($ "&amp;Assumptions!$B$12&amp;")"</f>
        <v>NPV ($ June 2024)</v>
      </c>
      <c r="D92" s="52">
        <f>NPV(Real_Discount_rate,R89:V89)</f>
        <v>34520124.780408584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54</v>
      </c>
      <c r="G95" s="3"/>
      <c r="H95" s="2"/>
      <c r="K95" s="2"/>
      <c r="Q95" s="2"/>
      <c r="R95" s="64" t="s">
        <v>6</v>
      </c>
      <c r="S95" s="64" t="s">
        <v>7</v>
      </c>
      <c r="T95" s="64" t="s">
        <v>8</v>
      </c>
      <c r="U95" s="64" t="s">
        <v>9</v>
      </c>
      <c r="V95" s="64" t="s">
        <v>10</v>
      </c>
      <c r="W95" s="104" t="s">
        <v>0</v>
      </c>
    </row>
    <row r="96" spans="3:24" ht="12.75" customHeight="1" x14ac:dyDescent="0.2">
      <c r="C96" s="24"/>
      <c r="D96" s="24" t="s">
        <v>53</v>
      </c>
      <c r="E96" s="24"/>
      <c r="F96" s="24"/>
      <c r="G96" s="24" t="s">
        <v>1</v>
      </c>
      <c r="H96" s="2"/>
      <c r="I96" s="61"/>
      <c r="J96" s="62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10034896.767132593</v>
      </c>
      <c r="S96" s="25">
        <f t="shared" si="17"/>
        <v>8343170.5071013737</v>
      </c>
      <c r="T96" s="25">
        <f t="shared" si="17"/>
        <v>7627377.4045363646</v>
      </c>
      <c r="U96" s="25">
        <f t="shared" si="17"/>
        <v>1066546.9280092232</v>
      </c>
      <c r="V96" s="25">
        <f t="shared" si="17"/>
        <v>1097588.6055497902</v>
      </c>
      <c r="W96" s="67">
        <f t="shared" ref="W96:W97" si="18">SUM(R96:V96)</f>
        <v>28169580.212329347</v>
      </c>
    </row>
    <row r="97" spans="3:24" ht="12.75" customHeight="1" x14ac:dyDescent="0.2">
      <c r="D97" s="1" t="s">
        <v>50</v>
      </c>
      <c r="G97" s="1" t="s">
        <v>1</v>
      </c>
      <c r="H97" s="2"/>
      <c r="K97" s="2"/>
      <c r="Q97" s="2"/>
      <c r="R97" s="103">
        <f t="shared" si="17"/>
        <v>-413435.1432285714</v>
      </c>
      <c r="S97" s="103">
        <f t="shared" si="17"/>
        <v>468913.95860000001</v>
      </c>
      <c r="T97" s="103">
        <f t="shared" si="17"/>
        <v>965403.73691428546</v>
      </c>
      <c r="U97" s="103">
        <f t="shared" si="17"/>
        <v>1330694.1654857141</v>
      </c>
      <c r="V97" s="103">
        <f t="shared" si="17"/>
        <v>1556875.6718571428</v>
      </c>
      <c r="W97" s="67">
        <f t="shared" si="18"/>
        <v>3908452.389628571</v>
      </c>
    </row>
    <row r="98" spans="3:24" ht="12.75" customHeight="1" x14ac:dyDescent="0.2">
      <c r="C98" s="21" t="s">
        <v>56</v>
      </c>
      <c r="D98" s="21"/>
      <c r="E98" s="95"/>
      <c r="F98" s="95"/>
      <c r="G98" s="96"/>
      <c r="H98" s="2"/>
      <c r="I98" s="96"/>
      <c r="J98" s="98"/>
      <c r="K98" s="97"/>
      <c r="L98" s="95"/>
      <c r="M98" s="95"/>
      <c r="N98" s="95"/>
      <c r="O98" s="95"/>
      <c r="P98" s="95"/>
      <c r="Q98" s="2"/>
      <c r="R98" s="22">
        <f>SUM(R96:R97)</f>
        <v>9621461.6239040215</v>
      </c>
      <c r="S98" s="22">
        <f t="shared" ref="S98:W98" si="19">SUM(S96:S97)</f>
        <v>8812084.4657013733</v>
      </c>
      <c r="T98" s="22">
        <f t="shared" si="19"/>
        <v>8592781.141450651</v>
      </c>
      <c r="U98" s="22">
        <f t="shared" si="19"/>
        <v>2397241.0934949373</v>
      </c>
      <c r="V98" s="22">
        <f t="shared" si="19"/>
        <v>2654464.2774069328</v>
      </c>
      <c r="W98" s="22">
        <f t="shared" si="19"/>
        <v>32078032.601957917</v>
      </c>
    </row>
    <row r="99" spans="3:24" ht="12.75" customHeight="1" x14ac:dyDescent="0.2">
      <c r="C99" s="4"/>
      <c r="D99" s="1" t="s">
        <v>53</v>
      </c>
      <c r="G99" s="1" t="s">
        <v>51</v>
      </c>
      <c r="H99" s="2"/>
      <c r="I99" s="63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7">
        <f t="shared" ref="W99:W100" si="21">SUM(R99:V99)</f>
        <v>0</v>
      </c>
    </row>
    <row r="100" spans="3:24" ht="12.75" customHeight="1" x14ac:dyDescent="0.2">
      <c r="C100" s="4"/>
      <c r="D100" s="1" t="s">
        <v>50</v>
      </c>
      <c r="G100" s="1" t="s">
        <v>51</v>
      </c>
      <c r="H100" s="2"/>
      <c r="I100" s="63"/>
      <c r="K100" s="2"/>
      <c r="Q100" s="2"/>
      <c r="R100" s="6">
        <f t="shared" si="20"/>
        <v>1664274.5492651567</v>
      </c>
      <c r="S100" s="6">
        <f t="shared" si="20"/>
        <v>1702581.3812406352</v>
      </c>
      <c r="T100" s="6">
        <f t="shared" si="20"/>
        <v>1347583.8097551609</v>
      </c>
      <c r="U100" s="6">
        <f t="shared" si="20"/>
        <v>268736.13746480405</v>
      </c>
      <c r="V100" s="6">
        <f t="shared" si="20"/>
        <v>328521.50275307207</v>
      </c>
      <c r="W100" s="67">
        <f t="shared" si="21"/>
        <v>5311697.3804788291</v>
      </c>
    </row>
    <row r="101" spans="3:24" ht="12.75" customHeight="1" x14ac:dyDescent="0.2">
      <c r="C101" s="21" t="s">
        <v>57</v>
      </c>
      <c r="D101" s="21"/>
      <c r="E101" s="95"/>
      <c r="F101" s="95"/>
      <c r="G101" s="96"/>
      <c r="H101" s="2"/>
      <c r="I101" s="96"/>
      <c r="J101" s="98"/>
      <c r="K101" s="97"/>
      <c r="L101" s="95"/>
      <c r="M101" s="95"/>
      <c r="N101" s="95"/>
      <c r="O101" s="95"/>
      <c r="P101" s="95"/>
      <c r="Q101" s="2"/>
      <c r="R101" s="22">
        <f>SUM(R99:R100)</f>
        <v>1664274.5492651567</v>
      </c>
      <c r="S101" s="22">
        <f t="shared" ref="S101:W101" si="22">SUM(S99:S100)</f>
        <v>1702581.3812406352</v>
      </c>
      <c r="T101" s="22">
        <f t="shared" si="22"/>
        <v>1347583.8097551609</v>
      </c>
      <c r="U101" s="22">
        <f t="shared" si="22"/>
        <v>268736.13746480405</v>
      </c>
      <c r="V101" s="22">
        <f t="shared" si="22"/>
        <v>328521.50275307207</v>
      </c>
      <c r="W101" s="22">
        <f t="shared" si="22"/>
        <v>5311697.3804788291</v>
      </c>
    </row>
    <row r="102" spans="3:24" ht="12.75" customHeight="1" x14ac:dyDescent="0.2">
      <c r="C102" s="4"/>
      <c r="D102" s="4"/>
      <c r="G102" s="63"/>
      <c r="H102" s="2"/>
      <c r="I102" s="63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11285736.173169179</v>
      </c>
      <c r="S103" s="8">
        <f t="shared" ref="S103:V103" si="23">S98+S101</f>
        <v>10514665.846942008</v>
      </c>
      <c r="T103" s="8">
        <f t="shared" si="23"/>
        <v>9940364.9512058124</v>
      </c>
      <c r="U103" s="8">
        <f t="shared" si="23"/>
        <v>2665977.2309597414</v>
      </c>
      <c r="V103" s="8">
        <f t="shared" si="23"/>
        <v>2982985.7801600047</v>
      </c>
      <c r="W103" s="68">
        <f t="shared" ref="W103" si="24">SUM(R103:V103)</f>
        <v>37389729.982436746</v>
      </c>
    </row>
    <row r="104" spans="3:24" ht="12.75" customHeight="1" x14ac:dyDescent="0.2">
      <c r="C104" s="42" t="s">
        <v>55</v>
      </c>
      <c r="D104" s="42"/>
      <c r="E104" s="42"/>
      <c r="F104" s="42"/>
      <c r="G104" s="42"/>
      <c r="H104" s="2"/>
      <c r="I104" s="42"/>
      <c r="J104" s="42"/>
      <c r="K104" s="2"/>
      <c r="L104" s="42"/>
      <c r="M104" s="42"/>
      <c r="N104" s="42"/>
      <c r="O104" s="42"/>
      <c r="P104" s="42"/>
      <c r="Q104" s="2"/>
      <c r="R104" s="43">
        <f>R103-SUM(R$10:R$70)</f>
        <v>0</v>
      </c>
      <c r="S104" s="43">
        <f>S103-SUM(S$10:S$70)</f>
        <v>0</v>
      </c>
      <c r="T104" s="43">
        <f>T103-SUM(T$10:T$70)</f>
        <v>0</v>
      </c>
      <c r="U104" s="43">
        <f>U103-SUM(U$10:U$70)</f>
        <v>0</v>
      </c>
      <c r="V104" s="43">
        <f>V103-SUM(V$10:V$70)</f>
        <v>0</v>
      </c>
      <c r="W104" s="43">
        <f>W103-SUM(R$10:V$70)</f>
        <v>0</v>
      </c>
      <c r="X104" s="43">
        <f>SUM(R104:W104)</f>
        <v>0</v>
      </c>
    </row>
    <row r="105" spans="3:24" ht="12.75" customHeight="1" x14ac:dyDescent="0.2">
      <c r="C105" s="105"/>
      <c r="D105" s="105"/>
      <c r="E105" s="105"/>
      <c r="F105" s="105"/>
      <c r="G105" s="105"/>
      <c r="H105" s="2"/>
      <c r="I105" s="105"/>
      <c r="J105" s="105"/>
      <c r="K105" s="2"/>
      <c r="L105" s="105"/>
      <c r="M105" s="105"/>
      <c r="N105" s="105"/>
      <c r="O105" s="105"/>
      <c r="P105" s="105"/>
      <c r="Q105" s="2"/>
      <c r="R105" s="106"/>
      <c r="S105" s="106"/>
      <c r="T105" s="106"/>
      <c r="U105" s="106"/>
      <c r="V105" s="106"/>
      <c r="W105" s="106"/>
      <c r="X105" s="106"/>
    </row>
    <row r="106" spans="3:24" ht="12.75" customHeight="1" x14ac:dyDescent="0.2">
      <c r="C106" s="105"/>
      <c r="D106" s="105"/>
      <c r="E106" s="105"/>
      <c r="F106" s="105"/>
      <c r="G106" s="105"/>
      <c r="H106" s="2"/>
      <c r="I106" s="105"/>
      <c r="J106" s="105"/>
      <c r="K106" s="2"/>
      <c r="L106" s="105"/>
      <c r="M106" s="105"/>
      <c r="N106" s="105"/>
      <c r="O106" s="105"/>
      <c r="P106" s="105"/>
      <c r="Q106" s="2"/>
      <c r="R106" s="106"/>
      <c r="S106" s="106"/>
      <c r="T106" s="106"/>
      <c r="U106" s="106"/>
      <c r="V106" s="106"/>
      <c r="W106" s="106"/>
      <c r="X106" s="106"/>
    </row>
    <row r="107" spans="3:24" ht="12.75" customHeight="1" x14ac:dyDescent="0.2">
      <c r="C107" s="105"/>
      <c r="D107" s="105"/>
      <c r="E107" s="105"/>
      <c r="F107" s="105"/>
      <c r="G107" s="105"/>
      <c r="H107" s="2"/>
      <c r="I107" s="105"/>
      <c r="J107" s="105"/>
      <c r="K107" s="2"/>
      <c r="L107" s="105"/>
      <c r="M107" s="105"/>
      <c r="N107" s="105"/>
      <c r="O107" s="105"/>
      <c r="P107" s="105"/>
      <c r="Q107" s="2"/>
      <c r="R107" s="106"/>
      <c r="S107" s="106"/>
      <c r="T107" s="106"/>
      <c r="U107" s="106"/>
      <c r="V107" s="106"/>
      <c r="W107" s="106"/>
      <c r="X107" s="106"/>
    </row>
    <row r="108" spans="3:24" ht="12.75" customHeight="1" x14ac:dyDescent="0.2">
      <c r="C108" s="71" t="s">
        <v>58</v>
      </c>
      <c r="H108" s="2"/>
      <c r="K108" s="2"/>
      <c r="Q108" s="2"/>
      <c r="R108" s="64" t="s">
        <v>6</v>
      </c>
      <c r="S108" s="64" t="s">
        <v>7</v>
      </c>
      <c r="T108" s="64" t="s">
        <v>8</v>
      </c>
      <c r="U108" s="64" t="s">
        <v>9</v>
      </c>
      <c r="V108" s="64" t="s">
        <v>10</v>
      </c>
      <c r="W108" s="64" t="s">
        <v>0</v>
      </c>
    </row>
    <row r="109" spans="3:24" ht="12.75" customHeight="1" x14ac:dyDescent="0.2">
      <c r="C109" s="24" t="s">
        <v>11</v>
      </c>
      <c r="D109" s="24" t="s">
        <v>53</v>
      </c>
      <c r="E109" s="24"/>
      <c r="F109" s="24"/>
      <c r="G109" s="24" t="s">
        <v>1</v>
      </c>
      <c r="H109" s="2"/>
      <c r="I109" s="61"/>
      <c r="J109" s="62"/>
      <c r="K109" s="2"/>
      <c r="L109" s="24"/>
      <c r="M109" s="24"/>
      <c r="N109" s="24"/>
      <c r="O109" s="24"/>
      <c r="P109" s="24"/>
      <c r="Q109" s="2"/>
      <c r="R109" s="32">
        <f t="shared" ref="R109:V114" si="25">R74*business_case_dollars</f>
        <v>3581045.1615015748</v>
      </c>
      <c r="S109" s="32">
        <f t="shared" si="25"/>
        <v>8563053.9794257563</v>
      </c>
      <c r="T109" s="32">
        <f t="shared" si="25"/>
        <v>6033358.8589525744</v>
      </c>
      <c r="U109" s="32">
        <f t="shared" si="25"/>
        <v>836406.08055700804</v>
      </c>
      <c r="V109" s="32">
        <f t="shared" si="25"/>
        <v>842773.8078506228</v>
      </c>
      <c r="W109" s="66">
        <f>SUM(R109:V109)</f>
        <v>19856637.888287533</v>
      </c>
    </row>
    <row r="110" spans="3:24" ht="12.75" customHeight="1" x14ac:dyDescent="0.2">
      <c r="C110" s="1" t="s">
        <v>12</v>
      </c>
      <c r="D110" s="1" t="s">
        <v>53</v>
      </c>
      <c r="G110" s="1" t="s">
        <v>1</v>
      </c>
      <c r="H110" s="2"/>
      <c r="I110" s="63"/>
      <c r="K110" s="2"/>
      <c r="Q110" s="2"/>
      <c r="R110" s="6">
        <f t="shared" si="25"/>
        <v>7586918.3561253101</v>
      </c>
      <c r="S110" s="6">
        <f t="shared" si="25"/>
        <v>722165.98913733126</v>
      </c>
      <c r="T110" s="6">
        <f t="shared" si="25"/>
        <v>2455245.9135481431</v>
      </c>
      <c r="U110" s="6">
        <f t="shared" si="25"/>
        <v>350567.4836212279</v>
      </c>
      <c r="V110" s="6">
        <f t="shared" si="25"/>
        <v>378746.43182849616</v>
      </c>
      <c r="W110" s="67">
        <f t="shared" ref="W110:W124" si="26">SUM(R110:V110)</f>
        <v>11493644.17426051</v>
      </c>
    </row>
    <row r="111" spans="3:24" ht="12.75" customHeight="1" x14ac:dyDescent="0.2">
      <c r="C111" s="1" t="s">
        <v>13</v>
      </c>
      <c r="D111" s="1" t="s">
        <v>53</v>
      </c>
      <c r="G111" s="1" t="s">
        <v>1</v>
      </c>
      <c r="H111" s="2"/>
      <c r="I111" s="63"/>
      <c r="K111" s="2"/>
      <c r="Q111" s="2"/>
      <c r="R111" s="6">
        <f t="shared" si="25"/>
        <v>0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0</v>
      </c>
      <c r="W111" s="67">
        <f t="shared" si="26"/>
        <v>0</v>
      </c>
    </row>
    <row r="112" spans="3:24" ht="12.75" customHeight="1" x14ac:dyDescent="0.2">
      <c r="C112" s="1" t="s">
        <v>11</v>
      </c>
      <c r="D112" s="1" t="s">
        <v>53</v>
      </c>
      <c r="G112" s="1" t="s">
        <v>51</v>
      </c>
      <c r="H112" s="2"/>
      <c r="I112" s="63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2">
      <c r="C113" s="1" t="s">
        <v>12</v>
      </c>
      <c r="D113" s="1" t="s">
        <v>53</v>
      </c>
      <c r="G113" s="1" t="s">
        <v>51</v>
      </c>
      <c r="H113" s="2"/>
      <c r="I113" s="63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2">
      <c r="C114" s="1" t="s">
        <v>13</v>
      </c>
      <c r="D114" s="1" t="s">
        <v>53</v>
      </c>
      <c r="G114" s="1" t="s">
        <v>51</v>
      </c>
      <c r="H114" s="2"/>
      <c r="I114" s="63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2">
      <c r="C115" s="21" t="s">
        <v>14</v>
      </c>
      <c r="D115" s="21" t="s">
        <v>53</v>
      </c>
      <c r="E115" s="95"/>
      <c r="F115" s="95"/>
      <c r="G115" s="96"/>
      <c r="H115" s="97"/>
      <c r="I115" s="96"/>
      <c r="J115" s="98"/>
      <c r="K115" s="97"/>
      <c r="L115" s="95"/>
      <c r="M115" s="95"/>
      <c r="N115" s="95"/>
      <c r="O115" s="95"/>
      <c r="P115" s="95"/>
      <c r="Q115" s="97"/>
      <c r="R115" s="22">
        <f>SUM(R109:R114)</f>
        <v>11167963.517626885</v>
      </c>
      <c r="S115" s="22">
        <f t="shared" ref="S115:V115" si="27">SUM(S109:S114)</f>
        <v>9285219.9685630873</v>
      </c>
      <c r="T115" s="22">
        <f t="shared" si="27"/>
        <v>8488604.772500718</v>
      </c>
      <c r="U115" s="22">
        <f t="shared" si="27"/>
        <v>1186973.5641782358</v>
      </c>
      <c r="V115" s="22">
        <f t="shared" si="27"/>
        <v>1221520.2396791191</v>
      </c>
      <c r="W115" s="22">
        <f>SUM(W109:W114)</f>
        <v>31350282.062548041</v>
      </c>
    </row>
    <row r="116" spans="3:24" ht="12.75" customHeight="1" x14ac:dyDescent="0.2">
      <c r="C116" s="1" t="s">
        <v>11</v>
      </c>
      <c r="D116" s="1" t="s">
        <v>50</v>
      </c>
      <c r="G116" s="1" t="s">
        <v>1</v>
      </c>
      <c r="H116" s="2"/>
      <c r="I116" s="63"/>
      <c r="K116" s="2"/>
      <c r="Q116" s="2"/>
      <c r="R116" s="107">
        <f t="shared" ref="R116:V121" si="28">R81*business_case_dollars</f>
        <v>0</v>
      </c>
      <c r="S116" s="107">
        <f t="shared" si="28"/>
        <v>0</v>
      </c>
      <c r="T116" s="107">
        <f t="shared" si="28"/>
        <v>0</v>
      </c>
      <c r="U116" s="107">
        <f t="shared" si="28"/>
        <v>0</v>
      </c>
      <c r="V116" s="107">
        <f t="shared" si="28"/>
        <v>0</v>
      </c>
      <c r="W116" s="67">
        <f>SUM(R116:V116)</f>
        <v>0</v>
      </c>
    </row>
    <row r="117" spans="3:24" ht="12.75" customHeight="1" x14ac:dyDescent="0.2">
      <c r="C117" s="1" t="s">
        <v>12</v>
      </c>
      <c r="D117" s="1" t="s">
        <v>50</v>
      </c>
      <c r="G117" s="1" t="s">
        <v>1</v>
      </c>
      <c r="H117" s="2"/>
      <c r="I117" s="63"/>
      <c r="K117" s="2"/>
      <c r="Q117" s="2"/>
      <c r="R117" s="6">
        <f t="shared" si="28"/>
        <v>-781436.14623912703</v>
      </c>
      <c r="S117" s="6">
        <f t="shared" si="28"/>
        <v>-183926.66749726879</v>
      </c>
      <c r="T117" s="6">
        <f t="shared" si="28"/>
        <v>187558.55753412869</v>
      </c>
      <c r="U117" s="6">
        <f t="shared" si="28"/>
        <v>467032.06838961801</v>
      </c>
      <c r="V117" s="6">
        <f t="shared" si="28"/>
        <v>591689.50049934443</v>
      </c>
      <c r="W117" s="67">
        <f t="shared" ref="W117:W121" si="29">SUM(R117:V117)</f>
        <v>280917.31268669531</v>
      </c>
    </row>
    <row r="118" spans="3:24" ht="12.75" customHeight="1" x14ac:dyDescent="0.2">
      <c r="C118" s="1" t="s">
        <v>13</v>
      </c>
      <c r="D118" s="1" t="s">
        <v>50</v>
      </c>
      <c r="G118" s="1" t="s">
        <v>1</v>
      </c>
      <c r="H118" s="2"/>
      <c r="I118" s="63"/>
      <c r="K118" s="2"/>
      <c r="Q118" s="2"/>
      <c r="R118" s="6">
        <f t="shared" si="28"/>
        <v>321318.94686699292</v>
      </c>
      <c r="S118" s="6">
        <f t="shared" si="28"/>
        <v>705786.9421044772</v>
      </c>
      <c r="T118" s="6">
        <f t="shared" si="28"/>
        <v>886851.47017562087</v>
      </c>
      <c r="U118" s="6">
        <f t="shared" si="28"/>
        <v>1013914.2968922131</v>
      </c>
      <c r="V118" s="6">
        <f t="shared" si="28"/>
        <v>1140977.123608805</v>
      </c>
      <c r="W118" s="67">
        <f t="shared" si="29"/>
        <v>4068848.7796481093</v>
      </c>
    </row>
    <row r="119" spans="3:24" ht="12.75" customHeight="1" x14ac:dyDescent="0.2">
      <c r="C119" s="1" t="s">
        <v>11</v>
      </c>
      <c r="D119" s="1" t="s">
        <v>50</v>
      </c>
      <c r="G119" s="1" t="s">
        <v>51</v>
      </c>
      <c r="H119" s="2"/>
      <c r="I119" s="63"/>
      <c r="K119" s="2"/>
      <c r="Q119" s="2"/>
      <c r="R119" s="6">
        <f t="shared" si="28"/>
        <v>882355.59639319545</v>
      </c>
      <c r="S119" s="6">
        <f t="shared" si="28"/>
        <v>1628980.6810613144</v>
      </c>
      <c r="T119" s="6">
        <f t="shared" si="28"/>
        <v>1344091.1012549505</v>
      </c>
      <c r="U119" s="6">
        <f t="shared" si="28"/>
        <v>168628.67717136157</v>
      </c>
      <c r="V119" s="6">
        <f t="shared" si="28"/>
        <v>200575.24122068309</v>
      </c>
      <c r="W119" s="6">
        <f t="shared" si="29"/>
        <v>4224631.2971015051</v>
      </c>
    </row>
    <row r="120" spans="3:24" ht="12.75" customHeight="1" x14ac:dyDescent="0.2">
      <c r="C120" s="1" t="s">
        <v>12</v>
      </c>
      <c r="D120" s="1" t="s">
        <v>50</v>
      </c>
      <c r="G120" s="1" t="s">
        <v>51</v>
      </c>
      <c r="H120" s="2"/>
      <c r="I120" s="63"/>
      <c r="K120" s="2"/>
      <c r="Q120" s="2"/>
      <c r="R120" s="6">
        <f t="shared" si="28"/>
        <v>969836.59659327869</v>
      </c>
      <c r="S120" s="6">
        <f t="shared" si="28"/>
        <v>265843.66967482521</v>
      </c>
      <c r="T120" s="6">
        <f t="shared" si="28"/>
        <v>155651.96272782519</v>
      </c>
      <c r="U120" s="6">
        <f t="shared" si="28"/>
        <v>130451.16876236779</v>
      </c>
      <c r="V120" s="6">
        <f t="shared" si="28"/>
        <v>165040.49381299561</v>
      </c>
      <c r="W120" s="6">
        <f t="shared" si="29"/>
        <v>1686823.8915712922</v>
      </c>
    </row>
    <row r="121" spans="3:24" ht="12.75" customHeight="1" x14ac:dyDescent="0.2">
      <c r="C121" s="1" t="s">
        <v>13</v>
      </c>
      <c r="D121" s="1" t="s">
        <v>50</v>
      </c>
      <c r="G121" s="1" t="s">
        <v>51</v>
      </c>
      <c r="H121" s="2"/>
      <c r="I121" s="63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2">
      <c r="C122" s="21" t="s">
        <v>15</v>
      </c>
      <c r="D122" s="21" t="s">
        <v>50</v>
      </c>
      <c r="E122" s="95"/>
      <c r="F122" s="95"/>
      <c r="G122" s="96"/>
      <c r="H122" s="97"/>
      <c r="I122" s="96"/>
      <c r="J122" s="98"/>
      <c r="K122" s="97"/>
      <c r="L122" s="95"/>
      <c r="M122" s="95"/>
      <c r="N122" s="95"/>
      <c r="O122" s="95"/>
      <c r="P122" s="95"/>
      <c r="Q122" s="97"/>
      <c r="R122" s="22">
        <f>SUM(R116:R121)</f>
        <v>1392074.99361434</v>
      </c>
      <c r="S122" s="22">
        <f t="shared" ref="S122:W122" si="30">SUM(S116:S121)</f>
        <v>2416684.6253433484</v>
      </c>
      <c r="T122" s="22">
        <f t="shared" si="30"/>
        <v>2574153.091692525</v>
      </c>
      <c r="U122" s="22">
        <f t="shared" si="30"/>
        <v>1780026.2112155603</v>
      </c>
      <c r="V122" s="22">
        <f t="shared" si="30"/>
        <v>2098282.359141828</v>
      </c>
      <c r="W122" s="22">
        <f t="shared" si="30"/>
        <v>10261221.281007603</v>
      </c>
    </row>
    <row r="123" spans="3:24" ht="12.75" customHeight="1" x14ac:dyDescent="0.2">
      <c r="H123" s="2"/>
      <c r="I123" s="63"/>
      <c r="K123" s="2"/>
      <c r="Q123" s="2"/>
      <c r="R123" s="6"/>
      <c r="S123" s="6"/>
      <c r="T123" s="6"/>
      <c r="U123" s="6"/>
      <c r="V123" s="6"/>
      <c r="W123" s="67"/>
    </row>
    <row r="124" spans="3:24" x14ac:dyDescent="0.2">
      <c r="C124" s="7" t="str">
        <f>"Total Expenditure ($ "&amp;Assumptions!$C$39&amp;")"</f>
        <v>Total Expenditure ($ June 2026)</v>
      </c>
      <c r="D124" s="7" t="s">
        <v>59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12560038.511241226</v>
      </c>
      <c r="S124" s="8">
        <f t="shared" ref="S124:V124" si="31">S115+S122</f>
        <v>11701904.593906436</v>
      </c>
      <c r="T124" s="8">
        <f t="shared" si="31"/>
        <v>11062757.864193242</v>
      </c>
      <c r="U124" s="8">
        <f t="shared" si="31"/>
        <v>2966999.7753937962</v>
      </c>
      <c r="V124" s="8">
        <f t="shared" si="31"/>
        <v>3319802.5988209471</v>
      </c>
      <c r="W124" s="68">
        <f t="shared" si="26"/>
        <v>41611503.343555652</v>
      </c>
    </row>
    <row r="125" spans="3:24" x14ac:dyDescent="0.2">
      <c r="H125" s="2"/>
      <c r="K125" s="2"/>
      <c r="Q125" s="2"/>
      <c r="R125" s="43">
        <f>SUM(R10:R70)*business_case_dollars-R124</f>
        <v>0</v>
      </c>
      <c r="S125" s="43">
        <f>SUM(S10:S70)*business_case_dollars-S124</f>
        <v>0</v>
      </c>
      <c r="T125" s="43">
        <f>SUM(T10:T70)*business_case_dollars-T124</f>
        <v>0</v>
      </c>
      <c r="U125" s="43">
        <f>SUM(U10:U70)*business_case_dollars-U124</f>
        <v>0</v>
      </c>
      <c r="V125" s="43">
        <f>SUM(V10:V70)*business_case_dollars-V124</f>
        <v>0</v>
      </c>
      <c r="W125" s="43">
        <f>SUM(R10:V70)*business_case_dollars-W124</f>
        <v>0</v>
      </c>
      <c r="X125" s="43">
        <f>SUM(R125:W125)</f>
        <v>0</v>
      </c>
    </row>
    <row r="126" spans="3:24" x14ac:dyDescent="0.2">
      <c r="C126" s="51" t="str">
        <f>"NPV ($ "&amp;Assumptions!$C$39&amp;")"</f>
        <v>NPV ($ June 2026)</v>
      </c>
      <c r="D126" s="52">
        <f>NPV(Real_Discount_rate,R124:V124)</f>
        <v>38417883.423995644</v>
      </c>
      <c r="H126" s="2"/>
      <c r="K126" s="2"/>
      <c r="Q126" s="2"/>
      <c r="R126" s="49"/>
      <c r="S126" s="49"/>
      <c r="T126" s="49"/>
      <c r="U126" s="49"/>
      <c r="V126" s="49"/>
    </row>
    <row r="129" spans="3:24" x14ac:dyDescent="0.2">
      <c r="C129" s="4" t="s">
        <v>54</v>
      </c>
      <c r="G129" s="3"/>
      <c r="H129" s="2"/>
      <c r="K129" s="2"/>
      <c r="Q129" s="2"/>
      <c r="R129" s="64" t="s">
        <v>6</v>
      </c>
      <c r="S129" s="64" t="s">
        <v>7</v>
      </c>
      <c r="T129" s="64" t="s">
        <v>8</v>
      </c>
      <c r="U129" s="64" t="s">
        <v>9</v>
      </c>
      <c r="V129" s="64" t="s">
        <v>10</v>
      </c>
      <c r="W129" s="104" t="s">
        <v>0</v>
      </c>
    </row>
    <row r="130" spans="3:24" x14ac:dyDescent="0.2">
      <c r="C130" s="24"/>
      <c r="D130" s="24" t="s">
        <v>53</v>
      </c>
      <c r="E130" s="24"/>
      <c r="F130" s="24"/>
      <c r="G130" s="24" t="s">
        <v>1</v>
      </c>
      <c r="H130" s="2"/>
      <c r="I130" s="61"/>
      <c r="J130" s="62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11167963.517626883</v>
      </c>
      <c r="S130" s="25">
        <f t="shared" si="32"/>
        <v>9285219.9685630873</v>
      </c>
      <c r="T130" s="25">
        <f t="shared" si="32"/>
        <v>8488604.772500718</v>
      </c>
      <c r="U130" s="25">
        <f t="shared" si="32"/>
        <v>1186973.5641782358</v>
      </c>
      <c r="V130" s="25">
        <f t="shared" si="32"/>
        <v>1221520.2396791191</v>
      </c>
      <c r="W130" s="67">
        <f t="shared" ref="W130:W131" si="33">SUM(R130:V130)</f>
        <v>31350282.062548041</v>
      </c>
    </row>
    <row r="131" spans="3:24" x14ac:dyDescent="0.2">
      <c r="D131" s="1" t="s">
        <v>50</v>
      </c>
      <c r="G131" s="1" t="s">
        <v>1</v>
      </c>
      <c r="H131" s="2"/>
      <c r="K131" s="2"/>
      <c r="Q131" s="2"/>
      <c r="R131" s="103">
        <f t="shared" si="32"/>
        <v>-460117.19937213406</v>
      </c>
      <c r="S131" s="103">
        <f t="shared" si="32"/>
        <v>521860.27460720844</v>
      </c>
      <c r="T131" s="103">
        <f t="shared" si="32"/>
        <v>1074410.0277097493</v>
      </c>
      <c r="U131" s="103">
        <f t="shared" si="32"/>
        <v>1480946.3652818305</v>
      </c>
      <c r="V131" s="103">
        <f t="shared" si="32"/>
        <v>1732666.6241081497</v>
      </c>
      <c r="W131" s="67">
        <f t="shared" si="33"/>
        <v>4349766.0923348041</v>
      </c>
    </row>
    <row r="132" spans="3:24" x14ac:dyDescent="0.2">
      <c r="C132" s="21" t="s">
        <v>56</v>
      </c>
      <c r="D132" s="21"/>
      <c r="E132" s="95"/>
      <c r="F132" s="95"/>
      <c r="G132" s="96"/>
      <c r="H132" s="2"/>
      <c r="I132" s="96"/>
      <c r="J132" s="98"/>
      <c r="K132" s="97"/>
      <c r="L132" s="95"/>
      <c r="M132" s="95"/>
      <c r="N132" s="95"/>
      <c r="O132" s="95"/>
      <c r="P132" s="95"/>
      <c r="Q132" s="2"/>
      <c r="R132" s="22">
        <f>SUM(R130:R131)</f>
        <v>10707846.31825475</v>
      </c>
      <c r="S132" s="22">
        <f t="shared" ref="S132:W132" si="34">SUM(S130:S131)</f>
        <v>9807080.2431702949</v>
      </c>
      <c r="T132" s="22">
        <f t="shared" si="34"/>
        <v>9563014.8002104666</v>
      </c>
      <c r="U132" s="22">
        <f t="shared" si="34"/>
        <v>2667919.9294600664</v>
      </c>
      <c r="V132" s="22">
        <f t="shared" si="34"/>
        <v>2954186.8637872688</v>
      </c>
      <c r="W132" s="22">
        <f t="shared" si="34"/>
        <v>35700048.154882848</v>
      </c>
    </row>
    <row r="133" spans="3:24" x14ac:dyDescent="0.2">
      <c r="C133" s="4"/>
      <c r="D133" s="1" t="s">
        <v>53</v>
      </c>
      <c r="G133" s="1" t="s">
        <v>51</v>
      </c>
      <c r="H133" s="2"/>
      <c r="I133" s="63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7">
        <f t="shared" ref="W133:W134" si="36">SUM(R133:V133)</f>
        <v>0</v>
      </c>
    </row>
    <row r="134" spans="3:24" x14ac:dyDescent="0.2">
      <c r="C134" s="4"/>
      <c r="D134" s="1" t="s">
        <v>50</v>
      </c>
      <c r="G134" s="1" t="s">
        <v>51</v>
      </c>
      <c r="H134" s="2"/>
      <c r="I134" s="63"/>
      <c r="K134" s="2"/>
      <c r="Q134" s="2"/>
      <c r="R134" s="6">
        <f t="shared" si="35"/>
        <v>1852192.1929864741</v>
      </c>
      <c r="S134" s="6">
        <f t="shared" si="35"/>
        <v>1894824.3507361396</v>
      </c>
      <c r="T134" s="6">
        <f t="shared" si="35"/>
        <v>1499743.0639827757</v>
      </c>
      <c r="U134" s="6">
        <f t="shared" si="35"/>
        <v>299079.84593372938</v>
      </c>
      <c r="V134" s="6">
        <f t="shared" si="35"/>
        <v>365615.73503367865</v>
      </c>
      <c r="W134" s="67">
        <f t="shared" si="36"/>
        <v>5911455.1886727978</v>
      </c>
    </row>
    <row r="135" spans="3:24" x14ac:dyDescent="0.2">
      <c r="C135" s="21" t="s">
        <v>57</v>
      </c>
      <c r="D135" s="21"/>
      <c r="E135" s="95"/>
      <c r="F135" s="95"/>
      <c r="G135" s="96"/>
      <c r="H135" s="2"/>
      <c r="I135" s="96"/>
      <c r="J135" s="98"/>
      <c r="K135" s="97"/>
      <c r="L135" s="95"/>
      <c r="M135" s="95"/>
      <c r="N135" s="95"/>
      <c r="O135" s="95"/>
      <c r="P135" s="95"/>
      <c r="Q135" s="2"/>
      <c r="R135" s="22">
        <f>SUM(R133:R134)</f>
        <v>1852192.1929864741</v>
      </c>
      <c r="S135" s="22">
        <f t="shared" ref="S135:W135" si="37">SUM(S133:S134)</f>
        <v>1894824.3507361396</v>
      </c>
      <c r="T135" s="22">
        <f t="shared" si="37"/>
        <v>1499743.0639827757</v>
      </c>
      <c r="U135" s="22">
        <f t="shared" si="37"/>
        <v>299079.84593372938</v>
      </c>
      <c r="V135" s="22">
        <f t="shared" si="37"/>
        <v>365615.73503367865</v>
      </c>
      <c r="W135" s="22">
        <f t="shared" si="37"/>
        <v>5911455.1886727978</v>
      </c>
    </row>
    <row r="136" spans="3:24" x14ac:dyDescent="0.2">
      <c r="C136" s="4"/>
      <c r="D136" s="4"/>
      <c r="G136" s="63"/>
      <c r="H136" s="2"/>
      <c r="I136" s="63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12560038.511241224</v>
      </c>
      <c r="S137" s="8">
        <f t="shared" ref="S137:V137" si="38">S132+S135</f>
        <v>11701904.593906434</v>
      </c>
      <c r="T137" s="8">
        <f t="shared" si="38"/>
        <v>11062757.864193242</v>
      </c>
      <c r="U137" s="8">
        <f t="shared" si="38"/>
        <v>2966999.7753937957</v>
      </c>
      <c r="V137" s="8">
        <f t="shared" si="38"/>
        <v>3319802.5988209476</v>
      </c>
      <c r="W137" s="68">
        <f t="shared" ref="W137" si="39">SUM(R137:V137)</f>
        <v>41611503.343555652</v>
      </c>
    </row>
    <row r="138" spans="3:24" x14ac:dyDescent="0.2">
      <c r="C138" s="42" t="s">
        <v>55</v>
      </c>
      <c r="D138" s="42"/>
      <c r="E138" s="42"/>
      <c r="F138" s="42"/>
      <c r="G138" s="42"/>
      <c r="H138" s="2"/>
      <c r="I138" s="42"/>
      <c r="J138" s="42"/>
      <c r="K138" s="2"/>
      <c r="L138" s="42"/>
      <c r="M138" s="42"/>
      <c r="N138" s="42"/>
      <c r="O138" s="42"/>
      <c r="P138" s="42"/>
      <c r="Q138" s="2"/>
      <c r="R138" s="43">
        <f>R137-SUM(R$10:R$70)*business_case_dollars</f>
        <v>0</v>
      </c>
      <c r="S138" s="43">
        <f>S137-SUM(S$10:S$70)*business_case_dollars</f>
        <v>0</v>
      </c>
      <c r="T138" s="43">
        <f>T137-SUM(T$10:T$70)*business_case_dollars</f>
        <v>0</v>
      </c>
      <c r="U138" s="43">
        <f>U137-SUM(U$10:U$70)*business_case_dollars</f>
        <v>0</v>
      </c>
      <c r="V138" s="43">
        <f>V137-SUM(V$10:V$70)*business_case_dollars</f>
        <v>0</v>
      </c>
      <c r="W138" s="43">
        <f>W137-SUM(R$10:V$70)*business_case_dollars</f>
        <v>0</v>
      </c>
      <c r="X138" s="43">
        <f>SUM(R138:W138)</f>
        <v>0</v>
      </c>
    </row>
  </sheetData>
  <conditionalFormatting sqref="F10:F70">
    <cfRule type="expression" dxfId="27" priority="1">
      <formula>$E10="Contracts"</formula>
    </cfRule>
    <cfRule type="expression" dxfId="26" priority="2">
      <formula>$E10="Materials"</formula>
    </cfRule>
    <cfRule type="expression" dxfId="25" priority="3">
      <formula>$E10="Labour"</formula>
    </cfRule>
  </conditionalFormatting>
  <conditionalFormatting sqref="I10:I70">
    <cfRule type="expression" dxfId="24" priority="4">
      <formula>$E10="Contracts"</formula>
    </cfRule>
    <cfRule type="expression" dxfId="23" priority="5">
      <formula>$E10="Materials"</formula>
    </cfRule>
    <cfRule type="expression" dxfId="22" priority="6">
      <formula>$E10="Labour"</formula>
    </cfRule>
  </conditionalFormatting>
  <conditionalFormatting sqref="R90:W90">
    <cfRule type="expression" dxfId="21" priority="16">
      <formula>ABS(R90)&gt;0.001</formula>
    </cfRule>
  </conditionalFormatting>
  <conditionalFormatting sqref="R104:W107">
    <cfRule type="expression" dxfId="20" priority="13">
      <formula>ABS(R104)&gt;0.001</formula>
    </cfRule>
  </conditionalFormatting>
  <conditionalFormatting sqref="R125:W125">
    <cfRule type="expression" dxfId="19" priority="17">
      <formula>ABS(R125)&gt;0.001</formula>
    </cfRule>
  </conditionalFormatting>
  <conditionalFormatting sqref="R138:W138">
    <cfRule type="expression" dxfId="18" priority="10">
      <formula>ABS(R138)&gt;0.001</formula>
    </cfRule>
  </conditionalFormatting>
  <conditionalFormatting sqref="X90">
    <cfRule type="expression" dxfId="17" priority="26">
      <formula>ABS(X90)&gt;0.001</formula>
    </cfRule>
  </conditionalFormatting>
  <conditionalFormatting sqref="X104:X107">
    <cfRule type="expression" dxfId="16" priority="14">
      <formula>ABS(X104)&gt;0.001</formula>
    </cfRule>
  </conditionalFormatting>
  <conditionalFormatting sqref="X125">
    <cfRule type="expression" dxfId="15" priority="18">
      <formula>ABS(X125)&gt;0.001</formula>
    </cfRule>
  </conditionalFormatting>
  <conditionalFormatting sqref="X138">
    <cfRule type="expression" dxfId="14" priority="11">
      <formula>ABS(X138)&gt;0.001</formula>
    </cfRule>
  </conditionalFormatting>
  <dataValidations count="3">
    <dataValidation type="list" allowBlank="1" showInputMessage="1" showErrorMessage="1" sqref="G10:G70" xr:uid="{0056677F-06F0-4171-A788-E9800796D01C}">
      <formula1>"Recurrent, Non recurrent"</formula1>
    </dataValidation>
    <dataValidation type="list" allowBlank="1" showInputMessage="1" showErrorMessage="1" sqref="D10:D70" xr:uid="{0BC2CCE9-8E5A-4443-BD56-40A8A3B5E164}">
      <formula1>"Capex, Opex"</formula1>
    </dataValidation>
    <dataValidation type="list" allowBlank="1" showInputMessage="1" showErrorMessage="1" sqref="E10:E70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4B0A7A1-E4D0-4DE9-B69E-96B0311F359F}">
          <x14:formula1>
            <xm:f>IF($E38="Labour",Assumptions!$A$57:$A$58,Assumptions!$K$11:$K$12)</xm:f>
          </x14:formula1>
          <xm:sqref>F38:F70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1D600-47AE-4432-BBE9-45068B7982EC}">
  <dimension ref="A1:AA138"/>
  <sheetViews>
    <sheetView showGridLines="0" zoomScale="80" zoomScaleNormal="80" workbookViewId="0">
      <pane ySplit="9" topLeftCell="A62" activePane="bottomLeft" state="frozen"/>
      <selection activeCell="F24" sqref="F24"/>
      <selection pane="bottomLeft" activeCell="F24" sqref="F2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6" width="11.140625" style="1" customWidth="1"/>
    <col min="7" max="7" width="14.140625" style="1" customWidth="1"/>
    <col min="8" max="8" width="2.85546875" style="1" customWidth="1"/>
    <col min="9" max="9" width="12.140625" style="1" customWidth="1"/>
    <col min="10" max="10" width="12.7109375" style="9" customWidth="1"/>
    <col min="11" max="11" width="2.85546875" style="1" customWidth="1"/>
    <col min="12" max="16" width="12.140625" style="1" customWidth="1"/>
    <col min="17" max="17" width="2.85546875" style="1" customWidth="1"/>
    <col min="18" max="22" width="12.140625" style="1" customWidth="1"/>
    <col min="23" max="23" width="13" style="1" customWidth="1"/>
    <col min="24" max="16384" width="9.140625" style="1"/>
  </cols>
  <sheetData>
    <row r="1" spans="1:27" ht="21" x14ac:dyDescent="0.35">
      <c r="A1" s="58" t="str">
        <f>Project_name</f>
        <v>Infrastructure refresh</v>
      </c>
      <c r="B1" s="14"/>
      <c r="C1" s="11"/>
      <c r="D1" s="11"/>
      <c r="E1" s="11"/>
      <c r="F1" s="11"/>
      <c r="G1" s="11"/>
      <c r="H1" s="11"/>
      <c r="I1" s="11"/>
      <c r="J1" s="12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7" ht="15.75" x14ac:dyDescent="0.25">
      <c r="A2" s="55" t="str">
        <f>Business</f>
        <v>United Energy</v>
      </c>
      <c r="B2" s="13"/>
      <c r="C2" s="11"/>
      <c r="D2" s="11"/>
      <c r="E2" s="11"/>
      <c r="F2" s="11"/>
      <c r="G2" s="11"/>
      <c r="H2" s="11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:27" s="31" customFormat="1" ht="15.75" x14ac:dyDescent="0.25">
      <c r="A3" s="29" t="s">
        <v>64</v>
      </c>
      <c r="B3" s="29"/>
      <c r="C3" s="29"/>
      <c r="D3" s="29"/>
      <c r="E3" s="29"/>
      <c r="F3" s="29"/>
      <c r="G3" s="29"/>
      <c r="H3" s="29"/>
      <c r="I3" s="29"/>
      <c r="J3" s="30"/>
      <c r="K3" s="29"/>
      <c r="L3" s="29"/>
      <c r="M3" s="29"/>
      <c r="N3" s="29"/>
      <c r="O3" s="29"/>
      <c r="P3" s="29"/>
      <c r="Q3" s="29"/>
      <c r="R3" s="13"/>
      <c r="S3" s="11"/>
      <c r="T3" s="11"/>
      <c r="U3" s="11"/>
      <c r="V3" s="11"/>
      <c r="X3" s="45" t="b">
        <f>SUM(X7:X71)=0</f>
        <v>1</v>
      </c>
    </row>
    <row r="4" spans="1:27" ht="12.75" customHeight="1" x14ac:dyDescent="0.25">
      <c r="B4" s="15"/>
      <c r="C4" s="16"/>
      <c r="D4" s="16"/>
      <c r="E4" s="16"/>
      <c r="F4" s="16"/>
      <c r="G4" s="16"/>
      <c r="H4" s="16"/>
      <c r="I4" s="16"/>
      <c r="J4" s="17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7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6"/>
      <c r="J5" s="17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7" ht="12.75" customHeight="1" x14ac:dyDescent="0.2">
      <c r="A6" s="4"/>
      <c r="H6" s="16"/>
    </row>
    <row r="7" spans="1:27" ht="12.75" customHeight="1" x14ac:dyDescent="0.2">
      <c r="A7" s="4"/>
      <c r="C7" s="47" t="s">
        <v>42</v>
      </c>
      <c r="D7" s="60" t="s">
        <v>43</v>
      </c>
      <c r="E7" s="60" t="s">
        <v>44</v>
      </c>
      <c r="F7" s="60" t="s">
        <v>45</v>
      </c>
      <c r="G7" s="102" t="s">
        <v>46</v>
      </c>
      <c r="H7" s="16"/>
      <c r="I7" s="19" t="s">
        <v>11</v>
      </c>
      <c r="J7" s="19" t="s">
        <v>47</v>
      </c>
      <c r="L7" s="19" t="s">
        <v>48</v>
      </c>
      <c r="M7" s="20"/>
      <c r="N7" s="20"/>
      <c r="O7" s="20"/>
      <c r="P7" s="20"/>
      <c r="R7" s="19" t="s">
        <v>49</v>
      </c>
      <c r="S7" s="20"/>
      <c r="T7" s="20"/>
      <c r="U7" s="20"/>
      <c r="V7" s="20"/>
    </row>
    <row r="8" spans="1:27" ht="12.75" customHeight="1" x14ac:dyDescent="0.2">
      <c r="A8" s="4"/>
      <c r="B8" s="4"/>
      <c r="C8" s="93"/>
      <c r="D8" s="93" t="s">
        <v>50</v>
      </c>
      <c r="E8" s="93"/>
      <c r="F8" s="93"/>
      <c r="G8" s="93" t="s">
        <v>51</v>
      </c>
      <c r="H8" s="16"/>
      <c r="I8" s="101" t="s">
        <v>52</v>
      </c>
      <c r="J8" s="93"/>
      <c r="L8" s="48" t="s">
        <v>6</v>
      </c>
      <c r="M8" s="48" t="s">
        <v>7</v>
      </c>
      <c r="N8" s="48" t="s">
        <v>8</v>
      </c>
      <c r="O8" s="48" t="s">
        <v>9</v>
      </c>
      <c r="P8" s="48" t="s">
        <v>10</v>
      </c>
      <c r="R8" s="48" t="s">
        <v>6</v>
      </c>
      <c r="S8" s="48" t="s">
        <v>7</v>
      </c>
      <c r="T8" s="48" t="s">
        <v>8</v>
      </c>
      <c r="U8" s="48" t="s">
        <v>9</v>
      </c>
      <c r="V8" s="48" t="s">
        <v>10</v>
      </c>
    </row>
    <row r="9" spans="1:27" ht="12.75" customHeight="1" x14ac:dyDescent="0.2">
      <c r="H9" s="16"/>
    </row>
    <row r="10" spans="1:27" ht="12.75" customHeight="1" x14ac:dyDescent="0.2">
      <c r="A10" s="4"/>
      <c r="C10" s="76" t="s">
        <v>84</v>
      </c>
      <c r="D10" s="77" t="s">
        <v>53</v>
      </c>
      <c r="E10" s="77" t="s">
        <v>11</v>
      </c>
      <c r="F10" s="77" t="s">
        <v>40</v>
      </c>
      <c r="G10" s="75" t="s">
        <v>1</v>
      </c>
      <c r="H10" s="2"/>
      <c r="I10" s="59">
        <f>IF(AND($E10="Labour",$F10="IT Labour"),Assumptions!$B$14,
IF(AND($E10="Labour",$F10="IT Specialist"),Assumptions!$B$16,""))</f>
        <v>145.77740895836223</v>
      </c>
      <c r="J10" s="9" t="str">
        <f>IF($E10="Labour","Hours","$")</f>
        <v>Hours</v>
      </c>
      <c r="K10" s="2"/>
      <c r="L10" s="78">
        <v>3519.32</v>
      </c>
      <c r="M10" s="78">
        <v>748.32</v>
      </c>
      <c r="N10" s="78">
        <v>367.08000000000004</v>
      </c>
      <c r="O10" s="78">
        <v>179.99999999999997</v>
      </c>
      <c r="P10" s="78">
        <v>44.999999999999993</v>
      </c>
      <c r="Q10" s="2"/>
      <c r="R10" s="5">
        <f t="shared" ref="R10:R41" si="0">IF($E10="Labour",$I10*L10,L10)</f>
        <v>513037.35089534341</v>
      </c>
      <c r="S10" s="5">
        <f t="shared" ref="S10:S41" si="1">IF($E10="Labour",$I10*M10,M10)</f>
        <v>109088.15067172163</v>
      </c>
      <c r="T10" s="5">
        <f t="shared" ref="T10:T41" si="2">IF($E10="Labour",$I10*N10,N10)</f>
        <v>53511.971280435617</v>
      </c>
      <c r="U10" s="5">
        <f t="shared" ref="U10:U41" si="3">IF($E10="Labour",$I10*O10,O10)</f>
        <v>26239.933612505196</v>
      </c>
      <c r="V10" s="5">
        <f t="shared" ref="V10:V41" si="4">IF($E10="Labour",$I10*P10,P10)</f>
        <v>6559.983403126299</v>
      </c>
    </row>
    <row r="11" spans="1:27" ht="12.75" customHeight="1" x14ac:dyDescent="0.2">
      <c r="A11" s="4"/>
      <c r="C11" s="76" t="s">
        <v>84</v>
      </c>
      <c r="D11" s="77" t="s">
        <v>53</v>
      </c>
      <c r="E11" s="77" t="s">
        <v>11</v>
      </c>
      <c r="F11" s="77" t="s">
        <v>41</v>
      </c>
      <c r="G11" s="75" t="s">
        <v>1</v>
      </c>
      <c r="H11" s="2"/>
      <c r="I11" s="59">
        <f>IF(AND($E11="Labour",$F11="IT Labour"),Assumptions!$B$14,
IF(AND($E11="Labour",$F11="IT Specialist"),Assumptions!$B$16,""))</f>
        <v>230.16624999999999</v>
      </c>
      <c r="J11" s="9" t="str">
        <f t="shared" ref="J11:J70" si="5">IF($E11="Labour","Hours","$")</f>
        <v>Hours</v>
      </c>
      <c r="K11" s="2"/>
      <c r="L11" s="78">
        <v>1974.96</v>
      </c>
      <c r="M11" s="78">
        <v>2064.96</v>
      </c>
      <c r="N11" s="78">
        <v>876.24</v>
      </c>
      <c r="O11" s="78">
        <v>360</v>
      </c>
      <c r="P11" s="78">
        <v>90</v>
      </c>
      <c r="Q11" s="2"/>
      <c r="R11" s="5">
        <f t="shared" si="0"/>
        <v>454569.13709999999</v>
      </c>
      <c r="S11" s="5">
        <f t="shared" si="1"/>
        <v>475284.09960000002</v>
      </c>
      <c r="T11" s="5">
        <f t="shared" si="2"/>
        <v>201680.8749</v>
      </c>
      <c r="U11" s="5">
        <f t="shared" si="3"/>
        <v>82859.849999999991</v>
      </c>
      <c r="V11" s="5">
        <f t="shared" si="4"/>
        <v>20714.962499999998</v>
      </c>
    </row>
    <row r="12" spans="1:27" ht="12.75" customHeight="1" x14ac:dyDescent="0.2">
      <c r="A12" s="4"/>
      <c r="C12" s="76" t="s">
        <v>84</v>
      </c>
      <c r="D12" s="77" t="s">
        <v>50</v>
      </c>
      <c r="E12" s="77" t="s">
        <v>11</v>
      </c>
      <c r="F12" s="77" t="s">
        <v>40</v>
      </c>
      <c r="G12" s="75" t="s">
        <v>51</v>
      </c>
      <c r="H12" s="2"/>
      <c r="I12" s="59">
        <f>IF(AND($E12="Labour",$F12="IT Labour"),Assumptions!$B$14,
IF(AND($E12="Labour",$F12="IT Specialist"),Assumptions!$B$16,""))</f>
        <v>145.77740895836223</v>
      </c>
      <c r="J12" s="9" t="str">
        <f t="shared" si="5"/>
        <v>Hours</v>
      </c>
      <c r="K12" s="2"/>
      <c r="L12" s="78">
        <v>718.28</v>
      </c>
      <c r="M12" s="78">
        <v>202.08</v>
      </c>
      <c r="N12" s="78">
        <v>110.52000000000001</v>
      </c>
      <c r="O12" s="78">
        <v>59.999999999999993</v>
      </c>
      <c r="P12" s="78">
        <v>14.999999999999998</v>
      </c>
      <c r="Q12" s="2"/>
      <c r="R12" s="5">
        <f t="shared" si="0"/>
        <v>104708.99730661242</v>
      </c>
      <c r="S12" s="5">
        <f t="shared" si="1"/>
        <v>29458.69880230584</v>
      </c>
      <c r="T12" s="5">
        <f t="shared" si="2"/>
        <v>16111.319238078195</v>
      </c>
      <c r="U12" s="5">
        <f t="shared" si="3"/>
        <v>8746.644537501732</v>
      </c>
      <c r="V12" s="5">
        <f t="shared" si="4"/>
        <v>2186.661134375433</v>
      </c>
    </row>
    <row r="13" spans="1:27" ht="12.75" customHeight="1" x14ac:dyDescent="0.25">
      <c r="A13" s="4"/>
      <c r="C13" s="76" t="s">
        <v>84</v>
      </c>
      <c r="D13" s="77" t="s">
        <v>50</v>
      </c>
      <c r="E13" s="77" t="s">
        <v>11</v>
      </c>
      <c r="F13" s="77" t="s">
        <v>41</v>
      </c>
      <c r="G13" s="75" t="s">
        <v>51</v>
      </c>
      <c r="H13" s="2"/>
      <c r="I13" s="59">
        <f>IF(AND($E13="Labour",$F13="IT Labour"),Assumptions!$B$14,
IF(AND($E13="Labour",$F13="IT Specialist"),Assumptions!$B$16,""))</f>
        <v>230.16624999999999</v>
      </c>
      <c r="J13" s="9" t="str">
        <f t="shared" si="5"/>
        <v>Hours</v>
      </c>
      <c r="K13" s="2"/>
      <c r="L13" s="78">
        <v>2109.84</v>
      </c>
      <c r="M13" s="78">
        <v>546.24</v>
      </c>
      <c r="N13" s="78">
        <v>256.56</v>
      </c>
      <c r="O13" s="78">
        <v>120</v>
      </c>
      <c r="P13" s="78">
        <v>30</v>
      </c>
      <c r="Q13" s="2"/>
      <c r="R13" s="5">
        <f t="shared" si="0"/>
        <v>485613.96090000001</v>
      </c>
      <c r="S13" s="5">
        <f t="shared" si="1"/>
        <v>125726.01239999999</v>
      </c>
      <c r="T13" s="5">
        <f t="shared" si="2"/>
        <v>59051.453099999999</v>
      </c>
      <c r="U13" s="5">
        <f t="shared" si="3"/>
        <v>27619.949999999997</v>
      </c>
      <c r="V13" s="5">
        <f t="shared" si="4"/>
        <v>6904.9874999999993</v>
      </c>
      <c r="AA13"/>
    </row>
    <row r="14" spans="1:27" ht="12.75" customHeight="1" x14ac:dyDescent="0.25">
      <c r="A14" s="4"/>
      <c r="C14" s="76" t="s">
        <v>84</v>
      </c>
      <c r="D14" s="77" t="s">
        <v>53</v>
      </c>
      <c r="E14" s="77" t="s">
        <v>12</v>
      </c>
      <c r="F14" s="77"/>
      <c r="G14" s="75" t="s">
        <v>1</v>
      </c>
      <c r="H14" s="2"/>
      <c r="I14" s="59" t="str">
        <f>IF(AND($E14="Labour",$F14="IT Labour"),Assumptions!$B$14,
IF(AND($E14="Labour",$F14="IT Specialist"),Assumptions!$B$16,""))</f>
        <v/>
      </c>
      <c r="J14" s="9" t="str">
        <f t="shared" si="5"/>
        <v>$</v>
      </c>
      <c r="K14" s="2"/>
      <c r="L14" s="78">
        <v>2794672</v>
      </c>
      <c r="M14" s="78">
        <v>482304</v>
      </c>
      <c r="N14" s="78">
        <v>289326</v>
      </c>
      <c r="O14" s="78">
        <v>236250</v>
      </c>
      <c r="P14" s="78">
        <v>162000</v>
      </c>
      <c r="Q14" s="2"/>
      <c r="R14" s="5">
        <f t="shared" si="0"/>
        <v>2794672</v>
      </c>
      <c r="S14" s="5">
        <f t="shared" si="1"/>
        <v>482304</v>
      </c>
      <c r="T14" s="5">
        <f t="shared" si="2"/>
        <v>289326</v>
      </c>
      <c r="U14" s="5">
        <f t="shared" si="3"/>
        <v>236250</v>
      </c>
      <c r="V14" s="5">
        <f t="shared" si="4"/>
        <v>162000</v>
      </c>
      <c r="AA14"/>
    </row>
    <row r="15" spans="1:27" ht="12.75" customHeight="1" x14ac:dyDescent="0.25">
      <c r="A15" s="4"/>
      <c r="C15" s="76" t="s">
        <v>84</v>
      </c>
      <c r="D15" s="77" t="s">
        <v>50</v>
      </c>
      <c r="E15" s="77" t="s">
        <v>12</v>
      </c>
      <c r="F15" s="77"/>
      <c r="G15" s="75" t="s">
        <v>51</v>
      </c>
      <c r="H15" s="2"/>
      <c r="I15" s="59" t="str">
        <f>IF(AND($E15="Labour",$F15="IT Labour"),Assumptions!$B$14,
IF(AND($E15="Labour",$F15="IT Specialist"),Assumptions!$B$16,""))</f>
        <v/>
      </c>
      <c r="J15" s="9" t="str">
        <f t="shared" si="5"/>
        <v>$</v>
      </c>
      <c r="K15" s="2"/>
      <c r="L15" s="78">
        <v>228999.99999999997</v>
      </c>
      <c r="M15" s="78">
        <v>0</v>
      </c>
      <c r="N15" s="78">
        <v>0</v>
      </c>
      <c r="O15" s="78">
        <v>0</v>
      </c>
      <c r="P15" s="78">
        <v>0</v>
      </c>
      <c r="Q15" s="2"/>
      <c r="R15" s="5">
        <f t="shared" si="0"/>
        <v>228999.99999999997</v>
      </c>
      <c r="S15" s="5">
        <f t="shared" si="1"/>
        <v>0</v>
      </c>
      <c r="T15" s="5">
        <f t="shared" si="2"/>
        <v>0</v>
      </c>
      <c r="U15" s="5">
        <f t="shared" si="3"/>
        <v>0</v>
      </c>
      <c r="V15" s="5">
        <f t="shared" si="4"/>
        <v>0</v>
      </c>
      <c r="AA15"/>
    </row>
    <row r="16" spans="1:27" ht="12.75" customHeight="1" x14ac:dyDescent="0.25">
      <c r="A16" s="4"/>
      <c r="C16" s="76" t="s">
        <v>84</v>
      </c>
      <c r="D16" s="77" t="s">
        <v>50</v>
      </c>
      <c r="E16" s="77" t="s">
        <v>12</v>
      </c>
      <c r="F16" s="77"/>
      <c r="G16" s="75" t="s">
        <v>1</v>
      </c>
      <c r="H16" s="2"/>
      <c r="I16" s="59" t="str">
        <f>IF(AND($E16="Labour",$F16="IT Labour"),Assumptions!$B$14,
IF(AND($E16="Labour",$F16="IT Specialist"),Assumptions!$B$16,""))</f>
        <v/>
      </c>
      <c r="J16" s="9" t="str">
        <f t="shared" si="5"/>
        <v>$</v>
      </c>
      <c r="K16" s="2"/>
      <c r="L16" s="78">
        <v>300510.59999999998</v>
      </c>
      <c r="M16" s="78">
        <v>267572.19999999995</v>
      </c>
      <c r="N16" s="78">
        <v>288161.19999999995</v>
      </c>
      <c r="O16" s="78">
        <v>278017.19999999995</v>
      </c>
      <c r="P16" s="78">
        <v>253267.19999999998</v>
      </c>
      <c r="Q16" s="2"/>
      <c r="R16" s="5">
        <f t="shared" si="0"/>
        <v>300510.59999999998</v>
      </c>
      <c r="S16" s="5">
        <f t="shared" si="1"/>
        <v>267572.19999999995</v>
      </c>
      <c r="T16" s="5">
        <f t="shared" si="2"/>
        <v>288161.19999999995</v>
      </c>
      <c r="U16" s="5">
        <f t="shared" si="3"/>
        <v>278017.19999999995</v>
      </c>
      <c r="V16" s="5">
        <f t="shared" si="4"/>
        <v>253267.19999999998</v>
      </c>
      <c r="AA16"/>
    </row>
    <row r="17" spans="1:27" ht="12.75" customHeight="1" x14ac:dyDescent="0.25">
      <c r="A17" s="4"/>
      <c r="C17" s="76" t="s">
        <v>85</v>
      </c>
      <c r="D17" s="77" t="s">
        <v>50</v>
      </c>
      <c r="E17" s="77" t="s">
        <v>12</v>
      </c>
      <c r="F17" s="77"/>
      <c r="G17" s="75" t="s">
        <v>1</v>
      </c>
      <c r="H17" s="2"/>
      <c r="I17" s="59" t="str">
        <f>IF(AND($E17="Labour",$F17="IT Labour"),Assumptions!$B$14,
IF(AND($E17="Labour",$F17="IT Specialist"),Assumptions!$B$16,""))</f>
        <v/>
      </c>
      <c r="J17" s="9" t="str">
        <f t="shared" si="5"/>
        <v>$</v>
      </c>
      <c r="K17" s="2"/>
      <c r="L17" s="78">
        <v>184800</v>
      </c>
      <c r="M17" s="78">
        <v>246400</v>
      </c>
      <c r="N17" s="78">
        <v>273872.5</v>
      </c>
      <c r="O17" s="78">
        <v>303176.5</v>
      </c>
      <c r="P17" s="78">
        <v>309892</v>
      </c>
      <c r="Q17" s="2"/>
      <c r="R17" s="5">
        <f t="shared" si="0"/>
        <v>184800</v>
      </c>
      <c r="S17" s="5">
        <f t="shared" si="1"/>
        <v>246400</v>
      </c>
      <c r="T17" s="5">
        <f t="shared" si="2"/>
        <v>273872.5</v>
      </c>
      <c r="U17" s="5">
        <f t="shared" si="3"/>
        <v>303176.5</v>
      </c>
      <c r="V17" s="5">
        <f t="shared" si="4"/>
        <v>309892</v>
      </c>
      <c r="AA17"/>
    </row>
    <row r="18" spans="1:27" ht="12.75" customHeight="1" x14ac:dyDescent="0.25">
      <c r="A18" s="4"/>
      <c r="C18" s="76" t="s">
        <v>86</v>
      </c>
      <c r="D18" s="77" t="s">
        <v>50</v>
      </c>
      <c r="E18" s="77" t="s">
        <v>13</v>
      </c>
      <c r="F18" s="77"/>
      <c r="G18" s="75" t="s">
        <v>1</v>
      </c>
      <c r="H18" s="2"/>
      <c r="I18" s="59" t="str">
        <f>IF(AND($E18="Labour",$F18="IT Labour"),Assumptions!$B$14,
IF(AND($E18="Labour",$F18="IT Specialist"),Assumptions!$B$16,""))</f>
        <v/>
      </c>
      <c r="J18" s="9" t="str">
        <f t="shared" si="5"/>
        <v>$</v>
      </c>
      <c r="K18" s="2"/>
      <c r="L18" s="78">
        <v>1059545.2560000001</v>
      </c>
      <c r="M18" s="78">
        <v>1435519.0080000001</v>
      </c>
      <c r="N18" s="78">
        <v>2139771.6800000002</v>
      </c>
      <c r="O18" s="78">
        <v>2827744.352</v>
      </c>
      <c r="P18" s="78">
        <v>2854117.952</v>
      </c>
      <c r="Q18" s="2"/>
      <c r="R18" s="5">
        <f t="shared" si="0"/>
        <v>1059545.2560000001</v>
      </c>
      <c r="S18" s="5">
        <f t="shared" si="1"/>
        <v>1435519.0080000001</v>
      </c>
      <c r="T18" s="5">
        <f t="shared" si="2"/>
        <v>2139771.6800000002</v>
      </c>
      <c r="U18" s="5">
        <f t="shared" si="3"/>
        <v>2827744.352</v>
      </c>
      <c r="V18" s="5">
        <f t="shared" si="4"/>
        <v>2854117.952</v>
      </c>
      <c r="AA18"/>
    </row>
    <row r="19" spans="1:27" ht="12.75" customHeight="1" x14ac:dyDescent="0.25">
      <c r="A19" s="4"/>
      <c r="C19" s="76"/>
      <c r="D19" s="77"/>
      <c r="E19" s="77"/>
      <c r="F19" s="77"/>
      <c r="G19" s="75"/>
      <c r="H19" s="2"/>
      <c r="I19" s="59" t="str">
        <f>IF(AND($E19="Labour",$F19="IT Labour"),Assumptions!$B$14,
IF(AND($E19="Labour",$F19="IT Specialist"),Assumptions!$B$16,""))</f>
        <v/>
      </c>
      <c r="J19" s="9" t="str">
        <f t="shared" si="5"/>
        <v>$</v>
      </c>
      <c r="K19" s="2"/>
      <c r="L19" s="78"/>
      <c r="M19" s="78"/>
      <c r="N19" s="78"/>
      <c r="O19" s="78"/>
      <c r="P19" s="78"/>
      <c r="Q19" s="2"/>
      <c r="R19" s="5">
        <f t="shared" si="0"/>
        <v>0</v>
      </c>
      <c r="S19" s="5">
        <f t="shared" si="1"/>
        <v>0</v>
      </c>
      <c r="T19" s="5">
        <f t="shared" si="2"/>
        <v>0</v>
      </c>
      <c r="U19" s="5">
        <f t="shared" si="3"/>
        <v>0</v>
      </c>
      <c r="V19" s="5">
        <f t="shared" si="4"/>
        <v>0</v>
      </c>
      <c r="AA19"/>
    </row>
    <row r="20" spans="1:27" ht="12.75" customHeight="1" x14ac:dyDescent="0.25">
      <c r="A20" s="4"/>
      <c r="C20" s="76" t="s">
        <v>87</v>
      </c>
      <c r="D20" s="77" t="s">
        <v>53</v>
      </c>
      <c r="E20" s="77" t="s">
        <v>11</v>
      </c>
      <c r="F20" s="77" t="s">
        <v>40</v>
      </c>
      <c r="G20" s="75" t="s">
        <v>1</v>
      </c>
      <c r="H20" s="2"/>
      <c r="I20" s="59">
        <f>IF(AND($E20="Labour",$F20="IT Labour"),Assumptions!$B$14,
IF(AND($E20="Labour",$F20="IT Specialist"),Assumptions!$B$16,""))</f>
        <v>145.77740895836223</v>
      </c>
      <c r="J20" s="9" t="str">
        <f t="shared" si="5"/>
        <v>Hours</v>
      </c>
      <c r="K20" s="2"/>
      <c r="L20" s="78">
        <v>1184</v>
      </c>
      <c r="M20" s="78">
        <v>532.79999999999995</v>
      </c>
      <c r="N20" s="78">
        <v>307.83999999999997</v>
      </c>
      <c r="O20" s="78">
        <v>284.15999999999997</v>
      </c>
      <c r="P20" s="78">
        <v>473.59999999999997</v>
      </c>
      <c r="Q20" s="2"/>
      <c r="R20" s="5">
        <f t="shared" si="0"/>
        <v>172600.45220670087</v>
      </c>
      <c r="S20" s="5">
        <f t="shared" si="1"/>
        <v>77670.20349301539</v>
      </c>
      <c r="T20" s="5">
        <f t="shared" si="2"/>
        <v>44876.117573742224</v>
      </c>
      <c r="U20" s="5">
        <f t="shared" si="3"/>
        <v>41424.108529608209</v>
      </c>
      <c r="V20" s="5">
        <f t="shared" si="4"/>
        <v>69040.180882680346</v>
      </c>
      <c r="AA20"/>
    </row>
    <row r="21" spans="1:27" ht="12.75" customHeight="1" x14ac:dyDescent="0.25">
      <c r="A21" s="4"/>
      <c r="C21" s="76" t="s">
        <v>87</v>
      </c>
      <c r="D21" s="77" t="s">
        <v>53</v>
      </c>
      <c r="E21" s="77" t="s">
        <v>11</v>
      </c>
      <c r="F21" s="77" t="s">
        <v>41</v>
      </c>
      <c r="G21" s="75" t="s">
        <v>1</v>
      </c>
      <c r="H21" s="2"/>
      <c r="I21" s="59">
        <f>IF(AND($E21="Labour",$F21="IT Labour"),Assumptions!$B$14,
IF(AND($E21="Labour",$F21="IT Specialist"),Assumptions!$B$16,""))</f>
        <v>230.16624999999999</v>
      </c>
      <c r="J21" s="9" t="str">
        <f t="shared" si="5"/>
        <v>Hours</v>
      </c>
      <c r="K21" s="2"/>
      <c r="L21" s="78">
        <v>4404.4799999999996</v>
      </c>
      <c r="M21" s="78">
        <v>2498.2399999999998</v>
      </c>
      <c r="N21" s="78">
        <v>1255.04</v>
      </c>
      <c r="O21" s="78">
        <v>1136.6399999999999</v>
      </c>
      <c r="P21" s="78">
        <v>1515.52</v>
      </c>
      <c r="Q21" s="2"/>
      <c r="R21" s="5">
        <f t="shared" si="0"/>
        <v>1013762.6447999999</v>
      </c>
      <c r="S21" s="5">
        <f t="shared" si="1"/>
        <v>575010.53239999991</v>
      </c>
      <c r="T21" s="5">
        <f t="shared" si="2"/>
        <v>288867.8504</v>
      </c>
      <c r="U21" s="5">
        <f t="shared" si="3"/>
        <v>261616.16639999996</v>
      </c>
      <c r="V21" s="5">
        <f t="shared" si="4"/>
        <v>348821.5552</v>
      </c>
      <c r="AA21"/>
    </row>
    <row r="22" spans="1:27" ht="12.75" customHeight="1" x14ac:dyDescent="0.25">
      <c r="A22" s="4"/>
      <c r="C22" s="76" t="s">
        <v>87</v>
      </c>
      <c r="D22" s="77" t="s">
        <v>50</v>
      </c>
      <c r="E22" s="77" t="s">
        <v>11</v>
      </c>
      <c r="F22" s="77" t="s">
        <v>40</v>
      </c>
      <c r="G22" s="75" t="s">
        <v>51</v>
      </c>
      <c r="H22" s="2"/>
      <c r="I22" s="59">
        <f>IF(AND($E22="Labour",$F22="IT Labour"),Assumptions!$B$14,
IF(AND($E22="Labour",$F22="IT Specialist"),Assumptions!$B$16,""))</f>
        <v>145.77740895836223</v>
      </c>
      <c r="J22" s="9" t="str">
        <f t="shared" si="5"/>
        <v>Hours</v>
      </c>
      <c r="K22" s="2"/>
      <c r="L22" s="78">
        <v>1835.1999999999998</v>
      </c>
      <c r="M22" s="78">
        <v>1953.6</v>
      </c>
      <c r="N22" s="78">
        <v>520.95999999999992</v>
      </c>
      <c r="O22" s="78">
        <v>426.2399999999999</v>
      </c>
      <c r="P22" s="78">
        <v>473.59999999999991</v>
      </c>
      <c r="Q22" s="2"/>
      <c r="R22" s="5">
        <f t="shared" si="0"/>
        <v>267530.70092038636</v>
      </c>
      <c r="S22" s="5">
        <f t="shared" si="1"/>
        <v>284790.74614105641</v>
      </c>
      <c r="T22" s="5">
        <f t="shared" si="2"/>
        <v>75944.198970948375</v>
      </c>
      <c r="U22" s="5">
        <f t="shared" si="3"/>
        <v>62136.162794412303</v>
      </c>
      <c r="V22" s="5">
        <f t="shared" si="4"/>
        <v>69040.180882680332</v>
      </c>
      <c r="AA22"/>
    </row>
    <row r="23" spans="1:27" ht="12.75" customHeight="1" x14ac:dyDescent="0.25">
      <c r="A23" s="4"/>
      <c r="C23" s="76" t="s">
        <v>87</v>
      </c>
      <c r="D23" s="77" t="s">
        <v>50</v>
      </c>
      <c r="E23" s="77" t="s">
        <v>11</v>
      </c>
      <c r="F23" s="77" t="s">
        <v>41</v>
      </c>
      <c r="G23" s="75" t="s">
        <v>51</v>
      </c>
      <c r="H23" s="2"/>
      <c r="I23" s="59">
        <f>IF(AND($E23="Labour",$F23="IT Labour"),Assumptions!$B$14,
IF(AND($E23="Labour",$F23="IT Specialist"),Assumptions!$B$16,""))</f>
        <v>230.16624999999999</v>
      </c>
      <c r="J23" s="9" t="str">
        <f t="shared" si="5"/>
        <v>Hours</v>
      </c>
      <c r="K23" s="2"/>
      <c r="L23" s="78">
        <v>7909.12</v>
      </c>
      <c r="M23" s="78">
        <v>8690.5600000000013</v>
      </c>
      <c r="N23" s="78">
        <v>2178.56</v>
      </c>
      <c r="O23" s="78">
        <v>1704.96</v>
      </c>
      <c r="P23" s="78">
        <v>1799.68</v>
      </c>
      <c r="Q23" s="2"/>
      <c r="R23" s="5">
        <f t="shared" si="0"/>
        <v>1820412.4911999998</v>
      </c>
      <c r="S23" s="5">
        <f t="shared" si="1"/>
        <v>2000273.6056000001</v>
      </c>
      <c r="T23" s="5">
        <f t="shared" si="2"/>
        <v>501430.98559999996</v>
      </c>
      <c r="U23" s="5">
        <f t="shared" si="3"/>
        <v>392424.24959999998</v>
      </c>
      <c r="V23" s="5">
        <f t="shared" si="4"/>
        <v>414225.5968</v>
      </c>
      <c r="AA23"/>
    </row>
    <row r="24" spans="1:27" ht="12.75" customHeight="1" x14ac:dyDescent="0.25">
      <c r="A24" s="4"/>
      <c r="C24" s="76" t="s">
        <v>87</v>
      </c>
      <c r="D24" s="77" t="s">
        <v>53</v>
      </c>
      <c r="E24" s="77" t="s">
        <v>12</v>
      </c>
      <c r="F24" s="77"/>
      <c r="G24" s="75" t="s">
        <v>1</v>
      </c>
      <c r="H24" s="2"/>
      <c r="I24" s="59" t="str">
        <f>IF(AND($E24="Labour",$F24="IT Labour"),Assumptions!$B$14,
IF(AND($E24="Labour",$F24="IT Specialist"),Assumptions!$B$16,""))</f>
        <v/>
      </c>
      <c r="J24" s="9" t="str">
        <f t="shared" si="5"/>
        <v>$</v>
      </c>
      <c r="K24" s="2"/>
      <c r="L24" s="78">
        <v>266400</v>
      </c>
      <c r="M24" s="78">
        <v>0</v>
      </c>
      <c r="N24" s="78">
        <v>0</v>
      </c>
      <c r="O24" s="78">
        <v>0</v>
      </c>
      <c r="P24" s="78">
        <v>0</v>
      </c>
      <c r="Q24" s="2"/>
      <c r="R24" s="5">
        <f t="shared" si="0"/>
        <v>266400</v>
      </c>
      <c r="S24" s="5">
        <f t="shared" si="1"/>
        <v>0</v>
      </c>
      <c r="T24" s="5">
        <f t="shared" si="2"/>
        <v>0</v>
      </c>
      <c r="U24" s="5">
        <f t="shared" si="3"/>
        <v>0</v>
      </c>
      <c r="V24" s="5">
        <f t="shared" si="4"/>
        <v>0</v>
      </c>
      <c r="AA24"/>
    </row>
    <row r="25" spans="1:27" ht="12.75" customHeight="1" x14ac:dyDescent="0.25">
      <c r="A25" s="4"/>
      <c r="C25" s="76" t="s">
        <v>87</v>
      </c>
      <c r="D25" s="77" t="s">
        <v>50</v>
      </c>
      <c r="E25" s="77" t="s">
        <v>12</v>
      </c>
      <c r="F25" s="77"/>
      <c r="G25" s="75" t="s">
        <v>1</v>
      </c>
      <c r="H25" s="2"/>
      <c r="I25" s="59" t="str">
        <f>IF(AND($E25="Labour",$F25="IT Labour"),Assumptions!$B$14,
IF(AND($E25="Labour",$F25="IT Specialist"),Assumptions!$B$16,""))</f>
        <v/>
      </c>
      <c r="J25" s="9" t="str">
        <f t="shared" si="5"/>
        <v>$</v>
      </c>
      <c r="K25" s="2"/>
      <c r="L25" s="78">
        <v>117659.99999999997</v>
      </c>
      <c r="M25" s="78">
        <v>0</v>
      </c>
      <c r="N25" s="78">
        <v>685028.57142857148</v>
      </c>
      <c r="O25" s="78">
        <v>913371.42857142864</v>
      </c>
      <c r="P25" s="78">
        <v>1172794.2857142857</v>
      </c>
      <c r="Q25" s="2"/>
      <c r="R25" s="5">
        <f t="shared" si="0"/>
        <v>117659.99999999997</v>
      </c>
      <c r="S25" s="5">
        <f t="shared" si="1"/>
        <v>0</v>
      </c>
      <c r="T25" s="5">
        <f t="shared" si="2"/>
        <v>685028.57142857148</v>
      </c>
      <c r="U25" s="5">
        <f t="shared" si="3"/>
        <v>913371.42857142864</v>
      </c>
      <c r="V25" s="5">
        <f t="shared" si="4"/>
        <v>1172794.2857142857</v>
      </c>
      <c r="AA25"/>
    </row>
    <row r="26" spans="1:27" ht="12.75" customHeight="1" x14ac:dyDescent="0.25">
      <c r="A26" s="4"/>
      <c r="C26" s="76" t="s">
        <v>87</v>
      </c>
      <c r="D26" s="77" t="s">
        <v>53</v>
      </c>
      <c r="E26" s="77" t="s">
        <v>13</v>
      </c>
      <c r="F26" s="77"/>
      <c r="G26" s="75" t="s">
        <v>1</v>
      </c>
      <c r="H26" s="2"/>
      <c r="I26" s="59" t="str">
        <f>IF(AND($E26="Labour",$F26="IT Labour"),Assumptions!$B$14,
IF(AND($E26="Labour",$F26="IT Specialist"),Assumptions!$B$16,""))</f>
        <v/>
      </c>
      <c r="J26" s="9" t="str">
        <f t="shared" si="5"/>
        <v>$</v>
      </c>
      <c r="K26" s="2"/>
      <c r="L26" s="78">
        <v>162800</v>
      </c>
      <c r="M26" s="78">
        <v>0</v>
      </c>
      <c r="N26" s="78">
        <v>0</v>
      </c>
      <c r="O26" s="78">
        <v>0</v>
      </c>
      <c r="P26" s="78">
        <v>0</v>
      </c>
      <c r="Q26" s="2"/>
      <c r="R26" s="5">
        <f t="shared" si="0"/>
        <v>162800</v>
      </c>
      <c r="S26" s="5">
        <f t="shared" si="1"/>
        <v>0</v>
      </c>
      <c r="T26" s="5">
        <f t="shared" si="2"/>
        <v>0</v>
      </c>
      <c r="U26" s="5">
        <f t="shared" si="3"/>
        <v>0</v>
      </c>
      <c r="V26" s="5">
        <f t="shared" si="4"/>
        <v>0</v>
      </c>
      <c r="AA26"/>
    </row>
    <row r="27" spans="1:27" ht="12.75" customHeight="1" x14ac:dyDescent="0.25">
      <c r="A27" s="4"/>
      <c r="C27" s="76" t="s">
        <v>87</v>
      </c>
      <c r="D27" s="77" t="s">
        <v>53</v>
      </c>
      <c r="E27" s="77" t="s">
        <v>13</v>
      </c>
      <c r="F27" s="77"/>
      <c r="G27" s="75" t="s">
        <v>1</v>
      </c>
      <c r="H27" s="2"/>
      <c r="I27" s="59" t="str">
        <f>IF(AND($E27="Labour",$F27="IT Labour"),Assumptions!$B$14,
IF(AND($E27="Labour",$F27="IT Specialist"),Assumptions!$B$16,""))</f>
        <v/>
      </c>
      <c r="J27" s="9" t="str">
        <f t="shared" si="5"/>
        <v>$</v>
      </c>
      <c r="K27" s="2"/>
      <c r="L27" s="78">
        <v>41440</v>
      </c>
      <c r="M27" s="78">
        <v>0</v>
      </c>
      <c r="N27" s="78">
        <v>0</v>
      </c>
      <c r="O27" s="78">
        <v>0</v>
      </c>
      <c r="P27" s="78">
        <v>124320</v>
      </c>
      <c r="Q27" s="2"/>
      <c r="R27" s="5">
        <f t="shared" si="0"/>
        <v>41440</v>
      </c>
      <c r="S27" s="5">
        <f t="shared" si="1"/>
        <v>0</v>
      </c>
      <c r="T27" s="5">
        <f t="shared" si="2"/>
        <v>0</v>
      </c>
      <c r="U27" s="5">
        <f t="shared" si="3"/>
        <v>0</v>
      </c>
      <c r="V27" s="5">
        <f t="shared" si="4"/>
        <v>124320</v>
      </c>
      <c r="AA27"/>
    </row>
    <row r="28" spans="1:27" ht="12.75" customHeight="1" x14ac:dyDescent="0.25">
      <c r="A28" s="4"/>
      <c r="C28" s="76" t="s">
        <v>88</v>
      </c>
      <c r="D28" s="77" t="s">
        <v>50</v>
      </c>
      <c r="E28" s="77" t="s">
        <v>12</v>
      </c>
      <c r="F28" s="77"/>
      <c r="G28" s="75" t="s">
        <v>1</v>
      </c>
      <c r="H28" s="2"/>
      <c r="I28" s="59" t="str">
        <f>IF(AND($E28="Labour",$F28="IT Labour"),Assumptions!$B$14,
IF(AND($E28="Labour",$F28="IT Specialist"),Assumptions!$B$16,""))</f>
        <v/>
      </c>
      <c r="J28" s="9" t="str">
        <f t="shared" si="5"/>
        <v>$</v>
      </c>
      <c r="K28" s="2"/>
      <c r="L28" s="78">
        <v>710774.95</v>
      </c>
      <c r="M28" s="78">
        <v>736833.28</v>
      </c>
      <c r="N28" s="78">
        <v>736833.28</v>
      </c>
      <c r="O28" s="78">
        <v>736833.28</v>
      </c>
      <c r="P28" s="78">
        <v>769633.27</v>
      </c>
      <c r="Q28" s="2"/>
      <c r="R28" s="5">
        <f t="shared" si="0"/>
        <v>710774.95</v>
      </c>
      <c r="S28" s="5">
        <f t="shared" si="1"/>
        <v>736833.28</v>
      </c>
      <c r="T28" s="5">
        <f t="shared" si="2"/>
        <v>736833.28</v>
      </c>
      <c r="U28" s="5">
        <f t="shared" si="3"/>
        <v>736833.28</v>
      </c>
      <c r="V28" s="5">
        <f t="shared" si="4"/>
        <v>769633.27</v>
      </c>
      <c r="AA28"/>
    </row>
    <row r="29" spans="1:27" ht="12.75" customHeight="1" x14ac:dyDescent="0.25">
      <c r="A29" s="4"/>
      <c r="C29" s="76" t="s">
        <v>89</v>
      </c>
      <c r="D29" s="77" t="s">
        <v>50</v>
      </c>
      <c r="E29" s="77" t="s">
        <v>13</v>
      </c>
      <c r="F29" s="77"/>
      <c r="G29" s="75" t="s">
        <v>1</v>
      </c>
      <c r="H29" s="2"/>
      <c r="I29" s="59" t="str">
        <f>IF(AND($E29="Labour",$F29="IT Labour"),Assumptions!$B$14,
IF(AND($E29="Labour",$F29="IT Specialist"),Assumptions!$B$16,""))</f>
        <v/>
      </c>
      <c r="J29" s="9" t="str">
        <f t="shared" si="5"/>
        <v>$</v>
      </c>
      <c r="K29" s="2"/>
      <c r="L29" s="78">
        <v>59939.999999999993</v>
      </c>
      <c r="M29" s="78">
        <v>555158.57142857136</v>
      </c>
      <c r="N29" s="78">
        <v>676465.71428571432</v>
      </c>
      <c r="O29" s="78">
        <v>694780.71428571432</v>
      </c>
      <c r="P29" s="78">
        <v>700885.71428571432</v>
      </c>
      <c r="Q29" s="2"/>
      <c r="R29" s="5">
        <f t="shared" si="0"/>
        <v>59939.999999999993</v>
      </c>
      <c r="S29" s="5">
        <f t="shared" si="1"/>
        <v>555158.57142857136</v>
      </c>
      <c r="T29" s="5">
        <f t="shared" si="2"/>
        <v>676465.71428571432</v>
      </c>
      <c r="U29" s="5">
        <f t="shared" si="3"/>
        <v>694780.71428571432</v>
      </c>
      <c r="V29" s="5">
        <f t="shared" si="4"/>
        <v>700885.71428571432</v>
      </c>
      <c r="AA29"/>
    </row>
    <row r="30" spans="1:27" ht="12.75" customHeight="1" x14ac:dyDescent="0.25">
      <c r="A30" s="4"/>
      <c r="C30" s="76"/>
      <c r="D30" s="77"/>
      <c r="E30" s="77"/>
      <c r="F30" s="77"/>
      <c r="G30" s="75"/>
      <c r="H30" s="2"/>
      <c r="I30" s="59" t="str">
        <f>IF(AND($E30="Labour",$F30="IT Labour"),Assumptions!$B$14,
IF(AND($E30="Labour",$F30="IT Specialist"),Assumptions!$B$16,""))</f>
        <v/>
      </c>
      <c r="J30" s="9" t="str">
        <f t="shared" si="5"/>
        <v>$</v>
      </c>
      <c r="K30" s="2"/>
      <c r="L30" s="78"/>
      <c r="M30" s="78"/>
      <c r="N30" s="78"/>
      <c r="O30" s="78"/>
      <c r="P30" s="78"/>
      <c r="Q30" s="2"/>
      <c r="R30" s="5">
        <f t="shared" si="0"/>
        <v>0</v>
      </c>
      <c r="S30" s="5">
        <f t="shared" si="1"/>
        <v>0</v>
      </c>
      <c r="T30" s="5">
        <f t="shared" si="2"/>
        <v>0</v>
      </c>
      <c r="U30" s="5">
        <f t="shared" si="3"/>
        <v>0</v>
      </c>
      <c r="V30" s="5">
        <f t="shared" si="4"/>
        <v>0</v>
      </c>
      <c r="AA30"/>
    </row>
    <row r="31" spans="1:27" ht="12.75" customHeight="1" x14ac:dyDescent="0.25">
      <c r="A31" s="4"/>
      <c r="C31" s="76" t="s">
        <v>90</v>
      </c>
      <c r="D31" s="77" t="s">
        <v>53</v>
      </c>
      <c r="E31" s="77" t="s">
        <v>11</v>
      </c>
      <c r="F31" s="77" t="s">
        <v>40</v>
      </c>
      <c r="G31" s="75" t="s">
        <v>1</v>
      </c>
      <c r="H31" s="2"/>
      <c r="I31" s="59">
        <f>IF(AND($E31="Labour",$F31="IT Labour"),Assumptions!$B$14,
IF(AND($E31="Labour",$F31="IT Specialist"),Assumptions!$B$16,""))</f>
        <v>145.77740895836223</v>
      </c>
      <c r="J31" s="9" t="str">
        <f t="shared" si="5"/>
        <v>Hours</v>
      </c>
      <c r="K31" s="2"/>
      <c r="L31" s="78">
        <v>1368</v>
      </c>
      <c r="M31" s="78">
        <v>2816</v>
      </c>
      <c r="N31" s="78">
        <v>1280</v>
      </c>
      <c r="O31" s="78">
        <v>0</v>
      </c>
      <c r="P31" s="78">
        <v>0</v>
      </c>
      <c r="Q31" s="2"/>
      <c r="R31" s="5">
        <f t="shared" si="0"/>
        <v>199423.49545503952</v>
      </c>
      <c r="S31" s="5">
        <f t="shared" si="1"/>
        <v>410509.18362674804</v>
      </c>
      <c r="T31" s="5">
        <f t="shared" si="2"/>
        <v>186595.08346670365</v>
      </c>
      <c r="U31" s="5">
        <f t="shared" si="3"/>
        <v>0</v>
      </c>
      <c r="V31" s="5">
        <f t="shared" si="4"/>
        <v>0</v>
      </c>
      <c r="AA31"/>
    </row>
    <row r="32" spans="1:27" ht="12.75" customHeight="1" x14ac:dyDescent="0.25">
      <c r="A32" s="4"/>
      <c r="C32" s="76" t="s">
        <v>90</v>
      </c>
      <c r="D32" s="77" t="s">
        <v>53</v>
      </c>
      <c r="E32" s="77" t="s">
        <v>11</v>
      </c>
      <c r="F32" s="77" t="s">
        <v>41</v>
      </c>
      <c r="G32" s="75" t="s">
        <v>1</v>
      </c>
      <c r="H32" s="2"/>
      <c r="I32" s="59">
        <f>IF(AND($E32="Labour",$F32="IT Labour"),Assumptions!$B$14,
IF(AND($E32="Labour",$F32="IT Specialist"),Assumptions!$B$16,""))</f>
        <v>230.16624999999999</v>
      </c>
      <c r="J32" s="9" t="str">
        <f t="shared" si="5"/>
        <v>Hours</v>
      </c>
      <c r="K32" s="2"/>
      <c r="L32" s="78">
        <v>6839.9999999999991</v>
      </c>
      <c r="M32" s="78">
        <v>8448.0000000000018</v>
      </c>
      <c r="N32" s="78">
        <v>3840</v>
      </c>
      <c r="O32" s="78">
        <v>0</v>
      </c>
      <c r="P32" s="78">
        <v>0</v>
      </c>
      <c r="Q32" s="2"/>
      <c r="R32" s="5">
        <f t="shared" si="0"/>
        <v>1574337.1499999997</v>
      </c>
      <c r="S32" s="5">
        <f t="shared" si="1"/>
        <v>1944444.4800000004</v>
      </c>
      <c r="T32" s="5">
        <f t="shared" si="2"/>
        <v>883838.39999999991</v>
      </c>
      <c r="U32" s="5">
        <f t="shared" si="3"/>
        <v>0</v>
      </c>
      <c r="V32" s="5">
        <f t="shared" si="4"/>
        <v>0</v>
      </c>
      <c r="AA32"/>
    </row>
    <row r="33" spans="1:27" ht="12.75" customHeight="1" x14ac:dyDescent="0.25">
      <c r="A33" s="4"/>
      <c r="C33" s="76" t="s">
        <v>90</v>
      </c>
      <c r="D33" s="77" t="s">
        <v>50</v>
      </c>
      <c r="E33" s="77" t="s">
        <v>11</v>
      </c>
      <c r="F33" s="77" t="s">
        <v>40</v>
      </c>
      <c r="G33" s="75" t="s">
        <v>51</v>
      </c>
      <c r="H33" s="2"/>
      <c r="I33" s="59">
        <f>IF(AND($E33="Labour",$F33="IT Labour"),Assumptions!$B$14,
IF(AND($E33="Labour",$F33="IT Specialist"),Assumptions!$B$16,""))</f>
        <v>145.77740895836223</v>
      </c>
      <c r="J33" s="9" t="str">
        <f t="shared" si="5"/>
        <v>Hours</v>
      </c>
      <c r="K33" s="2"/>
      <c r="L33" s="78">
        <v>151.99999999999997</v>
      </c>
      <c r="M33" s="78">
        <v>703.99999999999989</v>
      </c>
      <c r="N33" s="78">
        <v>319.99999999999994</v>
      </c>
      <c r="O33" s="78">
        <v>0</v>
      </c>
      <c r="P33" s="78">
        <v>0</v>
      </c>
      <c r="Q33" s="2"/>
      <c r="R33" s="5">
        <f t="shared" si="0"/>
        <v>22158.166161671055</v>
      </c>
      <c r="S33" s="5">
        <f t="shared" si="1"/>
        <v>102627.295906687</v>
      </c>
      <c r="T33" s="5">
        <f t="shared" si="2"/>
        <v>46648.770866675906</v>
      </c>
      <c r="U33" s="5">
        <f t="shared" si="3"/>
        <v>0</v>
      </c>
      <c r="V33" s="5">
        <f t="shared" si="4"/>
        <v>0</v>
      </c>
      <c r="AA33"/>
    </row>
    <row r="34" spans="1:27" ht="12.75" customHeight="1" x14ac:dyDescent="0.25">
      <c r="A34" s="4"/>
      <c r="C34" s="76" t="s">
        <v>90</v>
      </c>
      <c r="D34" s="77" t="s">
        <v>50</v>
      </c>
      <c r="E34" s="77" t="s">
        <v>11</v>
      </c>
      <c r="F34" s="77" t="s">
        <v>41</v>
      </c>
      <c r="G34" s="75" t="s">
        <v>51</v>
      </c>
      <c r="H34" s="2"/>
      <c r="I34" s="59">
        <f>IF(AND($E34="Labour",$F34="IT Labour"),Assumptions!$B$14,
IF(AND($E34="Labour",$F34="IT Specialist"),Assumptions!$B$16,""))</f>
        <v>230.16624999999999</v>
      </c>
      <c r="J34" s="9" t="str">
        <f t="shared" si="5"/>
        <v>Hours</v>
      </c>
      <c r="K34" s="2"/>
      <c r="L34" s="78">
        <v>759.99999999999977</v>
      </c>
      <c r="M34" s="78">
        <v>2112</v>
      </c>
      <c r="N34" s="78">
        <v>959.99999999999977</v>
      </c>
      <c r="O34" s="78">
        <v>0</v>
      </c>
      <c r="P34" s="78">
        <v>0</v>
      </c>
      <c r="Q34" s="2"/>
      <c r="R34" s="5">
        <f t="shared" si="0"/>
        <v>174926.34999999995</v>
      </c>
      <c r="S34" s="5">
        <f t="shared" si="1"/>
        <v>486111.12</v>
      </c>
      <c r="T34" s="5">
        <f t="shared" si="2"/>
        <v>220959.59999999995</v>
      </c>
      <c r="U34" s="5">
        <f t="shared" si="3"/>
        <v>0</v>
      </c>
      <c r="V34" s="5">
        <f t="shared" si="4"/>
        <v>0</v>
      </c>
      <c r="AA34"/>
    </row>
    <row r="35" spans="1:27" ht="12.75" customHeight="1" x14ac:dyDescent="0.25">
      <c r="A35" s="4"/>
      <c r="C35" s="76" t="s">
        <v>92</v>
      </c>
      <c r="D35" s="77" t="s">
        <v>53</v>
      </c>
      <c r="E35" s="77" t="s">
        <v>12</v>
      </c>
      <c r="F35" s="77"/>
      <c r="G35" s="75" t="s">
        <v>1</v>
      </c>
      <c r="H35" s="2"/>
      <c r="I35" s="59" t="str">
        <f>IF(AND($E35="Labour",$F35="IT Labour"),Assumptions!$B$14,
IF(AND($E35="Labour",$F35="IT Specialist"),Assumptions!$B$16,""))</f>
        <v/>
      </c>
      <c r="J35" s="9" t="str">
        <f t="shared" si="5"/>
        <v>$</v>
      </c>
      <c r="K35" s="2"/>
      <c r="L35" s="78">
        <v>1602000</v>
      </c>
      <c r="M35" s="78">
        <v>0</v>
      </c>
      <c r="N35" s="78">
        <v>0</v>
      </c>
      <c r="O35" s="78">
        <v>0</v>
      </c>
      <c r="P35" s="78">
        <v>0</v>
      </c>
      <c r="Q35" s="2"/>
      <c r="R35" s="5">
        <f t="shared" si="0"/>
        <v>1602000</v>
      </c>
      <c r="S35" s="5">
        <f t="shared" si="1"/>
        <v>0</v>
      </c>
      <c r="T35" s="5">
        <f t="shared" si="2"/>
        <v>0</v>
      </c>
      <c r="U35" s="5">
        <f t="shared" si="3"/>
        <v>0</v>
      </c>
      <c r="V35" s="5">
        <f t="shared" si="4"/>
        <v>0</v>
      </c>
      <c r="AA35"/>
    </row>
    <row r="36" spans="1:27" ht="12.75" customHeight="1" x14ac:dyDescent="0.25">
      <c r="A36" s="4"/>
      <c r="C36" s="76" t="s">
        <v>90</v>
      </c>
      <c r="D36" s="77" t="s">
        <v>50</v>
      </c>
      <c r="E36" s="77" t="s">
        <v>12</v>
      </c>
      <c r="F36" s="77"/>
      <c r="G36" s="75" t="s">
        <v>51</v>
      </c>
      <c r="H36" s="2"/>
      <c r="I36" s="59" t="str">
        <f>IF(AND($E36="Labour",$F36="IT Labour"),Assumptions!$B$14,
IF(AND($E36="Labour",$F36="IT Specialist"),Assumptions!$B$16,""))</f>
        <v/>
      </c>
      <c r="J36" s="9" t="str">
        <f t="shared" si="5"/>
        <v>$</v>
      </c>
      <c r="K36" s="2"/>
      <c r="L36" s="78">
        <v>177999.99999999994</v>
      </c>
      <c r="M36" s="78">
        <v>0</v>
      </c>
      <c r="N36" s="78">
        <v>0</v>
      </c>
      <c r="O36" s="78">
        <v>0</v>
      </c>
      <c r="P36" s="78">
        <v>0</v>
      </c>
      <c r="Q36" s="2"/>
      <c r="R36" s="5">
        <f t="shared" si="0"/>
        <v>177999.99999999994</v>
      </c>
      <c r="S36" s="5">
        <f t="shared" si="1"/>
        <v>0</v>
      </c>
      <c r="T36" s="5">
        <f t="shared" si="2"/>
        <v>0</v>
      </c>
      <c r="U36" s="5">
        <f t="shared" si="3"/>
        <v>0</v>
      </c>
      <c r="V36" s="5">
        <f t="shared" si="4"/>
        <v>0</v>
      </c>
      <c r="AA36"/>
    </row>
    <row r="37" spans="1:27" ht="12.75" customHeight="1" x14ac:dyDescent="0.25">
      <c r="A37" s="4"/>
      <c r="C37" s="76" t="s">
        <v>91</v>
      </c>
      <c r="D37" s="77" t="s">
        <v>50</v>
      </c>
      <c r="E37" s="77" t="s">
        <v>12</v>
      </c>
      <c r="F37" s="77"/>
      <c r="G37" s="75" t="s">
        <v>1</v>
      </c>
      <c r="H37" s="2"/>
      <c r="I37" s="59" t="str">
        <f>IF(AND($E37="Labour",$F37="IT Labour"),Assumptions!$B$14,
IF(AND($E37="Labour",$F37="IT Specialist"),Assumptions!$B$16,""))</f>
        <v/>
      </c>
      <c r="J37" s="9" t="str">
        <f t="shared" si="5"/>
        <v>$</v>
      </c>
      <c r="K37" s="2"/>
      <c r="L37" s="78">
        <v>698699.88</v>
      </c>
      <c r="M37" s="78">
        <v>931599.84</v>
      </c>
      <c r="N37" s="78">
        <v>931599.84</v>
      </c>
      <c r="O37" s="78">
        <v>931599.84</v>
      </c>
      <c r="P37" s="78">
        <v>931599.84</v>
      </c>
      <c r="Q37" s="2"/>
      <c r="R37" s="5">
        <f t="shared" si="0"/>
        <v>698699.88</v>
      </c>
      <c r="S37" s="5">
        <f t="shared" si="1"/>
        <v>931599.84</v>
      </c>
      <c r="T37" s="5">
        <f t="shared" si="2"/>
        <v>931599.84</v>
      </c>
      <c r="U37" s="5">
        <f t="shared" si="3"/>
        <v>931599.84</v>
      </c>
      <c r="V37" s="5">
        <f t="shared" si="4"/>
        <v>931599.84</v>
      </c>
      <c r="AA37"/>
    </row>
    <row r="38" spans="1:27" ht="12.75" customHeight="1" x14ac:dyDescent="0.25">
      <c r="A38" s="4"/>
      <c r="C38" s="76"/>
      <c r="D38" s="77"/>
      <c r="E38" s="77"/>
      <c r="F38" s="77"/>
      <c r="G38" s="75"/>
      <c r="H38" s="2"/>
      <c r="I38" s="59" t="str">
        <f>IF(AND($E38="Labour",$F38="IT Labour"),Assumptions!$B$14,
IF(AND($E38="Labour",$F38="IT Specialist"),Assumptions!$B$16,""))</f>
        <v/>
      </c>
      <c r="J38" s="9" t="str">
        <f t="shared" si="5"/>
        <v>$</v>
      </c>
      <c r="K38" s="2"/>
      <c r="L38" s="78"/>
      <c r="M38" s="78"/>
      <c r="N38" s="78"/>
      <c r="O38" s="78"/>
      <c r="P38" s="78"/>
      <c r="Q38" s="2"/>
      <c r="R38" s="5">
        <f t="shared" si="0"/>
        <v>0</v>
      </c>
      <c r="S38" s="5">
        <f t="shared" si="1"/>
        <v>0</v>
      </c>
      <c r="T38" s="5">
        <f t="shared" si="2"/>
        <v>0</v>
      </c>
      <c r="U38" s="5">
        <f t="shared" si="3"/>
        <v>0</v>
      </c>
      <c r="V38" s="5">
        <f t="shared" si="4"/>
        <v>0</v>
      </c>
      <c r="AA38"/>
    </row>
    <row r="39" spans="1:27" ht="12.75" customHeight="1" x14ac:dyDescent="0.25">
      <c r="A39" s="4"/>
      <c r="C39" s="76" t="s">
        <v>83</v>
      </c>
      <c r="D39" s="77" t="s">
        <v>50</v>
      </c>
      <c r="E39" s="77" t="s">
        <v>12</v>
      </c>
      <c r="F39" s="77"/>
      <c r="G39" s="75" t="s">
        <v>1</v>
      </c>
      <c r="H39" s="2"/>
      <c r="I39" s="59" t="str">
        <f>IF(AND($E39="Labour",$F39="IT Labour"),Assumptions!$B$14,
IF(AND($E39="Labour",$F39="IT Specialist"),Assumptions!$B$16,""))</f>
        <v/>
      </c>
      <c r="J39" s="9" t="str">
        <f t="shared" si="5"/>
        <v>$</v>
      </c>
      <c r="K39" s="2"/>
      <c r="L39" s="78">
        <v>-2134900</v>
      </c>
      <c r="M39" s="78">
        <v>-2134900</v>
      </c>
      <c r="N39" s="78">
        <v>-2134900</v>
      </c>
      <c r="O39" s="78">
        <v>-2134900</v>
      </c>
      <c r="P39" s="78">
        <v>-2134900</v>
      </c>
      <c r="Q39" s="2"/>
      <c r="R39" s="5">
        <f t="shared" si="0"/>
        <v>-2134900</v>
      </c>
      <c r="S39" s="5">
        <f t="shared" si="1"/>
        <v>-2134900</v>
      </c>
      <c r="T39" s="5">
        <f t="shared" si="2"/>
        <v>-2134900</v>
      </c>
      <c r="U39" s="5">
        <f t="shared" si="3"/>
        <v>-2134900</v>
      </c>
      <c r="V39" s="5">
        <f t="shared" si="4"/>
        <v>-2134900</v>
      </c>
      <c r="AA39"/>
    </row>
    <row r="40" spans="1:27" ht="12.75" customHeight="1" x14ac:dyDescent="0.25">
      <c r="A40" s="4"/>
      <c r="C40" s="76"/>
      <c r="D40" s="77"/>
      <c r="E40" s="77"/>
      <c r="F40" s="77"/>
      <c r="G40" s="75"/>
      <c r="H40" s="2"/>
      <c r="I40" s="59" t="str">
        <f>IF(AND($E40="Labour",$F40="IT Labour"),Assumptions!$B$14,
IF(AND($E40="Labour",$F40="IT Specialist"),Assumptions!$B$16,""))</f>
        <v/>
      </c>
      <c r="J40" s="9" t="str">
        <f t="shared" si="5"/>
        <v>$</v>
      </c>
      <c r="K40" s="2"/>
      <c r="L40" s="78"/>
      <c r="M40" s="78"/>
      <c r="N40" s="78"/>
      <c r="O40" s="78"/>
      <c r="P40" s="78"/>
      <c r="Q40" s="2"/>
      <c r="R40" s="5">
        <f t="shared" si="0"/>
        <v>0</v>
      </c>
      <c r="S40" s="5">
        <f t="shared" si="1"/>
        <v>0</v>
      </c>
      <c r="T40" s="5">
        <f t="shared" si="2"/>
        <v>0</v>
      </c>
      <c r="U40" s="5">
        <f t="shared" si="3"/>
        <v>0</v>
      </c>
      <c r="V40" s="5">
        <f t="shared" si="4"/>
        <v>0</v>
      </c>
      <c r="AA40"/>
    </row>
    <row r="41" spans="1:27" ht="12.75" customHeight="1" x14ac:dyDescent="0.25">
      <c r="A41" s="4"/>
      <c r="C41" s="76"/>
      <c r="D41" s="77"/>
      <c r="E41" s="77"/>
      <c r="F41" s="77"/>
      <c r="G41" s="75"/>
      <c r="H41" s="2"/>
      <c r="I41" s="59" t="str">
        <f>IF(AND($E41="Labour",$F41="IT Labour"),Assumptions!$B$14,
IF(AND($E41="Labour",$F41="IT Specialist"),Assumptions!$B$16,""))</f>
        <v/>
      </c>
      <c r="J41" s="9" t="str">
        <f t="shared" si="5"/>
        <v>$</v>
      </c>
      <c r="K41" s="2"/>
      <c r="L41" s="78"/>
      <c r="M41" s="78"/>
      <c r="N41" s="78"/>
      <c r="O41" s="78"/>
      <c r="P41" s="78"/>
      <c r="Q41" s="2"/>
      <c r="R41" s="5">
        <f t="shared" si="0"/>
        <v>0</v>
      </c>
      <c r="S41" s="5">
        <f t="shared" si="1"/>
        <v>0</v>
      </c>
      <c r="T41" s="5">
        <f t="shared" si="2"/>
        <v>0</v>
      </c>
      <c r="U41" s="5">
        <f t="shared" si="3"/>
        <v>0</v>
      </c>
      <c r="V41" s="5">
        <f t="shared" si="4"/>
        <v>0</v>
      </c>
      <c r="AA41"/>
    </row>
    <row r="42" spans="1:27" ht="12.75" customHeight="1" x14ac:dyDescent="0.25">
      <c r="A42" s="4"/>
      <c r="C42" s="76"/>
      <c r="D42" s="77"/>
      <c r="E42" s="77"/>
      <c r="F42" s="77"/>
      <c r="G42" s="75"/>
      <c r="H42" s="2"/>
      <c r="I42" s="59" t="str">
        <f>IF(AND($E42="Labour",$F42="IT Labour"),Assumptions!$B$14,
IF(AND($E42="Labour",$F42="IT Specialist"),Assumptions!$B$16,""))</f>
        <v/>
      </c>
      <c r="J42" s="9" t="str">
        <f t="shared" si="5"/>
        <v>$</v>
      </c>
      <c r="K42" s="2"/>
      <c r="L42" s="78"/>
      <c r="M42" s="78"/>
      <c r="N42" s="78"/>
      <c r="O42" s="78"/>
      <c r="P42" s="78"/>
      <c r="Q42" s="2"/>
      <c r="R42" s="5">
        <f t="shared" ref="R42:R70" si="6">IF($E42="Labour",$I42*L42,L42)</f>
        <v>0</v>
      </c>
      <c r="S42" s="5">
        <f t="shared" ref="S42:S70" si="7">IF($E42="Labour",$I42*M42,M42)</f>
        <v>0</v>
      </c>
      <c r="T42" s="5">
        <f t="shared" ref="T42:T70" si="8">IF($E42="Labour",$I42*N42,N42)</f>
        <v>0</v>
      </c>
      <c r="U42" s="5">
        <f t="shared" ref="U42:U70" si="9">IF($E42="Labour",$I42*O42,O42)</f>
        <v>0</v>
      </c>
      <c r="V42" s="5">
        <f t="shared" ref="V42:V70" si="10">IF($E42="Labour",$I42*P42,P42)</f>
        <v>0</v>
      </c>
      <c r="AA42"/>
    </row>
    <row r="43" spans="1:27" ht="12.75" customHeight="1" x14ac:dyDescent="0.25">
      <c r="A43" s="4"/>
      <c r="C43" s="76"/>
      <c r="D43" s="77"/>
      <c r="E43" s="77"/>
      <c r="F43" s="77"/>
      <c r="G43" s="75"/>
      <c r="H43" s="2"/>
      <c r="I43" s="59" t="str">
        <f>IF(AND($E43="Labour",$F43="IT Labour"),Assumptions!$B$14,
IF(AND($E43="Labour",$F43="IT Specialist"),Assumptions!$B$16,""))</f>
        <v/>
      </c>
      <c r="J43" s="9" t="str">
        <f t="shared" si="5"/>
        <v>$</v>
      </c>
      <c r="K43" s="2"/>
      <c r="L43" s="78"/>
      <c r="M43" s="78"/>
      <c r="N43" s="78"/>
      <c r="O43" s="78"/>
      <c r="P43" s="78"/>
      <c r="Q43" s="2"/>
      <c r="R43" s="5">
        <f t="shared" si="6"/>
        <v>0</v>
      </c>
      <c r="S43" s="5">
        <f t="shared" si="7"/>
        <v>0</v>
      </c>
      <c r="T43" s="5">
        <f t="shared" si="8"/>
        <v>0</v>
      </c>
      <c r="U43" s="5">
        <f t="shared" si="9"/>
        <v>0</v>
      </c>
      <c r="V43" s="5">
        <f t="shared" si="10"/>
        <v>0</v>
      </c>
      <c r="AA43"/>
    </row>
    <row r="44" spans="1:27" ht="12.75" customHeight="1" x14ac:dyDescent="0.25">
      <c r="A44" s="4"/>
      <c r="C44" s="76"/>
      <c r="D44" s="77"/>
      <c r="E44" s="77"/>
      <c r="F44" s="77"/>
      <c r="G44" s="75"/>
      <c r="H44" s="2"/>
      <c r="I44" s="59" t="str">
        <f>IF(AND($E44="Labour",$F44="IT Labour"),Assumptions!$B$14,
IF(AND($E44="Labour",$F44="IT Specialist"),Assumptions!$B$16,""))</f>
        <v/>
      </c>
      <c r="J44" s="9" t="str">
        <f t="shared" si="5"/>
        <v>$</v>
      </c>
      <c r="K44" s="2"/>
      <c r="L44" s="78"/>
      <c r="M44" s="78"/>
      <c r="N44" s="78"/>
      <c r="O44" s="78"/>
      <c r="P44" s="78"/>
      <c r="Q44" s="2"/>
      <c r="R44" s="5">
        <f t="shared" si="6"/>
        <v>0</v>
      </c>
      <c r="S44" s="5">
        <f t="shared" si="7"/>
        <v>0</v>
      </c>
      <c r="T44" s="5">
        <f t="shared" si="8"/>
        <v>0</v>
      </c>
      <c r="U44" s="5">
        <f t="shared" si="9"/>
        <v>0</v>
      </c>
      <c r="V44" s="5">
        <f t="shared" si="10"/>
        <v>0</v>
      </c>
      <c r="AA44"/>
    </row>
    <row r="45" spans="1:27" ht="12.75" customHeight="1" x14ac:dyDescent="0.25">
      <c r="A45" s="4"/>
      <c r="C45" s="76"/>
      <c r="D45" s="77"/>
      <c r="E45" s="77"/>
      <c r="F45" s="77"/>
      <c r="G45" s="75"/>
      <c r="H45" s="2"/>
      <c r="I45" s="59" t="str">
        <f>IF(AND($E45="Labour",$F45="IT Labour"),Assumptions!$B$14,
IF(AND($E45="Labour",$F45="IT Specialist"),Assumptions!$B$16,""))</f>
        <v/>
      </c>
      <c r="J45" s="9" t="str">
        <f t="shared" si="5"/>
        <v>$</v>
      </c>
      <c r="K45" s="2"/>
      <c r="L45" s="78"/>
      <c r="M45" s="78"/>
      <c r="N45" s="78"/>
      <c r="O45" s="78"/>
      <c r="P45" s="78"/>
      <c r="Q45" s="2"/>
      <c r="R45" s="5">
        <f t="shared" si="6"/>
        <v>0</v>
      </c>
      <c r="S45" s="5">
        <f t="shared" si="7"/>
        <v>0</v>
      </c>
      <c r="T45" s="5">
        <f t="shared" si="8"/>
        <v>0</v>
      </c>
      <c r="U45" s="5">
        <f t="shared" si="9"/>
        <v>0</v>
      </c>
      <c r="V45" s="5">
        <f t="shared" si="10"/>
        <v>0</v>
      </c>
      <c r="AA45"/>
    </row>
    <row r="46" spans="1:27" ht="12.75" customHeight="1" x14ac:dyDescent="0.25">
      <c r="A46" s="4"/>
      <c r="C46" s="76"/>
      <c r="D46" s="77"/>
      <c r="E46" s="77"/>
      <c r="F46" s="77"/>
      <c r="G46" s="75"/>
      <c r="H46" s="2"/>
      <c r="I46" s="59" t="str">
        <f>IF(AND($E46="Labour",$F46="IT Labour"),Assumptions!$B$14,
IF(AND($E46="Labour",$F46="IT Specialist"),Assumptions!$B$16,""))</f>
        <v/>
      </c>
      <c r="J46" s="9" t="str">
        <f t="shared" si="5"/>
        <v>$</v>
      </c>
      <c r="K46" s="2"/>
      <c r="L46" s="78"/>
      <c r="M46" s="78"/>
      <c r="N46" s="78"/>
      <c r="O46" s="78"/>
      <c r="P46" s="78"/>
      <c r="Q46" s="2"/>
      <c r="R46" s="5">
        <f t="shared" si="6"/>
        <v>0</v>
      </c>
      <c r="S46" s="5">
        <f t="shared" si="7"/>
        <v>0</v>
      </c>
      <c r="T46" s="5">
        <f t="shared" si="8"/>
        <v>0</v>
      </c>
      <c r="U46" s="5">
        <f t="shared" si="9"/>
        <v>0</v>
      </c>
      <c r="V46" s="5">
        <f t="shared" si="10"/>
        <v>0</v>
      </c>
      <c r="AA46"/>
    </row>
    <row r="47" spans="1:27" ht="12.75" customHeight="1" x14ac:dyDescent="0.25">
      <c r="A47" s="4"/>
      <c r="C47" s="76"/>
      <c r="D47" s="77"/>
      <c r="E47" s="77"/>
      <c r="F47" s="77"/>
      <c r="G47" s="75"/>
      <c r="H47" s="2"/>
      <c r="I47" s="59" t="str">
        <f>IF(AND($E47="Labour",$F47="IT Labour"),Assumptions!$B$14,
IF(AND($E47="Labour",$F47="IT Specialist"),Assumptions!$B$16,""))</f>
        <v/>
      </c>
      <c r="J47" s="9" t="str">
        <f t="shared" si="5"/>
        <v>$</v>
      </c>
      <c r="K47" s="2"/>
      <c r="L47" s="78"/>
      <c r="M47" s="78"/>
      <c r="N47" s="78"/>
      <c r="O47" s="78"/>
      <c r="P47" s="78"/>
      <c r="Q47" s="2"/>
      <c r="R47" s="5">
        <f t="shared" si="6"/>
        <v>0</v>
      </c>
      <c r="S47" s="5">
        <f t="shared" si="7"/>
        <v>0</v>
      </c>
      <c r="T47" s="5">
        <f t="shared" si="8"/>
        <v>0</v>
      </c>
      <c r="U47" s="5">
        <f t="shared" si="9"/>
        <v>0</v>
      </c>
      <c r="V47" s="5">
        <f t="shared" si="10"/>
        <v>0</v>
      </c>
      <c r="AA47"/>
    </row>
    <row r="48" spans="1:27" ht="12.75" customHeight="1" x14ac:dyDescent="0.25">
      <c r="A48" s="4"/>
      <c r="C48" s="76"/>
      <c r="D48" s="77"/>
      <c r="E48" s="77"/>
      <c r="F48" s="77"/>
      <c r="G48" s="75"/>
      <c r="H48" s="2"/>
      <c r="I48" s="59" t="str">
        <f>IF(AND($E48="Labour",$F48="IT Labour"),Assumptions!$B$14,
IF(AND($E48="Labour",$F48="IT Specialist"),Assumptions!$B$16,""))</f>
        <v/>
      </c>
      <c r="J48" s="9" t="str">
        <f t="shared" si="5"/>
        <v>$</v>
      </c>
      <c r="K48" s="2"/>
      <c r="L48" s="78"/>
      <c r="M48" s="78"/>
      <c r="N48" s="78"/>
      <c r="O48" s="78"/>
      <c r="P48" s="78"/>
      <c r="Q48" s="2"/>
      <c r="R48" s="5">
        <f t="shared" si="6"/>
        <v>0</v>
      </c>
      <c r="S48" s="5">
        <f t="shared" si="7"/>
        <v>0</v>
      </c>
      <c r="T48" s="5">
        <f t="shared" si="8"/>
        <v>0</v>
      </c>
      <c r="U48" s="5">
        <f t="shared" si="9"/>
        <v>0</v>
      </c>
      <c r="V48" s="5">
        <f t="shared" si="10"/>
        <v>0</v>
      </c>
      <c r="AA48"/>
    </row>
    <row r="49" spans="1:27" ht="12.75" customHeight="1" x14ac:dyDescent="0.25">
      <c r="A49" s="4"/>
      <c r="C49" s="76"/>
      <c r="D49" s="77"/>
      <c r="E49" s="77"/>
      <c r="F49" s="77"/>
      <c r="G49" s="75"/>
      <c r="H49" s="2"/>
      <c r="I49" s="59" t="str">
        <f>IF(AND($E49="Labour",$F49="IT Labour"),Assumptions!$B$14,
IF(AND($E49="Labour",$F49="IT Specialist"),Assumptions!$B$16,""))</f>
        <v/>
      </c>
      <c r="J49" s="9" t="str">
        <f t="shared" si="5"/>
        <v>$</v>
      </c>
      <c r="K49" s="2"/>
      <c r="L49" s="78"/>
      <c r="M49" s="78"/>
      <c r="N49" s="78"/>
      <c r="O49" s="78"/>
      <c r="P49" s="78"/>
      <c r="Q49" s="2"/>
      <c r="R49" s="5">
        <f t="shared" si="6"/>
        <v>0</v>
      </c>
      <c r="S49" s="5">
        <f t="shared" si="7"/>
        <v>0</v>
      </c>
      <c r="T49" s="5">
        <f t="shared" si="8"/>
        <v>0</v>
      </c>
      <c r="U49" s="5">
        <f t="shared" si="9"/>
        <v>0</v>
      </c>
      <c r="V49" s="5">
        <f t="shared" si="10"/>
        <v>0</v>
      </c>
      <c r="AA49"/>
    </row>
    <row r="50" spans="1:27" ht="12.75" customHeight="1" x14ac:dyDescent="0.25">
      <c r="A50" s="4"/>
      <c r="C50" s="76"/>
      <c r="D50" s="77"/>
      <c r="E50" s="77"/>
      <c r="F50" s="77"/>
      <c r="G50" s="75"/>
      <c r="H50" s="2"/>
      <c r="I50" s="59" t="str">
        <f>IF(AND($E50="Labour",$F50="IT Labour"),Assumptions!$B$14,
IF(AND($E50="Labour",$F50="IT Specialist"),Assumptions!$B$16,""))</f>
        <v/>
      </c>
      <c r="J50" s="9" t="str">
        <f t="shared" si="5"/>
        <v>$</v>
      </c>
      <c r="K50" s="2"/>
      <c r="L50" s="78"/>
      <c r="M50" s="78"/>
      <c r="N50" s="78"/>
      <c r="O50" s="78"/>
      <c r="P50" s="78"/>
      <c r="Q50" s="2"/>
      <c r="R50" s="5">
        <f t="shared" si="6"/>
        <v>0</v>
      </c>
      <c r="S50" s="5">
        <f t="shared" si="7"/>
        <v>0</v>
      </c>
      <c r="T50" s="5">
        <f t="shared" si="8"/>
        <v>0</v>
      </c>
      <c r="U50" s="5">
        <f t="shared" si="9"/>
        <v>0</v>
      </c>
      <c r="V50" s="5">
        <f t="shared" si="10"/>
        <v>0</v>
      </c>
      <c r="AA50"/>
    </row>
    <row r="51" spans="1:27" ht="12.75" customHeight="1" x14ac:dyDescent="0.25">
      <c r="A51" s="4"/>
      <c r="C51" s="76"/>
      <c r="D51" s="77"/>
      <c r="E51" s="77"/>
      <c r="F51" s="77"/>
      <c r="G51" s="75"/>
      <c r="H51" s="2"/>
      <c r="I51" s="59" t="str">
        <f>IF(AND($E51="Labour",$F51="IT Labour"),Assumptions!$B$14,
IF(AND($E51="Labour",$F51="IT Specialist"),Assumptions!$B$16,""))</f>
        <v/>
      </c>
      <c r="J51" s="9" t="str">
        <f t="shared" si="5"/>
        <v>$</v>
      </c>
      <c r="K51" s="2"/>
      <c r="L51" s="78"/>
      <c r="M51" s="78"/>
      <c r="N51" s="78"/>
      <c r="O51" s="78"/>
      <c r="P51" s="78"/>
      <c r="Q51" s="2"/>
      <c r="R51" s="5">
        <f t="shared" si="6"/>
        <v>0</v>
      </c>
      <c r="S51" s="5">
        <f t="shared" si="7"/>
        <v>0</v>
      </c>
      <c r="T51" s="5">
        <f t="shared" si="8"/>
        <v>0</v>
      </c>
      <c r="U51" s="5">
        <f t="shared" si="9"/>
        <v>0</v>
      </c>
      <c r="V51" s="5">
        <f t="shared" si="10"/>
        <v>0</v>
      </c>
      <c r="AA51"/>
    </row>
    <row r="52" spans="1:27" ht="12.75" customHeight="1" x14ac:dyDescent="0.25">
      <c r="A52" s="4"/>
      <c r="C52" s="76"/>
      <c r="D52" s="77"/>
      <c r="E52" s="77"/>
      <c r="F52" s="77"/>
      <c r="G52" s="75"/>
      <c r="H52" s="2"/>
      <c r="I52" s="59" t="str">
        <f>IF(AND($E52="Labour",$F52="IT Labour"),Assumptions!$B$14,
IF(AND($E52="Labour",$F52="IT Specialist"),Assumptions!$B$16,""))</f>
        <v/>
      </c>
      <c r="J52" s="9" t="str">
        <f t="shared" si="5"/>
        <v>$</v>
      </c>
      <c r="K52" s="2"/>
      <c r="L52" s="78"/>
      <c r="M52" s="78"/>
      <c r="N52" s="78"/>
      <c r="O52" s="78"/>
      <c r="P52" s="78"/>
      <c r="Q52" s="2"/>
      <c r="R52" s="5">
        <f t="shared" si="6"/>
        <v>0</v>
      </c>
      <c r="S52" s="5">
        <f t="shared" si="7"/>
        <v>0</v>
      </c>
      <c r="T52" s="5">
        <f t="shared" si="8"/>
        <v>0</v>
      </c>
      <c r="U52" s="5">
        <f t="shared" si="9"/>
        <v>0</v>
      </c>
      <c r="V52" s="5">
        <f t="shared" si="10"/>
        <v>0</v>
      </c>
      <c r="AA52"/>
    </row>
    <row r="53" spans="1:27" ht="12.75" customHeight="1" x14ac:dyDescent="0.25">
      <c r="A53" s="4"/>
      <c r="C53" s="76"/>
      <c r="D53" s="77"/>
      <c r="E53" s="77"/>
      <c r="F53" s="77"/>
      <c r="G53" s="75"/>
      <c r="H53" s="2"/>
      <c r="I53" s="59" t="str">
        <f>IF(AND($E53="Labour",$F53="IT Labour"),Assumptions!$B$14,
IF(AND($E53="Labour",$F53="IT Specialist"),Assumptions!$B$16,""))</f>
        <v/>
      </c>
      <c r="J53" s="9" t="str">
        <f t="shared" si="5"/>
        <v>$</v>
      </c>
      <c r="K53" s="2"/>
      <c r="L53" s="78"/>
      <c r="M53" s="78"/>
      <c r="N53" s="78"/>
      <c r="O53" s="78"/>
      <c r="P53" s="78"/>
      <c r="Q53" s="2"/>
      <c r="R53" s="5">
        <f t="shared" si="6"/>
        <v>0</v>
      </c>
      <c r="S53" s="5">
        <f t="shared" si="7"/>
        <v>0</v>
      </c>
      <c r="T53" s="5">
        <f t="shared" si="8"/>
        <v>0</v>
      </c>
      <c r="U53" s="5">
        <f t="shared" si="9"/>
        <v>0</v>
      </c>
      <c r="V53" s="5">
        <f t="shared" si="10"/>
        <v>0</v>
      </c>
      <c r="AA53"/>
    </row>
    <row r="54" spans="1:27" ht="12.75" customHeight="1" x14ac:dyDescent="0.25">
      <c r="A54" s="4"/>
      <c r="C54" s="76"/>
      <c r="D54" s="77"/>
      <c r="E54" s="77"/>
      <c r="F54" s="77"/>
      <c r="G54" s="75"/>
      <c r="H54" s="2"/>
      <c r="I54" s="59" t="str">
        <f>IF(AND($E54="Labour",$F54="IT Labour"),Assumptions!$B$14,
IF(AND($E54="Labour",$F54="IT Specialist"),Assumptions!$B$16,""))</f>
        <v/>
      </c>
      <c r="J54" s="9" t="str">
        <f t="shared" si="5"/>
        <v>$</v>
      </c>
      <c r="K54" s="2"/>
      <c r="L54" s="78"/>
      <c r="M54" s="78"/>
      <c r="N54" s="78"/>
      <c r="O54" s="78"/>
      <c r="P54" s="78"/>
      <c r="Q54" s="2"/>
      <c r="R54" s="5">
        <f t="shared" si="6"/>
        <v>0</v>
      </c>
      <c r="S54" s="5">
        <f t="shared" si="7"/>
        <v>0</v>
      </c>
      <c r="T54" s="5">
        <f t="shared" si="8"/>
        <v>0</v>
      </c>
      <c r="U54" s="5">
        <f t="shared" si="9"/>
        <v>0</v>
      </c>
      <c r="V54" s="5">
        <f t="shared" si="10"/>
        <v>0</v>
      </c>
      <c r="AA54"/>
    </row>
    <row r="55" spans="1:27" ht="12.75" customHeight="1" x14ac:dyDescent="0.25">
      <c r="A55" s="4"/>
      <c r="C55" s="76"/>
      <c r="D55" s="77"/>
      <c r="E55" s="77"/>
      <c r="F55" s="77"/>
      <c r="G55" s="75"/>
      <c r="H55" s="2"/>
      <c r="I55" s="59" t="str">
        <f>IF(AND($E55="Labour",$F55="IT Labour"),Assumptions!$B$14,
IF(AND($E55="Labour",$F55="IT Specialist"),Assumptions!$B$16,""))</f>
        <v/>
      </c>
      <c r="J55" s="9" t="str">
        <f t="shared" si="5"/>
        <v>$</v>
      </c>
      <c r="K55" s="2"/>
      <c r="L55" s="78"/>
      <c r="M55" s="78"/>
      <c r="N55" s="78"/>
      <c r="O55" s="78"/>
      <c r="P55" s="78"/>
      <c r="Q55" s="2"/>
      <c r="R55" s="5">
        <f t="shared" si="6"/>
        <v>0</v>
      </c>
      <c r="S55" s="5">
        <f t="shared" si="7"/>
        <v>0</v>
      </c>
      <c r="T55" s="5">
        <f t="shared" si="8"/>
        <v>0</v>
      </c>
      <c r="U55" s="5">
        <f t="shared" si="9"/>
        <v>0</v>
      </c>
      <c r="V55" s="5">
        <f t="shared" si="10"/>
        <v>0</v>
      </c>
      <c r="AA55"/>
    </row>
    <row r="56" spans="1:27" ht="12.75" customHeight="1" x14ac:dyDescent="0.25">
      <c r="A56" s="4"/>
      <c r="C56" s="76"/>
      <c r="D56" s="77"/>
      <c r="E56" s="77"/>
      <c r="F56" s="77"/>
      <c r="G56" s="75"/>
      <c r="H56" s="2"/>
      <c r="I56" s="59" t="str">
        <f>IF(AND($E56="Labour",$F56="IT Labour"),Assumptions!$B$14,
IF(AND($E56="Labour",$F56="IT Specialist"),Assumptions!$B$16,""))</f>
        <v/>
      </c>
      <c r="J56" s="9" t="str">
        <f t="shared" si="5"/>
        <v>$</v>
      </c>
      <c r="K56" s="2"/>
      <c r="L56" s="78"/>
      <c r="M56" s="78"/>
      <c r="N56" s="78"/>
      <c r="O56" s="78"/>
      <c r="P56" s="78"/>
      <c r="Q56" s="2"/>
      <c r="R56" s="5">
        <f t="shared" si="6"/>
        <v>0</v>
      </c>
      <c r="S56" s="5">
        <f t="shared" si="7"/>
        <v>0</v>
      </c>
      <c r="T56" s="5">
        <f t="shared" si="8"/>
        <v>0</v>
      </c>
      <c r="U56" s="5">
        <f t="shared" si="9"/>
        <v>0</v>
      </c>
      <c r="V56" s="5">
        <f t="shared" si="10"/>
        <v>0</v>
      </c>
      <c r="AA56"/>
    </row>
    <row r="57" spans="1:27" ht="12.75" customHeight="1" x14ac:dyDescent="0.25">
      <c r="A57" s="4"/>
      <c r="C57" s="76"/>
      <c r="D57" s="77"/>
      <c r="E57" s="77"/>
      <c r="F57" s="77"/>
      <c r="G57" s="75"/>
      <c r="H57" s="2"/>
      <c r="I57" s="59" t="str">
        <f>IF(AND($E57="Labour",$F57="IT Labour"),Assumptions!$B$14,
IF(AND($E57="Labour",$F57="IT Specialist"),Assumptions!$B$16,""))</f>
        <v/>
      </c>
      <c r="J57" s="9" t="str">
        <f t="shared" si="5"/>
        <v>$</v>
      </c>
      <c r="K57" s="2"/>
      <c r="L57" s="78"/>
      <c r="M57" s="78"/>
      <c r="N57" s="78"/>
      <c r="O57" s="78"/>
      <c r="P57" s="78"/>
      <c r="Q57" s="2"/>
      <c r="R57" s="5">
        <f t="shared" si="6"/>
        <v>0</v>
      </c>
      <c r="S57" s="5">
        <f t="shared" si="7"/>
        <v>0</v>
      </c>
      <c r="T57" s="5">
        <f t="shared" si="8"/>
        <v>0</v>
      </c>
      <c r="U57" s="5">
        <f t="shared" si="9"/>
        <v>0</v>
      </c>
      <c r="V57" s="5">
        <f t="shared" si="10"/>
        <v>0</v>
      </c>
      <c r="AA57"/>
    </row>
    <row r="58" spans="1:27" ht="12.75" customHeight="1" x14ac:dyDescent="0.25">
      <c r="A58" s="4"/>
      <c r="C58" s="76"/>
      <c r="D58" s="77"/>
      <c r="E58" s="77"/>
      <c r="F58" s="77"/>
      <c r="G58" s="75"/>
      <c r="H58" s="2"/>
      <c r="I58" s="59" t="str">
        <f>IF(AND($E58="Labour",$F58="IT Labour"),Assumptions!$B$14,
IF(AND($E58="Labour",$F58="IT Specialist"),Assumptions!$B$16,""))</f>
        <v/>
      </c>
      <c r="J58" s="9" t="str">
        <f t="shared" si="5"/>
        <v>$</v>
      </c>
      <c r="K58" s="2"/>
      <c r="L58" s="78"/>
      <c r="M58" s="78"/>
      <c r="N58" s="78"/>
      <c r="O58" s="78"/>
      <c r="P58" s="78"/>
      <c r="Q58" s="2"/>
      <c r="R58" s="5">
        <f t="shared" si="6"/>
        <v>0</v>
      </c>
      <c r="S58" s="5">
        <f t="shared" si="7"/>
        <v>0</v>
      </c>
      <c r="T58" s="5">
        <f t="shared" si="8"/>
        <v>0</v>
      </c>
      <c r="U58" s="5">
        <f t="shared" si="9"/>
        <v>0</v>
      </c>
      <c r="V58" s="5">
        <f t="shared" si="10"/>
        <v>0</v>
      </c>
      <c r="AA58"/>
    </row>
    <row r="59" spans="1:27" ht="12.75" customHeight="1" x14ac:dyDescent="0.25">
      <c r="A59" s="4"/>
      <c r="C59" s="76"/>
      <c r="D59" s="77"/>
      <c r="E59" s="77"/>
      <c r="F59" s="77"/>
      <c r="G59" s="75"/>
      <c r="H59" s="2"/>
      <c r="I59" s="59" t="str">
        <f>IF(AND($E59="Labour",$F59="IT Labour"),Assumptions!$B$14,
IF(AND($E59="Labour",$F59="IT Specialist"),Assumptions!$B$16,""))</f>
        <v/>
      </c>
      <c r="J59" s="9" t="str">
        <f t="shared" si="5"/>
        <v>$</v>
      </c>
      <c r="K59" s="2"/>
      <c r="L59" s="78"/>
      <c r="M59" s="78"/>
      <c r="N59" s="78"/>
      <c r="O59" s="78"/>
      <c r="P59" s="78"/>
      <c r="Q59" s="2"/>
      <c r="R59" s="5">
        <f t="shared" si="6"/>
        <v>0</v>
      </c>
      <c r="S59" s="5">
        <f t="shared" si="7"/>
        <v>0</v>
      </c>
      <c r="T59" s="5">
        <f t="shared" si="8"/>
        <v>0</v>
      </c>
      <c r="U59" s="5">
        <f t="shared" si="9"/>
        <v>0</v>
      </c>
      <c r="V59" s="5">
        <f t="shared" si="10"/>
        <v>0</v>
      </c>
      <c r="AA59"/>
    </row>
    <row r="60" spans="1:27" ht="12.75" customHeight="1" x14ac:dyDescent="0.25">
      <c r="A60" s="4"/>
      <c r="C60" s="76"/>
      <c r="D60" s="77"/>
      <c r="E60" s="77"/>
      <c r="F60" s="77"/>
      <c r="G60" s="75"/>
      <c r="H60" s="2"/>
      <c r="I60" s="59" t="str">
        <f>IF(AND($E60="Labour",$F60="IT Labour"),Assumptions!$B$14,
IF(AND($E60="Labour",$F60="IT Specialist"),Assumptions!$B$16,""))</f>
        <v/>
      </c>
      <c r="J60" s="9" t="str">
        <f t="shared" si="5"/>
        <v>$</v>
      </c>
      <c r="K60" s="2"/>
      <c r="L60" s="78"/>
      <c r="M60" s="78"/>
      <c r="N60" s="78"/>
      <c r="O60" s="78"/>
      <c r="P60" s="78"/>
      <c r="Q60" s="2"/>
      <c r="R60" s="5">
        <f t="shared" si="6"/>
        <v>0</v>
      </c>
      <c r="S60" s="5">
        <f t="shared" si="7"/>
        <v>0</v>
      </c>
      <c r="T60" s="5">
        <f t="shared" si="8"/>
        <v>0</v>
      </c>
      <c r="U60" s="5">
        <f t="shared" si="9"/>
        <v>0</v>
      </c>
      <c r="V60" s="5">
        <f t="shared" si="10"/>
        <v>0</v>
      </c>
      <c r="AA60"/>
    </row>
    <row r="61" spans="1:27" ht="12.75" customHeight="1" x14ac:dyDescent="0.25">
      <c r="A61" s="4"/>
      <c r="C61" s="76"/>
      <c r="D61" s="77"/>
      <c r="E61" s="77"/>
      <c r="F61" s="77"/>
      <c r="G61" s="75"/>
      <c r="H61" s="2"/>
      <c r="I61" s="59" t="str">
        <f>IF(AND($E61="Labour",$F61="IT Labour"),Assumptions!$B$14,
IF(AND($E61="Labour",$F61="IT Specialist"),Assumptions!$B$16,""))</f>
        <v/>
      </c>
      <c r="J61" s="9" t="str">
        <f t="shared" si="5"/>
        <v>$</v>
      </c>
      <c r="K61" s="2"/>
      <c r="L61" s="78"/>
      <c r="M61" s="78"/>
      <c r="N61" s="78"/>
      <c r="O61" s="78"/>
      <c r="P61" s="78"/>
      <c r="Q61" s="2"/>
      <c r="R61" s="5">
        <f t="shared" si="6"/>
        <v>0</v>
      </c>
      <c r="S61" s="5">
        <f t="shared" si="7"/>
        <v>0</v>
      </c>
      <c r="T61" s="5">
        <f t="shared" si="8"/>
        <v>0</v>
      </c>
      <c r="U61" s="5">
        <f t="shared" si="9"/>
        <v>0</v>
      </c>
      <c r="V61" s="5">
        <f t="shared" si="10"/>
        <v>0</v>
      </c>
      <c r="AA61"/>
    </row>
    <row r="62" spans="1:27" ht="12.75" customHeight="1" x14ac:dyDescent="0.25">
      <c r="A62" s="4"/>
      <c r="C62" s="76"/>
      <c r="D62" s="77"/>
      <c r="E62" s="77"/>
      <c r="F62" s="77"/>
      <c r="G62" s="75"/>
      <c r="H62" s="2"/>
      <c r="I62" s="59" t="str">
        <f>IF(AND($E62="Labour",$F62="IT Labour"),Assumptions!$B$14,
IF(AND($E62="Labour",$F62="IT Specialist"),Assumptions!$B$16,""))</f>
        <v/>
      </c>
      <c r="J62" s="9" t="str">
        <f t="shared" si="5"/>
        <v>$</v>
      </c>
      <c r="K62" s="2"/>
      <c r="L62" s="78"/>
      <c r="M62" s="78"/>
      <c r="N62" s="78"/>
      <c r="O62" s="78"/>
      <c r="P62" s="78"/>
      <c r="Q62" s="2"/>
      <c r="R62" s="5">
        <f t="shared" si="6"/>
        <v>0</v>
      </c>
      <c r="S62" s="5">
        <f t="shared" si="7"/>
        <v>0</v>
      </c>
      <c r="T62" s="5">
        <f t="shared" si="8"/>
        <v>0</v>
      </c>
      <c r="U62" s="5">
        <f t="shared" si="9"/>
        <v>0</v>
      </c>
      <c r="V62" s="5">
        <f t="shared" si="10"/>
        <v>0</v>
      </c>
      <c r="AA62"/>
    </row>
    <row r="63" spans="1:27" ht="12.75" customHeight="1" x14ac:dyDescent="0.25">
      <c r="A63" s="4"/>
      <c r="C63" s="76"/>
      <c r="D63" s="77"/>
      <c r="E63" s="77"/>
      <c r="F63" s="77"/>
      <c r="G63" s="75"/>
      <c r="H63" s="2"/>
      <c r="I63" s="59" t="str">
        <f>IF(AND($E63="Labour",$F63="IT Labour"),Assumptions!$B$14,
IF(AND($E63="Labour",$F63="IT Specialist"),Assumptions!$B$16,""))</f>
        <v/>
      </c>
      <c r="J63" s="9" t="str">
        <f t="shared" si="5"/>
        <v>$</v>
      </c>
      <c r="K63" s="2"/>
      <c r="L63" s="78"/>
      <c r="M63" s="78"/>
      <c r="N63" s="78"/>
      <c r="O63" s="78"/>
      <c r="P63" s="78"/>
      <c r="Q63" s="2"/>
      <c r="R63" s="5">
        <f t="shared" si="6"/>
        <v>0</v>
      </c>
      <c r="S63" s="5">
        <f t="shared" si="7"/>
        <v>0</v>
      </c>
      <c r="T63" s="5">
        <f t="shared" si="8"/>
        <v>0</v>
      </c>
      <c r="U63" s="5">
        <f t="shared" si="9"/>
        <v>0</v>
      </c>
      <c r="V63" s="5">
        <f t="shared" si="10"/>
        <v>0</v>
      </c>
      <c r="AA63"/>
    </row>
    <row r="64" spans="1:27" ht="12.75" customHeight="1" x14ac:dyDescent="0.2">
      <c r="A64" s="4"/>
      <c r="C64" s="76"/>
      <c r="D64" s="77"/>
      <c r="E64" s="77"/>
      <c r="F64" s="77"/>
      <c r="G64" s="75"/>
      <c r="I64" s="59" t="str">
        <f>IF(AND($E64="Labour",$F64="IT Labour"),Assumptions!$B$14,
IF(AND($E64="Labour",$F64="IT Specialist"),Assumptions!$B$16,""))</f>
        <v/>
      </c>
      <c r="J64" s="9" t="str">
        <f t="shared" si="5"/>
        <v>$</v>
      </c>
      <c r="L64" s="78"/>
      <c r="M64" s="78"/>
      <c r="N64" s="78"/>
      <c r="O64" s="78"/>
      <c r="P64" s="78"/>
      <c r="R64" s="5">
        <f t="shared" si="6"/>
        <v>0</v>
      </c>
      <c r="S64" s="5">
        <f t="shared" si="7"/>
        <v>0</v>
      </c>
      <c r="T64" s="5">
        <f t="shared" si="8"/>
        <v>0</v>
      </c>
      <c r="U64" s="5">
        <f t="shared" si="9"/>
        <v>0</v>
      </c>
      <c r="V64" s="5">
        <f t="shared" si="10"/>
        <v>0</v>
      </c>
    </row>
    <row r="65" spans="1:27" ht="12.75" customHeight="1" x14ac:dyDescent="0.2">
      <c r="A65" s="4"/>
      <c r="C65" s="76"/>
      <c r="D65" s="77"/>
      <c r="E65" s="77"/>
      <c r="F65" s="77"/>
      <c r="G65" s="75"/>
      <c r="I65" s="59" t="str">
        <f>IF(AND($E65="Labour",$F65="IT Labour"),Assumptions!$B$14,
IF(AND($E65="Labour",$F65="IT Specialist"),Assumptions!$B$16,""))</f>
        <v/>
      </c>
      <c r="J65" s="9" t="str">
        <f t="shared" si="5"/>
        <v>$</v>
      </c>
      <c r="L65" s="78"/>
      <c r="M65" s="78"/>
      <c r="N65" s="78"/>
      <c r="O65" s="78"/>
      <c r="P65" s="78"/>
      <c r="R65" s="5">
        <f t="shared" si="6"/>
        <v>0</v>
      </c>
      <c r="S65" s="5">
        <f t="shared" si="7"/>
        <v>0</v>
      </c>
      <c r="T65" s="5">
        <f t="shared" si="8"/>
        <v>0</v>
      </c>
      <c r="U65" s="5">
        <f t="shared" si="9"/>
        <v>0</v>
      </c>
      <c r="V65" s="5">
        <f t="shared" si="10"/>
        <v>0</v>
      </c>
    </row>
    <row r="66" spans="1:27" ht="12.75" customHeight="1" x14ac:dyDescent="0.2">
      <c r="A66" s="4"/>
      <c r="C66" s="76"/>
      <c r="D66" s="77"/>
      <c r="E66" s="77"/>
      <c r="F66" s="77"/>
      <c r="G66" s="75"/>
      <c r="I66" s="59" t="str">
        <f>IF(AND($E66="Labour",$F66="IT Labour"),Assumptions!$B$14,
IF(AND($E66="Labour",$F66="IT Specialist"),Assumptions!$B$16,""))</f>
        <v/>
      </c>
      <c r="J66" s="9" t="str">
        <f t="shared" si="5"/>
        <v>$</v>
      </c>
      <c r="L66" s="78"/>
      <c r="M66" s="78"/>
      <c r="N66" s="78"/>
      <c r="O66" s="78"/>
      <c r="P66" s="78"/>
      <c r="R66" s="5">
        <f t="shared" si="6"/>
        <v>0</v>
      </c>
      <c r="S66" s="5">
        <f t="shared" si="7"/>
        <v>0</v>
      </c>
      <c r="T66" s="5">
        <f t="shared" si="8"/>
        <v>0</v>
      </c>
      <c r="U66" s="5">
        <f t="shared" si="9"/>
        <v>0</v>
      </c>
      <c r="V66" s="5">
        <f t="shared" si="10"/>
        <v>0</v>
      </c>
    </row>
    <row r="67" spans="1:27" ht="12.75" customHeight="1" x14ac:dyDescent="0.2">
      <c r="A67" s="4"/>
      <c r="C67" s="76"/>
      <c r="D67" s="77"/>
      <c r="E67" s="77"/>
      <c r="F67" s="77"/>
      <c r="G67" s="75"/>
      <c r="I67" s="59" t="str">
        <f>IF(AND($E67="Labour",$F67="IT Labour"),Assumptions!$B$14,
IF(AND($E67="Labour",$F67="IT Specialist"),Assumptions!$B$16,""))</f>
        <v/>
      </c>
      <c r="J67" s="9" t="str">
        <f t="shared" si="5"/>
        <v>$</v>
      </c>
      <c r="L67" s="78"/>
      <c r="M67" s="78"/>
      <c r="N67" s="78"/>
      <c r="O67" s="78"/>
      <c r="P67" s="78"/>
      <c r="R67" s="5">
        <f t="shared" si="6"/>
        <v>0</v>
      </c>
      <c r="S67" s="5">
        <f t="shared" si="7"/>
        <v>0</v>
      </c>
      <c r="T67" s="5">
        <f t="shared" si="8"/>
        <v>0</v>
      </c>
      <c r="U67" s="5">
        <f t="shared" si="9"/>
        <v>0</v>
      </c>
      <c r="V67" s="5">
        <f t="shared" si="10"/>
        <v>0</v>
      </c>
    </row>
    <row r="68" spans="1:27" ht="12.75" customHeight="1" x14ac:dyDescent="0.2">
      <c r="A68" s="4"/>
      <c r="C68" s="76"/>
      <c r="D68" s="77"/>
      <c r="E68" s="77"/>
      <c r="F68" s="77"/>
      <c r="G68" s="75"/>
      <c r="I68" s="59" t="str">
        <f>IF(AND($E68="Labour",$F68="IT Labour"),Assumptions!$B$14,
IF(AND($E68="Labour",$F68="IT Specialist"),Assumptions!$B$16,""))</f>
        <v/>
      </c>
      <c r="J68" s="9" t="str">
        <f t="shared" si="5"/>
        <v>$</v>
      </c>
      <c r="L68" s="78"/>
      <c r="M68" s="78"/>
      <c r="N68" s="78"/>
      <c r="O68" s="78"/>
      <c r="P68" s="78"/>
      <c r="R68" s="5">
        <f t="shared" si="6"/>
        <v>0</v>
      </c>
      <c r="S68" s="5">
        <f t="shared" si="7"/>
        <v>0</v>
      </c>
      <c r="T68" s="5">
        <f t="shared" si="8"/>
        <v>0</v>
      </c>
      <c r="U68" s="5">
        <f t="shared" si="9"/>
        <v>0</v>
      </c>
      <c r="V68" s="5">
        <f t="shared" si="10"/>
        <v>0</v>
      </c>
    </row>
    <row r="69" spans="1:27" ht="12.75" customHeight="1" x14ac:dyDescent="0.2">
      <c r="A69" s="4"/>
      <c r="C69" s="76"/>
      <c r="D69" s="77"/>
      <c r="E69" s="77"/>
      <c r="F69" s="77"/>
      <c r="G69" s="75"/>
      <c r="I69" s="59" t="str">
        <f>IF(AND($E69="Labour",$F69="IT Labour"),Assumptions!$B$14,
IF(AND($E69="Labour",$F69="IT Specialist"),Assumptions!$B$16,""))</f>
        <v/>
      </c>
      <c r="J69" s="9" t="str">
        <f t="shared" si="5"/>
        <v>$</v>
      </c>
      <c r="L69" s="78"/>
      <c r="M69" s="78"/>
      <c r="N69" s="78"/>
      <c r="O69" s="78"/>
      <c r="P69" s="78"/>
      <c r="R69" s="5">
        <f t="shared" si="6"/>
        <v>0</v>
      </c>
      <c r="S69" s="5">
        <f t="shared" si="7"/>
        <v>0</v>
      </c>
      <c r="T69" s="5">
        <f t="shared" si="8"/>
        <v>0</v>
      </c>
      <c r="U69" s="5">
        <f t="shared" si="9"/>
        <v>0</v>
      </c>
      <c r="V69" s="5">
        <f t="shared" si="10"/>
        <v>0</v>
      </c>
    </row>
    <row r="70" spans="1:27" ht="12.75" customHeight="1" x14ac:dyDescent="0.2">
      <c r="A70" s="4"/>
      <c r="C70" s="76"/>
      <c r="D70" s="77"/>
      <c r="E70" s="77"/>
      <c r="F70" s="77"/>
      <c r="G70" s="75"/>
      <c r="I70" s="59" t="str">
        <f>IF(AND($E70="Labour",$F70="IT Labour"),Assumptions!$B$14,
IF(AND($E70="Labour",$F70="IT Specialist"),Assumptions!$B$16,""))</f>
        <v/>
      </c>
      <c r="J70" s="9" t="str">
        <f t="shared" si="5"/>
        <v>$</v>
      </c>
      <c r="L70" s="78"/>
      <c r="M70" s="78"/>
      <c r="N70" s="78"/>
      <c r="O70" s="78"/>
      <c r="P70" s="78"/>
      <c r="R70" s="5">
        <f t="shared" si="6"/>
        <v>0</v>
      </c>
      <c r="S70" s="5">
        <f t="shared" si="7"/>
        <v>0</v>
      </c>
      <c r="T70" s="5">
        <f t="shared" si="8"/>
        <v>0</v>
      </c>
      <c r="U70" s="5">
        <f t="shared" si="9"/>
        <v>0</v>
      </c>
      <c r="V70" s="5">
        <f t="shared" si="10"/>
        <v>0</v>
      </c>
    </row>
    <row r="71" spans="1:27" ht="12.75" customHeight="1" x14ac:dyDescent="0.25">
      <c r="H71" s="2"/>
      <c r="K71" s="2"/>
      <c r="Q71" s="2"/>
      <c r="AA71"/>
    </row>
    <row r="72" spans="1:27" ht="12.75" customHeight="1" x14ac:dyDescent="0.25">
      <c r="H72" s="2"/>
      <c r="K72" s="2"/>
      <c r="Q72" s="2"/>
      <c r="AA72"/>
    </row>
    <row r="73" spans="1:27" ht="12.75" customHeight="1" x14ac:dyDescent="0.25">
      <c r="C73" s="3" t="s">
        <v>54</v>
      </c>
      <c r="H73" s="2"/>
      <c r="K73" s="2"/>
      <c r="Q73" s="2"/>
      <c r="R73" s="64" t="s">
        <v>6</v>
      </c>
      <c r="S73" s="64" t="s">
        <v>7</v>
      </c>
      <c r="T73" s="64" t="s">
        <v>8</v>
      </c>
      <c r="U73" s="64" t="s">
        <v>9</v>
      </c>
      <c r="V73" s="64" t="s">
        <v>10</v>
      </c>
      <c r="W73" s="64" t="s">
        <v>0</v>
      </c>
      <c r="AA73"/>
    </row>
    <row r="74" spans="1:27" ht="12.75" customHeight="1" x14ac:dyDescent="0.2">
      <c r="C74" s="24" t="s">
        <v>11</v>
      </c>
      <c r="D74" s="24" t="s">
        <v>53</v>
      </c>
      <c r="E74" s="24"/>
      <c r="F74" s="24"/>
      <c r="G74" s="24" t="s">
        <v>1</v>
      </c>
      <c r="H74" s="2"/>
      <c r="I74" s="61"/>
      <c r="J74" s="62"/>
      <c r="K74" s="2"/>
      <c r="L74" s="24"/>
      <c r="M74" s="24"/>
      <c r="N74" s="24"/>
      <c r="O74" s="24"/>
      <c r="P74" s="24"/>
      <c r="Q74" s="2"/>
      <c r="R74" s="25">
        <f t="shared" ref="R74:V79" si="11">SUMIFS(R$10:R$70,$E$10:$E$70,$C74,$D$10:$D$70,$D74,$G$10:$G$70,$G74)</f>
        <v>3927730.2304570833</v>
      </c>
      <c r="S74" s="25">
        <f t="shared" si="11"/>
        <v>3592006.6497914856</v>
      </c>
      <c r="T74" s="25">
        <f t="shared" si="11"/>
        <v>1659370.2976208813</v>
      </c>
      <c r="U74" s="25">
        <f t="shared" si="11"/>
        <v>412140.05854211334</v>
      </c>
      <c r="V74" s="25">
        <f t="shared" si="11"/>
        <v>445136.68198580667</v>
      </c>
      <c r="W74" s="66">
        <f>SUM(R74:V74)</f>
        <v>10036383.918397371</v>
      </c>
    </row>
    <row r="75" spans="1:27" ht="12.75" customHeight="1" x14ac:dyDescent="0.2">
      <c r="C75" s="1" t="s">
        <v>12</v>
      </c>
      <c r="D75" s="1" t="s">
        <v>53</v>
      </c>
      <c r="G75" s="1" t="s">
        <v>1</v>
      </c>
      <c r="H75" s="2"/>
      <c r="I75" s="63"/>
      <c r="K75" s="2"/>
      <c r="Q75" s="2"/>
      <c r="R75" s="6">
        <f t="shared" si="11"/>
        <v>4663072</v>
      </c>
      <c r="S75" s="6">
        <f t="shared" si="11"/>
        <v>482304</v>
      </c>
      <c r="T75" s="6">
        <f t="shared" si="11"/>
        <v>289326</v>
      </c>
      <c r="U75" s="6">
        <f t="shared" si="11"/>
        <v>236250</v>
      </c>
      <c r="V75" s="6">
        <f t="shared" si="11"/>
        <v>162000</v>
      </c>
      <c r="W75" s="67">
        <f t="shared" ref="W75:W89" si="12">SUM(R75:V75)</f>
        <v>5832952</v>
      </c>
    </row>
    <row r="76" spans="1:27" ht="12.75" customHeight="1" x14ac:dyDescent="0.2">
      <c r="C76" s="1" t="s">
        <v>13</v>
      </c>
      <c r="D76" s="1" t="s">
        <v>53</v>
      </c>
      <c r="G76" s="1" t="s">
        <v>1</v>
      </c>
      <c r="H76" s="2"/>
      <c r="I76" s="63"/>
      <c r="K76" s="2"/>
      <c r="Q76" s="2"/>
      <c r="R76" s="6">
        <f t="shared" si="11"/>
        <v>204240</v>
      </c>
      <c r="S76" s="6">
        <f t="shared" si="11"/>
        <v>0</v>
      </c>
      <c r="T76" s="6">
        <f t="shared" si="11"/>
        <v>0</v>
      </c>
      <c r="U76" s="6">
        <f t="shared" si="11"/>
        <v>0</v>
      </c>
      <c r="V76" s="6">
        <f t="shared" si="11"/>
        <v>124320</v>
      </c>
      <c r="W76" s="67">
        <f t="shared" si="12"/>
        <v>328560</v>
      </c>
    </row>
    <row r="77" spans="1:27" ht="12.75" customHeight="1" x14ac:dyDescent="0.2">
      <c r="C77" s="1" t="s">
        <v>11</v>
      </c>
      <c r="D77" s="1" t="s">
        <v>53</v>
      </c>
      <c r="G77" s="1" t="s">
        <v>51</v>
      </c>
      <c r="H77" s="2"/>
      <c r="I77" s="63"/>
      <c r="K77" s="2"/>
      <c r="Q77" s="2"/>
      <c r="R77" s="6">
        <f t="shared" si="11"/>
        <v>0</v>
      </c>
      <c r="S77" s="6">
        <f t="shared" si="11"/>
        <v>0</v>
      </c>
      <c r="T77" s="6">
        <f t="shared" si="11"/>
        <v>0</v>
      </c>
      <c r="U77" s="6">
        <f t="shared" si="11"/>
        <v>0</v>
      </c>
      <c r="V77" s="6">
        <f t="shared" si="11"/>
        <v>0</v>
      </c>
      <c r="W77" s="67">
        <f t="shared" si="12"/>
        <v>0</v>
      </c>
    </row>
    <row r="78" spans="1:27" ht="12.75" customHeight="1" x14ac:dyDescent="0.2">
      <c r="C78" s="1" t="s">
        <v>12</v>
      </c>
      <c r="D78" s="1" t="s">
        <v>53</v>
      </c>
      <c r="G78" s="1" t="s">
        <v>51</v>
      </c>
      <c r="H78" s="2"/>
      <c r="I78" s="63"/>
      <c r="K78" s="2"/>
      <c r="Q78" s="2"/>
      <c r="R78" s="6">
        <f t="shared" si="11"/>
        <v>0</v>
      </c>
      <c r="S78" s="6">
        <f t="shared" si="11"/>
        <v>0</v>
      </c>
      <c r="T78" s="6">
        <f t="shared" si="11"/>
        <v>0</v>
      </c>
      <c r="U78" s="6">
        <f t="shared" si="11"/>
        <v>0</v>
      </c>
      <c r="V78" s="6">
        <f t="shared" si="11"/>
        <v>0</v>
      </c>
      <c r="W78" s="67">
        <f t="shared" si="12"/>
        <v>0</v>
      </c>
    </row>
    <row r="79" spans="1:27" ht="12.75" customHeight="1" x14ac:dyDescent="0.2">
      <c r="C79" s="1" t="s">
        <v>13</v>
      </c>
      <c r="D79" s="1" t="s">
        <v>53</v>
      </c>
      <c r="G79" s="1" t="s">
        <v>51</v>
      </c>
      <c r="H79" s="2"/>
      <c r="I79" s="63"/>
      <c r="K79" s="2"/>
      <c r="Q79" s="2"/>
      <c r="R79" s="6">
        <f t="shared" si="11"/>
        <v>0</v>
      </c>
      <c r="S79" s="6">
        <f t="shared" si="11"/>
        <v>0</v>
      </c>
      <c r="T79" s="6">
        <f t="shared" si="11"/>
        <v>0</v>
      </c>
      <c r="U79" s="6">
        <f t="shared" si="11"/>
        <v>0</v>
      </c>
      <c r="V79" s="6">
        <f t="shared" si="11"/>
        <v>0</v>
      </c>
      <c r="W79" s="67">
        <f t="shared" si="12"/>
        <v>0</v>
      </c>
    </row>
    <row r="80" spans="1:27" ht="12.75" customHeight="1" x14ac:dyDescent="0.2">
      <c r="C80" s="21" t="s">
        <v>14</v>
      </c>
      <c r="D80" s="21" t="s">
        <v>53</v>
      </c>
      <c r="E80" s="95"/>
      <c r="F80" s="95"/>
      <c r="G80" s="96"/>
      <c r="H80" s="2"/>
      <c r="I80" s="96"/>
      <c r="J80" s="98"/>
      <c r="K80" s="97"/>
      <c r="L80" s="95"/>
      <c r="M80" s="95"/>
      <c r="N80" s="95"/>
      <c r="O80" s="95"/>
      <c r="P80" s="95"/>
      <c r="Q80" s="2"/>
      <c r="R80" s="22">
        <f>SUM(R74:R79)</f>
        <v>8795042.2304570824</v>
      </c>
      <c r="S80" s="22">
        <f t="shared" ref="S80:V80" si="13">SUM(S74:S79)</f>
        <v>4074310.6497914856</v>
      </c>
      <c r="T80" s="22">
        <f t="shared" si="13"/>
        <v>1948696.2976208813</v>
      </c>
      <c r="U80" s="22">
        <f t="shared" si="13"/>
        <v>648390.05854211329</v>
      </c>
      <c r="V80" s="22">
        <f t="shared" si="13"/>
        <v>731456.68198580667</v>
      </c>
      <c r="W80" s="22">
        <f>SUM(W74:W79)</f>
        <v>16197895.918397371</v>
      </c>
    </row>
    <row r="81" spans="3:24" ht="12.75" customHeight="1" x14ac:dyDescent="0.2">
      <c r="C81" s="1" t="s">
        <v>11</v>
      </c>
      <c r="D81" s="1" t="s">
        <v>50</v>
      </c>
      <c r="G81" s="1" t="s">
        <v>1</v>
      </c>
      <c r="H81" s="2"/>
      <c r="I81" s="63"/>
      <c r="K81" s="2"/>
      <c r="Q81" s="2"/>
      <c r="R81" s="6">
        <f t="shared" ref="R81:V86" si="14">SUMIFS(R$10:R$70,$E$10:$E$70,$C81,$D$10:$D$70,$D81,$G$10:$G$70,$G81)</f>
        <v>0</v>
      </c>
      <c r="S81" s="6">
        <f t="shared" si="14"/>
        <v>0</v>
      </c>
      <c r="T81" s="6">
        <f t="shared" si="14"/>
        <v>0</v>
      </c>
      <c r="U81" s="6">
        <f t="shared" si="14"/>
        <v>0</v>
      </c>
      <c r="V81" s="6">
        <f t="shared" si="14"/>
        <v>0</v>
      </c>
      <c r="W81" s="67">
        <f t="shared" si="12"/>
        <v>0</v>
      </c>
    </row>
    <row r="82" spans="3:24" ht="12.75" customHeight="1" x14ac:dyDescent="0.2">
      <c r="C82" s="1" t="s">
        <v>12</v>
      </c>
      <c r="D82" s="1" t="s">
        <v>50</v>
      </c>
      <c r="G82" s="1" t="s">
        <v>1</v>
      </c>
      <c r="H82" s="2"/>
      <c r="I82" s="63"/>
      <c r="K82" s="2"/>
      <c r="Q82" s="2"/>
      <c r="R82" s="6">
        <f t="shared" si="14"/>
        <v>-122454.5700000003</v>
      </c>
      <c r="S82" s="6">
        <f t="shared" si="14"/>
        <v>47505.319999999832</v>
      </c>
      <c r="T82" s="6">
        <f t="shared" si="14"/>
        <v>780595.39142857166</v>
      </c>
      <c r="U82" s="6">
        <f t="shared" si="14"/>
        <v>1028098.2485714285</v>
      </c>
      <c r="V82" s="6">
        <f t="shared" si="14"/>
        <v>1302286.5957142855</v>
      </c>
      <c r="W82" s="67">
        <f t="shared" si="12"/>
        <v>3036030.9857142852</v>
      </c>
    </row>
    <row r="83" spans="3:24" ht="12.75" customHeight="1" x14ac:dyDescent="0.2">
      <c r="C83" s="1" t="s">
        <v>13</v>
      </c>
      <c r="D83" s="1" t="s">
        <v>50</v>
      </c>
      <c r="G83" s="1" t="s">
        <v>1</v>
      </c>
      <c r="H83" s="2"/>
      <c r="I83" s="63"/>
      <c r="K83" s="2"/>
      <c r="Q83" s="2"/>
      <c r="R83" s="6">
        <f t="shared" si="14"/>
        <v>1119485.2560000001</v>
      </c>
      <c r="S83" s="6">
        <f t="shared" si="14"/>
        <v>1990677.5794285715</v>
      </c>
      <c r="T83" s="6">
        <f t="shared" si="14"/>
        <v>2816237.3942857143</v>
      </c>
      <c r="U83" s="6">
        <f t="shared" si="14"/>
        <v>3522525.0662857145</v>
      </c>
      <c r="V83" s="6">
        <f t="shared" si="14"/>
        <v>3555003.6662857141</v>
      </c>
      <c r="W83" s="67">
        <f t="shared" si="12"/>
        <v>13003928.962285714</v>
      </c>
    </row>
    <row r="84" spans="3:24" ht="12.75" customHeight="1" x14ac:dyDescent="0.2">
      <c r="C84" s="1" t="s">
        <v>11</v>
      </c>
      <c r="D84" s="1" t="s">
        <v>50</v>
      </c>
      <c r="G84" s="1" t="s">
        <v>51</v>
      </c>
      <c r="H84" s="2"/>
      <c r="I84" s="63"/>
      <c r="K84" s="2"/>
      <c r="Q84" s="2"/>
      <c r="R84" s="6">
        <f t="shared" si="14"/>
        <v>2875350.6664886698</v>
      </c>
      <c r="S84" s="6">
        <f t="shared" si="14"/>
        <v>3028987.4788500499</v>
      </c>
      <c r="T84" s="6">
        <f t="shared" si="14"/>
        <v>920146.32777570235</v>
      </c>
      <c r="U84" s="6">
        <f t="shared" si="14"/>
        <v>490927.00693191402</v>
      </c>
      <c r="V84" s="6">
        <f t="shared" si="14"/>
        <v>492357.42631705577</v>
      </c>
      <c r="W84" s="67">
        <f t="shared" si="12"/>
        <v>7807768.9063633913</v>
      </c>
    </row>
    <row r="85" spans="3:24" ht="12.75" customHeight="1" x14ac:dyDescent="0.2">
      <c r="C85" s="1" t="s">
        <v>12</v>
      </c>
      <c r="D85" s="1" t="s">
        <v>50</v>
      </c>
      <c r="G85" s="1" t="s">
        <v>51</v>
      </c>
      <c r="H85" s="2"/>
      <c r="I85" s="63"/>
      <c r="K85" s="2"/>
      <c r="Q85" s="2"/>
      <c r="R85" s="6">
        <f t="shared" si="14"/>
        <v>406999.99999999988</v>
      </c>
      <c r="S85" s="6">
        <f t="shared" si="14"/>
        <v>0</v>
      </c>
      <c r="T85" s="6">
        <f t="shared" si="14"/>
        <v>0</v>
      </c>
      <c r="U85" s="6">
        <f t="shared" si="14"/>
        <v>0</v>
      </c>
      <c r="V85" s="6">
        <f t="shared" si="14"/>
        <v>0</v>
      </c>
      <c r="W85" s="67">
        <f t="shared" si="12"/>
        <v>406999.99999999988</v>
      </c>
    </row>
    <row r="86" spans="3:24" ht="12.75" customHeight="1" x14ac:dyDescent="0.2">
      <c r="C86" s="1" t="s">
        <v>13</v>
      </c>
      <c r="D86" s="1" t="s">
        <v>50</v>
      </c>
      <c r="G86" s="1" t="s">
        <v>51</v>
      </c>
      <c r="H86" s="2"/>
      <c r="I86" s="63"/>
      <c r="K86" s="2"/>
      <c r="Q86" s="2"/>
      <c r="R86" s="6">
        <f t="shared" si="14"/>
        <v>0</v>
      </c>
      <c r="S86" s="6">
        <f t="shared" si="14"/>
        <v>0</v>
      </c>
      <c r="T86" s="6">
        <f t="shared" si="14"/>
        <v>0</v>
      </c>
      <c r="U86" s="6">
        <f t="shared" si="14"/>
        <v>0</v>
      </c>
      <c r="V86" s="6">
        <f t="shared" si="14"/>
        <v>0</v>
      </c>
      <c r="W86" s="67">
        <f t="shared" si="12"/>
        <v>0</v>
      </c>
    </row>
    <row r="87" spans="3:24" ht="12.75" customHeight="1" x14ac:dyDescent="0.2">
      <c r="C87" s="21" t="s">
        <v>15</v>
      </c>
      <c r="D87" s="21" t="s">
        <v>50</v>
      </c>
      <c r="E87" s="95"/>
      <c r="F87" s="95"/>
      <c r="G87" s="96"/>
      <c r="H87" s="2"/>
      <c r="I87" s="96"/>
      <c r="J87" s="98"/>
      <c r="K87" s="97"/>
      <c r="L87" s="95"/>
      <c r="M87" s="95"/>
      <c r="N87" s="95"/>
      <c r="O87" s="95"/>
      <c r="P87" s="95"/>
      <c r="Q87" s="2"/>
      <c r="R87" s="22">
        <f>SUM(R81:R86)</f>
        <v>4279381.3524886696</v>
      </c>
      <c r="S87" s="22">
        <f t="shared" ref="S87:V87" si="15">SUM(S81:S86)</f>
        <v>5067170.3782786215</v>
      </c>
      <c r="T87" s="22">
        <f t="shared" si="15"/>
        <v>4516979.1134899883</v>
      </c>
      <c r="U87" s="22">
        <f t="shared" si="15"/>
        <v>5041550.321789057</v>
      </c>
      <c r="V87" s="22">
        <f t="shared" si="15"/>
        <v>5349647.6883170558</v>
      </c>
      <c r="W87" s="22">
        <f>SUM(W81:W86)</f>
        <v>24254728.854363389</v>
      </c>
    </row>
    <row r="88" spans="3:24" ht="12.75" customHeight="1" x14ac:dyDescent="0.2">
      <c r="G88" s="63"/>
      <c r="H88" s="2"/>
      <c r="I88" s="63"/>
      <c r="K88" s="2"/>
      <c r="Q88" s="2"/>
      <c r="R88" s="6"/>
      <c r="S88" s="6"/>
      <c r="T88" s="6"/>
      <c r="U88" s="6"/>
      <c r="V88" s="6"/>
      <c r="W88" s="67"/>
    </row>
    <row r="89" spans="3:24" ht="12.75" customHeight="1" x14ac:dyDescent="0.2">
      <c r="C89" s="7" t="str">
        <f>"Total Expenditure ($ "&amp;Assumptions!$B$12&amp;")"</f>
        <v>Total Expenditure ($ June 2024)</v>
      </c>
      <c r="D89" s="7"/>
      <c r="E89" s="7"/>
      <c r="F89" s="7"/>
      <c r="G89" s="7"/>
      <c r="H89" s="2"/>
      <c r="I89" s="7"/>
      <c r="J89" s="10"/>
      <c r="K89" s="2"/>
      <c r="L89" s="7"/>
      <c r="M89" s="7"/>
      <c r="N89" s="7"/>
      <c r="O89" s="7"/>
      <c r="P89" s="7"/>
      <c r="Q89" s="2"/>
      <c r="R89" s="8">
        <f>R80+R87</f>
        <v>13074423.582945753</v>
      </c>
      <c r="S89" s="8">
        <f t="shared" ref="S89:V89" si="16">S80+S87</f>
        <v>9141481.0280701071</v>
      </c>
      <c r="T89" s="8">
        <f t="shared" si="16"/>
        <v>6465675.4111108696</v>
      </c>
      <c r="U89" s="8">
        <f t="shared" si="16"/>
        <v>5689940.3803311698</v>
      </c>
      <c r="V89" s="8">
        <f t="shared" si="16"/>
        <v>6081104.3703028625</v>
      </c>
      <c r="W89" s="68">
        <f t="shared" si="12"/>
        <v>40452624.772760764</v>
      </c>
    </row>
    <row r="90" spans="3:24" ht="12.75" customHeight="1" x14ac:dyDescent="0.2">
      <c r="C90" s="42" t="s">
        <v>55</v>
      </c>
      <c r="D90" s="42"/>
      <c r="E90" s="42"/>
      <c r="F90" s="42"/>
      <c r="G90" s="42"/>
      <c r="H90" s="2"/>
      <c r="I90" s="42"/>
      <c r="J90" s="42"/>
      <c r="K90" s="2"/>
      <c r="L90" s="42"/>
      <c r="M90" s="42"/>
      <c r="N90" s="42"/>
      <c r="O90" s="42"/>
      <c r="P90" s="42"/>
      <c r="Q90" s="2"/>
      <c r="R90" s="43">
        <f>R89-SUM(R$10:R$70)</f>
        <v>0</v>
      </c>
      <c r="S90" s="43">
        <f>S89-SUM(S$10:S$70)</f>
        <v>0</v>
      </c>
      <c r="T90" s="43">
        <f>T89-SUM(T$10:T$70)</f>
        <v>0</v>
      </c>
      <c r="U90" s="43">
        <f>U89-SUM(U$10:U$70)</f>
        <v>0</v>
      </c>
      <c r="V90" s="43">
        <f>V89-SUM(V$10:V$70)</f>
        <v>0</v>
      </c>
      <c r="W90" s="43">
        <f>W89-SUM(R$10:V$70)</f>
        <v>0</v>
      </c>
      <c r="X90" s="43">
        <f>SUM(R90:W90)</f>
        <v>0</v>
      </c>
    </row>
    <row r="91" spans="3:24" ht="12.75" customHeight="1" x14ac:dyDescent="0.2">
      <c r="H91" s="2"/>
      <c r="K91" s="2"/>
      <c r="Q91" s="2"/>
    </row>
    <row r="92" spans="3:24" ht="12.75" customHeight="1" x14ac:dyDescent="0.2">
      <c r="C92" s="51" t="str">
        <f>"NPV ($ "&amp;Assumptions!$B$12&amp;")"</f>
        <v>NPV ($ June 2024)</v>
      </c>
      <c r="D92" s="52">
        <f>NPV(Real_Discount_rate,R89:V89)</f>
        <v>37076213.473193228</v>
      </c>
      <c r="H92" s="2"/>
      <c r="K92" s="2"/>
      <c r="Q92" s="2"/>
    </row>
    <row r="93" spans="3:24" ht="12.75" customHeight="1" x14ac:dyDescent="0.2">
      <c r="H93" s="2"/>
      <c r="K93" s="2"/>
      <c r="Q93" s="2"/>
    </row>
    <row r="94" spans="3:24" ht="12.75" customHeight="1" x14ac:dyDescent="0.2">
      <c r="H94" s="2"/>
      <c r="K94" s="2"/>
      <c r="Q94" s="2"/>
    </row>
    <row r="95" spans="3:24" ht="12.75" customHeight="1" x14ac:dyDescent="0.2">
      <c r="C95" s="4" t="s">
        <v>54</v>
      </c>
      <c r="G95" s="3"/>
      <c r="H95" s="2"/>
      <c r="K95" s="2"/>
      <c r="Q95" s="2"/>
      <c r="R95" s="64" t="s">
        <v>6</v>
      </c>
      <c r="S95" s="64" t="s">
        <v>7</v>
      </c>
      <c r="T95" s="64" t="s">
        <v>8</v>
      </c>
      <c r="U95" s="64" t="s">
        <v>9</v>
      </c>
      <c r="V95" s="64" t="s">
        <v>10</v>
      </c>
      <c r="W95" s="104" t="s">
        <v>0</v>
      </c>
    </row>
    <row r="96" spans="3:24" ht="12.75" customHeight="1" x14ac:dyDescent="0.2">
      <c r="C96" s="24"/>
      <c r="D96" s="24" t="s">
        <v>53</v>
      </c>
      <c r="E96" s="24"/>
      <c r="F96" s="24"/>
      <c r="G96" s="24" t="s">
        <v>1</v>
      </c>
      <c r="H96" s="2"/>
      <c r="I96" s="61"/>
      <c r="J96" s="62"/>
      <c r="K96" s="2"/>
      <c r="L96" s="24"/>
      <c r="M96" s="24"/>
      <c r="N96" s="24"/>
      <c r="O96" s="24"/>
      <c r="P96" s="24"/>
      <c r="Q96" s="2"/>
      <c r="R96" s="25">
        <f t="shared" ref="R96:V97" si="17">SUMIFS(R$10:R$70,$D$10:$D$70,$D96,$G$10:$G$70,$G96)</f>
        <v>8795042.2304570824</v>
      </c>
      <c r="S96" s="25">
        <f t="shared" si="17"/>
        <v>4074310.6497914856</v>
      </c>
      <c r="T96" s="25">
        <f t="shared" si="17"/>
        <v>1948696.2976208813</v>
      </c>
      <c r="U96" s="25">
        <f t="shared" si="17"/>
        <v>648390.0585421134</v>
      </c>
      <c r="V96" s="25">
        <f t="shared" si="17"/>
        <v>731456.68198580667</v>
      </c>
      <c r="W96" s="67">
        <f t="shared" ref="W96:W97" si="18">SUM(R96:V96)</f>
        <v>16197895.918397371</v>
      </c>
    </row>
    <row r="97" spans="3:24" ht="12.75" customHeight="1" x14ac:dyDescent="0.2">
      <c r="D97" s="1" t="s">
        <v>50</v>
      </c>
      <c r="G97" s="1" t="s">
        <v>1</v>
      </c>
      <c r="H97" s="2"/>
      <c r="K97" s="2"/>
      <c r="Q97" s="2"/>
      <c r="R97" s="103">
        <f t="shared" si="17"/>
        <v>997030.68599999975</v>
      </c>
      <c r="S97" s="103">
        <f t="shared" si="17"/>
        <v>2038182.8994285711</v>
      </c>
      <c r="T97" s="103">
        <f t="shared" si="17"/>
        <v>3596832.7857142854</v>
      </c>
      <c r="U97" s="103">
        <f t="shared" si="17"/>
        <v>4550623.314857143</v>
      </c>
      <c r="V97" s="103">
        <f t="shared" si="17"/>
        <v>4857290.2620000001</v>
      </c>
      <c r="W97" s="67">
        <f t="shared" si="18"/>
        <v>16039959.948000001</v>
      </c>
    </row>
    <row r="98" spans="3:24" ht="12.75" customHeight="1" x14ac:dyDescent="0.2">
      <c r="C98" s="21" t="s">
        <v>56</v>
      </c>
      <c r="D98" s="21"/>
      <c r="E98" s="95"/>
      <c r="F98" s="95"/>
      <c r="G98" s="96"/>
      <c r="H98" s="2"/>
      <c r="I98" s="96"/>
      <c r="J98" s="98"/>
      <c r="K98" s="97"/>
      <c r="L98" s="95"/>
      <c r="M98" s="95"/>
      <c r="N98" s="95"/>
      <c r="O98" s="95"/>
      <c r="P98" s="95"/>
      <c r="Q98" s="2"/>
      <c r="R98" s="22">
        <f>SUM(R96:R97)</f>
        <v>9792072.9164570831</v>
      </c>
      <c r="S98" s="22">
        <f t="shared" ref="S98:W98" si="19">SUM(S96:S97)</f>
        <v>6112493.5492200572</v>
      </c>
      <c r="T98" s="22">
        <f t="shared" si="19"/>
        <v>5545529.0833351668</v>
      </c>
      <c r="U98" s="22">
        <f t="shared" si="19"/>
        <v>5199013.3733992567</v>
      </c>
      <c r="V98" s="22">
        <f t="shared" si="19"/>
        <v>5588746.9439858068</v>
      </c>
      <c r="W98" s="22">
        <f t="shared" si="19"/>
        <v>32237855.866397373</v>
      </c>
    </row>
    <row r="99" spans="3:24" ht="12.75" customHeight="1" x14ac:dyDescent="0.2">
      <c r="C99" s="4"/>
      <c r="D99" s="1" t="s">
        <v>53</v>
      </c>
      <c r="G99" s="1" t="s">
        <v>51</v>
      </c>
      <c r="H99" s="2"/>
      <c r="I99" s="63"/>
      <c r="K99" s="2"/>
      <c r="Q99" s="2"/>
      <c r="R99" s="6">
        <f t="shared" ref="R99:V100" si="20">SUMIFS(R$10:R$70,$D$10:$D$70,$D99,$G$10:$G$70,$G99)</f>
        <v>0</v>
      </c>
      <c r="S99" s="6">
        <f t="shared" si="20"/>
        <v>0</v>
      </c>
      <c r="T99" s="6">
        <f t="shared" si="20"/>
        <v>0</v>
      </c>
      <c r="U99" s="6">
        <f t="shared" si="20"/>
        <v>0</v>
      </c>
      <c r="V99" s="6">
        <f t="shared" si="20"/>
        <v>0</v>
      </c>
      <c r="W99" s="67">
        <f t="shared" ref="W99:W100" si="21">SUM(R99:V99)</f>
        <v>0</v>
      </c>
    </row>
    <row r="100" spans="3:24" ht="12.75" customHeight="1" x14ac:dyDescent="0.2">
      <c r="C100" s="4"/>
      <c r="D100" s="1" t="s">
        <v>50</v>
      </c>
      <c r="G100" s="1" t="s">
        <v>51</v>
      </c>
      <c r="H100" s="2"/>
      <c r="I100" s="63"/>
      <c r="K100" s="2"/>
      <c r="Q100" s="2"/>
      <c r="R100" s="6">
        <f t="shared" si="20"/>
        <v>3282350.6664886703</v>
      </c>
      <c r="S100" s="6">
        <f t="shared" si="20"/>
        <v>3028987.4788500499</v>
      </c>
      <c r="T100" s="6">
        <f t="shared" si="20"/>
        <v>920146.32777570235</v>
      </c>
      <c r="U100" s="6">
        <f t="shared" si="20"/>
        <v>490927.00693191402</v>
      </c>
      <c r="V100" s="6">
        <f t="shared" si="20"/>
        <v>492357.42631705577</v>
      </c>
      <c r="W100" s="67">
        <f t="shared" si="21"/>
        <v>8214768.9063633913</v>
      </c>
    </row>
    <row r="101" spans="3:24" ht="12.75" customHeight="1" x14ac:dyDescent="0.2">
      <c r="C101" s="21" t="s">
        <v>57</v>
      </c>
      <c r="D101" s="21"/>
      <c r="E101" s="95"/>
      <c r="F101" s="95"/>
      <c r="G101" s="96"/>
      <c r="H101" s="2"/>
      <c r="I101" s="96"/>
      <c r="J101" s="98"/>
      <c r="K101" s="97"/>
      <c r="L101" s="95"/>
      <c r="M101" s="95"/>
      <c r="N101" s="95"/>
      <c r="O101" s="95"/>
      <c r="P101" s="95"/>
      <c r="Q101" s="2"/>
      <c r="R101" s="22">
        <f>SUM(R99:R100)</f>
        <v>3282350.6664886703</v>
      </c>
      <c r="S101" s="22">
        <f t="shared" ref="S101:W101" si="22">SUM(S99:S100)</f>
        <v>3028987.4788500499</v>
      </c>
      <c r="T101" s="22">
        <f t="shared" si="22"/>
        <v>920146.32777570235</v>
      </c>
      <c r="U101" s="22">
        <f t="shared" si="22"/>
        <v>490927.00693191402</v>
      </c>
      <c r="V101" s="22">
        <f t="shared" si="22"/>
        <v>492357.42631705577</v>
      </c>
      <c r="W101" s="22">
        <f t="shared" si="22"/>
        <v>8214768.9063633913</v>
      </c>
    </row>
    <row r="102" spans="3:24" ht="12.75" customHeight="1" x14ac:dyDescent="0.2">
      <c r="C102" s="4"/>
      <c r="D102" s="4"/>
      <c r="G102" s="63"/>
      <c r="H102" s="2"/>
      <c r="I102" s="63"/>
      <c r="K102" s="2"/>
      <c r="Q102" s="2"/>
      <c r="R102" s="23"/>
      <c r="S102" s="23"/>
      <c r="T102" s="23"/>
      <c r="U102" s="23"/>
      <c r="V102" s="23"/>
      <c r="W102" s="23"/>
    </row>
    <row r="103" spans="3:24" ht="12.75" customHeight="1" x14ac:dyDescent="0.2">
      <c r="C103" s="7" t="str">
        <f>"Total Expenditure ($ "&amp;Assumptions!$B$12&amp;")"</f>
        <v>Total Expenditure ($ June 2024)</v>
      </c>
      <c r="D103" s="7"/>
      <c r="E103" s="7"/>
      <c r="F103" s="7"/>
      <c r="G103" s="7"/>
      <c r="H103" s="2"/>
      <c r="I103" s="7"/>
      <c r="J103" s="10"/>
      <c r="K103" s="2"/>
      <c r="L103" s="7"/>
      <c r="M103" s="7"/>
      <c r="N103" s="7"/>
      <c r="O103" s="7"/>
      <c r="P103" s="7"/>
      <c r="Q103" s="2"/>
      <c r="R103" s="8">
        <f>R98+R101</f>
        <v>13074423.582945753</v>
      </c>
      <c r="S103" s="8">
        <f t="shared" ref="S103:V103" si="23">S98+S101</f>
        <v>9141481.0280701071</v>
      </c>
      <c r="T103" s="8">
        <f t="shared" si="23"/>
        <v>6465675.4111108687</v>
      </c>
      <c r="U103" s="8">
        <f t="shared" si="23"/>
        <v>5689940.3803311707</v>
      </c>
      <c r="V103" s="8">
        <f t="shared" si="23"/>
        <v>6081104.3703028625</v>
      </c>
      <c r="W103" s="68">
        <f t="shared" ref="W103" si="24">SUM(R103:V103)</f>
        <v>40452624.772760764</v>
      </c>
    </row>
    <row r="104" spans="3:24" ht="12.75" customHeight="1" x14ac:dyDescent="0.2">
      <c r="C104" s="42" t="s">
        <v>55</v>
      </c>
      <c r="D104" s="42"/>
      <c r="E104" s="42"/>
      <c r="F104" s="42"/>
      <c r="G104" s="42"/>
      <c r="H104" s="2"/>
      <c r="I104" s="42"/>
      <c r="J104" s="42"/>
      <c r="K104" s="2"/>
      <c r="L104" s="42"/>
      <c r="M104" s="42"/>
      <c r="N104" s="42"/>
      <c r="O104" s="42"/>
      <c r="P104" s="42"/>
      <c r="Q104" s="2"/>
      <c r="R104" s="43">
        <f>R103-SUM(R$10:R$70)</f>
        <v>0</v>
      </c>
      <c r="S104" s="43">
        <f>S103-SUM(S$10:S$70)</f>
        <v>0</v>
      </c>
      <c r="T104" s="43">
        <f>T103-SUM(T$10:T$70)</f>
        <v>0</v>
      </c>
      <c r="U104" s="43">
        <f>U103-SUM(U$10:U$70)</f>
        <v>0</v>
      </c>
      <c r="V104" s="43">
        <f>V103-SUM(V$10:V$70)</f>
        <v>0</v>
      </c>
      <c r="W104" s="43">
        <f>W103-SUM(R$10:V$70)</f>
        <v>0</v>
      </c>
      <c r="X104" s="43">
        <f>SUM(R104:W104)</f>
        <v>0</v>
      </c>
    </row>
    <row r="105" spans="3:24" ht="12.75" customHeight="1" x14ac:dyDescent="0.2">
      <c r="C105" s="105"/>
      <c r="D105" s="105"/>
      <c r="E105" s="105"/>
      <c r="F105" s="105"/>
      <c r="G105" s="105"/>
      <c r="H105" s="2"/>
      <c r="I105" s="105"/>
      <c r="J105" s="105"/>
      <c r="K105" s="2"/>
      <c r="L105" s="105"/>
      <c r="M105" s="105"/>
      <c r="N105" s="105"/>
      <c r="O105" s="105"/>
      <c r="P105" s="105"/>
      <c r="Q105" s="2"/>
      <c r="R105" s="106"/>
      <c r="S105" s="106"/>
      <c r="T105" s="106"/>
      <c r="U105" s="106"/>
      <c r="V105" s="106"/>
      <c r="W105" s="106"/>
      <c r="X105" s="106"/>
    </row>
    <row r="106" spans="3:24" ht="12.75" customHeight="1" x14ac:dyDescent="0.2">
      <c r="C106" s="105"/>
      <c r="D106" s="105"/>
      <c r="E106" s="105"/>
      <c r="F106" s="105"/>
      <c r="G106" s="105"/>
      <c r="H106" s="2"/>
      <c r="I106" s="105"/>
      <c r="J106" s="105"/>
      <c r="K106" s="2"/>
      <c r="L106" s="105"/>
      <c r="M106" s="105"/>
      <c r="N106" s="105"/>
      <c r="O106" s="105"/>
      <c r="P106" s="105"/>
      <c r="Q106" s="2"/>
      <c r="R106" s="106"/>
      <c r="S106" s="106"/>
      <c r="T106" s="106"/>
      <c r="U106" s="106"/>
      <c r="V106" s="106"/>
      <c r="W106" s="106"/>
      <c r="X106" s="106"/>
    </row>
    <row r="107" spans="3:24" ht="12.75" customHeight="1" x14ac:dyDescent="0.2">
      <c r="C107" s="105"/>
      <c r="D107" s="105"/>
      <c r="E107" s="105"/>
      <c r="F107" s="105"/>
      <c r="G107" s="105"/>
      <c r="H107" s="2"/>
      <c r="I107" s="105"/>
      <c r="J107" s="105"/>
      <c r="K107" s="2"/>
      <c r="L107" s="105"/>
      <c r="M107" s="105"/>
      <c r="N107" s="105"/>
      <c r="O107" s="105"/>
      <c r="P107" s="105"/>
      <c r="Q107" s="2"/>
      <c r="R107" s="106"/>
      <c r="S107" s="106"/>
      <c r="T107" s="106"/>
      <c r="U107" s="106"/>
      <c r="V107" s="106"/>
      <c r="W107" s="106"/>
      <c r="X107" s="106"/>
    </row>
    <row r="108" spans="3:24" ht="12.75" customHeight="1" x14ac:dyDescent="0.2">
      <c r="C108" s="71" t="s">
        <v>58</v>
      </c>
      <c r="H108" s="2"/>
      <c r="K108" s="2"/>
      <c r="Q108" s="2"/>
      <c r="R108" s="64" t="s">
        <v>6</v>
      </c>
      <c r="S108" s="64" t="s">
        <v>7</v>
      </c>
      <c r="T108" s="64" t="s">
        <v>8</v>
      </c>
      <c r="U108" s="64" t="s">
        <v>9</v>
      </c>
      <c r="V108" s="64" t="s">
        <v>10</v>
      </c>
      <c r="W108" s="64" t="s">
        <v>0</v>
      </c>
    </row>
    <row r="109" spans="3:24" ht="12.75" customHeight="1" x14ac:dyDescent="0.2">
      <c r="C109" s="24" t="s">
        <v>11</v>
      </c>
      <c r="D109" s="24" t="s">
        <v>53</v>
      </c>
      <c r="E109" s="24"/>
      <c r="F109" s="24"/>
      <c r="G109" s="24" t="s">
        <v>1</v>
      </c>
      <c r="H109" s="2"/>
      <c r="I109" s="61"/>
      <c r="J109" s="62"/>
      <c r="K109" s="2"/>
      <c r="L109" s="24"/>
      <c r="M109" s="24"/>
      <c r="N109" s="24"/>
      <c r="O109" s="24"/>
      <c r="P109" s="24"/>
      <c r="Q109" s="2"/>
      <c r="R109" s="32">
        <f t="shared" ref="R109:V114" si="25">R74*business_case_dollars</f>
        <v>4371220.6451884611</v>
      </c>
      <c r="S109" s="32">
        <f t="shared" si="25"/>
        <v>3997589.6265654555</v>
      </c>
      <c r="T109" s="32">
        <f t="shared" si="25"/>
        <v>1846734.1893103507</v>
      </c>
      <c r="U109" s="32">
        <f t="shared" si="25"/>
        <v>458675.8832463944</v>
      </c>
      <c r="V109" s="32">
        <f t="shared" si="25"/>
        <v>495398.24276592705</v>
      </c>
      <c r="W109" s="66">
        <f>SUM(R109:V109)</f>
        <v>11169618.587076589</v>
      </c>
    </row>
    <row r="110" spans="3:24" ht="12.75" customHeight="1" x14ac:dyDescent="0.2">
      <c r="C110" s="1" t="s">
        <v>12</v>
      </c>
      <c r="D110" s="1" t="s">
        <v>53</v>
      </c>
      <c r="G110" s="1" t="s">
        <v>1</v>
      </c>
      <c r="H110" s="2"/>
      <c r="I110" s="63"/>
      <c r="K110" s="2"/>
      <c r="Q110" s="2"/>
      <c r="R110" s="6">
        <f t="shared" si="25"/>
        <v>5189591.7999511324</v>
      </c>
      <c r="S110" s="6">
        <f t="shared" si="25"/>
        <v>536762.22101731016</v>
      </c>
      <c r="T110" s="6">
        <f t="shared" si="25"/>
        <v>321994.56433712825</v>
      </c>
      <c r="U110" s="6">
        <f t="shared" si="25"/>
        <v>262925.61271592096</v>
      </c>
      <c r="V110" s="6">
        <f t="shared" si="25"/>
        <v>180291.84871948865</v>
      </c>
      <c r="W110" s="67">
        <f t="shared" ref="W110:W124" si="26">SUM(R110:V110)</f>
        <v>6491566.0467409808</v>
      </c>
    </row>
    <row r="111" spans="3:24" ht="12.75" customHeight="1" x14ac:dyDescent="0.2">
      <c r="C111" s="1" t="s">
        <v>13</v>
      </c>
      <c r="D111" s="1" t="s">
        <v>53</v>
      </c>
      <c r="G111" s="1" t="s">
        <v>1</v>
      </c>
      <c r="H111" s="2"/>
      <c r="I111" s="63"/>
      <c r="K111" s="2"/>
      <c r="Q111" s="2"/>
      <c r="R111" s="6">
        <f t="shared" si="25"/>
        <v>227301.27890412568</v>
      </c>
      <c r="S111" s="6">
        <f t="shared" si="25"/>
        <v>0</v>
      </c>
      <c r="T111" s="6">
        <f t="shared" si="25"/>
        <v>0</v>
      </c>
      <c r="U111" s="6">
        <f t="shared" si="25"/>
        <v>0</v>
      </c>
      <c r="V111" s="6">
        <f t="shared" si="25"/>
        <v>138357.30020251128</v>
      </c>
      <c r="W111" s="67">
        <f t="shared" si="26"/>
        <v>365658.57910663693</v>
      </c>
    </row>
    <row r="112" spans="3:24" ht="12.75" customHeight="1" x14ac:dyDescent="0.2">
      <c r="C112" s="1" t="s">
        <v>11</v>
      </c>
      <c r="D112" s="1" t="s">
        <v>53</v>
      </c>
      <c r="G112" s="1" t="s">
        <v>51</v>
      </c>
      <c r="H112" s="2"/>
      <c r="I112" s="63"/>
      <c r="K112" s="2"/>
      <c r="Q112" s="2"/>
      <c r="R112" s="6">
        <f t="shared" si="25"/>
        <v>0</v>
      </c>
      <c r="S112" s="6">
        <f t="shared" si="25"/>
        <v>0</v>
      </c>
      <c r="T112" s="6">
        <f t="shared" si="25"/>
        <v>0</v>
      </c>
      <c r="U112" s="6">
        <f t="shared" si="25"/>
        <v>0</v>
      </c>
      <c r="V112" s="6">
        <f t="shared" si="25"/>
        <v>0</v>
      </c>
      <c r="W112" s="6">
        <f t="shared" si="26"/>
        <v>0</v>
      </c>
    </row>
    <row r="113" spans="3:24" ht="12.75" customHeight="1" x14ac:dyDescent="0.2">
      <c r="C113" s="1" t="s">
        <v>12</v>
      </c>
      <c r="D113" s="1" t="s">
        <v>53</v>
      </c>
      <c r="G113" s="1" t="s">
        <v>51</v>
      </c>
      <c r="H113" s="2"/>
      <c r="I113" s="63"/>
      <c r="K113" s="2"/>
      <c r="Q113" s="2"/>
      <c r="R113" s="6">
        <f t="shared" si="25"/>
        <v>0</v>
      </c>
      <c r="S113" s="6">
        <f t="shared" si="25"/>
        <v>0</v>
      </c>
      <c r="T113" s="6">
        <f t="shared" si="25"/>
        <v>0</v>
      </c>
      <c r="U113" s="6">
        <f t="shared" si="25"/>
        <v>0</v>
      </c>
      <c r="V113" s="6">
        <f t="shared" si="25"/>
        <v>0</v>
      </c>
      <c r="W113" s="6">
        <f t="shared" si="26"/>
        <v>0</v>
      </c>
    </row>
    <row r="114" spans="3:24" ht="12.75" customHeight="1" x14ac:dyDescent="0.2">
      <c r="C114" s="1" t="s">
        <v>13</v>
      </c>
      <c r="D114" s="1" t="s">
        <v>53</v>
      </c>
      <c r="G114" s="1" t="s">
        <v>51</v>
      </c>
      <c r="H114" s="2"/>
      <c r="I114" s="63"/>
      <c r="K114" s="2"/>
      <c r="Q114" s="2"/>
      <c r="R114" s="6">
        <f t="shared" si="25"/>
        <v>0</v>
      </c>
      <c r="S114" s="6">
        <f t="shared" si="25"/>
        <v>0</v>
      </c>
      <c r="T114" s="6">
        <f t="shared" si="25"/>
        <v>0</v>
      </c>
      <c r="U114" s="6">
        <f t="shared" si="25"/>
        <v>0</v>
      </c>
      <c r="V114" s="6">
        <f t="shared" si="25"/>
        <v>0</v>
      </c>
      <c r="W114" s="6">
        <f t="shared" si="26"/>
        <v>0</v>
      </c>
    </row>
    <row r="115" spans="3:24" ht="12.75" customHeight="1" x14ac:dyDescent="0.2">
      <c r="C115" s="21" t="s">
        <v>14</v>
      </c>
      <c r="D115" s="21" t="s">
        <v>53</v>
      </c>
      <c r="E115" s="95"/>
      <c r="F115" s="95"/>
      <c r="G115" s="96"/>
      <c r="H115" s="97"/>
      <c r="I115" s="96"/>
      <c r="J115" s="98"/>
      <c r="K115" s="97"/>
      <c r="L115" s="95"/>
      <c r="M115" s="95"/>
      <c r="N115" s="95"/>
      <c r="O115" s="95"/>
      <c r="P115" s="95"/>
      <c r="Q115" s="97"/>
      <c r="R115" s="22">
        <f>SUM(R109:R114)</f>
        <v>9788113.7240437195</v>
      </c>
      <c r="S115" s="22">
        <f t="shared" ref="S115:V115" si="27">SUM(S109:S114)</f>
        <v>4534351.8475827659</v>
      </c>
      <c r="T115" s="22">
        <f t="shared" si="27"/>
        <v>2168728.7536474788</v>
      </c>
      <c r="U115" s="22">
        <f t="shared" si="27"/>
        <v>721601.49596231536</v>
      </c>
      <c r="V115" s="22">
        <f t="shared" si="27"/>
        <v>814047.39168792695</v>
      </c>
      <c r="W115" s="22">
        <f>SUM(W109:W114)</f>
        <v>18026843.212924205</v>
      </c>
    </row>
    <row r="116" spans="3:24" ht="12.75" customHeight="1" x14ac:dyDescent="0.2">
      <c r="C116" s="1" t="s">
        <v>11</v>
      </c>
      <c r="D116" s="1" t="s">
        <v>50</v>
      </c>
      <c r="G116" s="1" t="s">
        <v>1</v>
      </c>
      <c r="H116" s="2"/>
      <c r="I116" s="63"/>
      <c r="K116" s="2"/>
      <c r="Q116" s="2"/>
      <c r="R116" s="107">
        <f t="shared" ref="R116:V121" si="28">R81*business_case_dollars</f>
        <v>0</v>
      </c>
      <c r="S116" s="107">
        <f t="shared" si="28"/>
        <v>0</v>
      </c>
      <c r="T116" s="107">
        <f t="shared" si="28"/>
        <v>0</v>
      </c>
      <c r="U116" s="107">
        <f t="shared" si="28"/>
        <v>0</v>
      </c>
      <c r="V116" s="107">
        <f t="shared" si="28"/>
        <v>0</v>
      </c>
      <c r="W116" s="67">
        <f>SUM(R116:V116)</f>
        <v>0</v>
      </c>
    </row>
    <row r="117" spans="3:24" ht="12.75" customHeight="1" x14ac:dyDescent="0.2">
      <c r="C117" s="1" t="s">
        <v>12</v>
      </c>
      <c r="D117" s="1" t="s">
        <v>50</v>
      </c>
      <c r="G117" s="1" t="s">
        <v>1</v>
      </c>
      <c r="H117" s="2"/>
      <c r="I117" s="63"/>
      <c r="K117" s="2"/>
      <c r="Q117" s="2"/>
      <c r="R117" s="6">
        <f t="shared" si="28"/>
        <v>-136281.23956450672</v>
      </c>
      <c r="S117" s="6">
        <f t="shared" si="28"/>
        <v>52869.271400067089</v>
      </c>
      <c r="T117" s="6">
        <f t="shared" si="28"/>
        <v>868734.48285537073</v>
      </c>
      <c r="U117" s="6">
        <f t="shared" si="28"/>
        <v>1144183.5425938964</v>
      </c>
      <c r="V117" s="6">
        <f t="shared" si="28"/>
        <v>1449331.2216292459</v>
      </c>
      <c r="W117" s="67">
        <f t="shared" ref="W117:W121" si="29">SUM(R117:V117)</f>
        <v>3378837.2789140735</v>
      </c>
    </row>
    <row r="118" spans="3:24" ht="12.75" customHeight="1" x14ac:dyDescent="0.2">
      <c r="C118" s="1" t="s">
        <v>13</v>
      </c>
      <c r="D118" s="1" t="s">
        <v>50</v>
      </c>
      <c r="G118" s="1" t="s">
        <v>1</v>
      </c>
      <c r="H118" s="2"/>
      <c r="I118" s="63"/>
      <c r="K118" s="2"/>
      <c r="Q118" s="2"/>
      <c r="R118" s="6">
        <f t="shared" si="28"/>
        <v>1245889.2988793212</v>
      </c>
      <c r="S118" s="6">
        <f t="shared" si="28"/>
        <v>2215450.2530840361</v>
      </c>
      <c r="T118" s="6">
        <f t="shared" si="28"/>
        <v>3134226.2114118943</v>
      </c>
      <c r="U118" s="6">
        <f t="shared" si="28"/>
        <v>3920262.6935888319</v>
      </c>
      <c r="V118" s="6">
        <f t="shared" si="28"/>
        <v>3956408.5382667375</v>
      </c>
      <c r="W118" s="67">
        <f t="shared" si="29"/>
        <v>14472236.99523082</v>
      </c>
    </row>
    <row r="119" spans="3:24" ht="12.75" customHeight="1" x14ac:dyDescent="0.2">
      <c r="C119" s="1" t="s">
        <v>11</v>
      </c>
      <c r="D119" s="1" t="s">
        <v>50</v>
      </c>
      <c r="G119" s="1" t="s">
        <v>51</v>
      </c>
      <c r="H119" s="2"/>
      <c r="I119" s="63"/>
      <c r="K119" s="2"/>
      <c r="Q119" s="2"/>
      <c r="R119" s="6">
        <f t="shared" si="28"/>
        <v>3200014.1196176303</v>
      </c>
      <c r="S119" s="6">
        <f t="shared" si="28"/>
        <v>3370998.4710497442</v>
      </c>
      <c r="T119" s="6">
        <f t="shared" si="28"/>
        <v>1024042.48473537</v>
      </c>
      <c r="U119" s="6">
        <f t="shared" si="28"/>
        <v>546358.87448197533</v>
      </c>
      <c r="V119" s="6">
        <f t="shared" si="28"/>
        <v>547950.80630537902</v>
      </c>
      <c r="W119" s="6">
        <f t="shared" si="29"/>
        <v>8689364.7561900988</v>
      </c>
    </row>
    <row r="120" spans="3:24" ht="12.75" customHeight="1" x14ac:dyDescent="0.2">
      <c r="C120" s="1" t="s">
        <v>12</v>
      </c>
      <c r="D120" s="1" t="s">
        <v>50</v>
      </c>
      <c r="G120" s="1" t="s">
        <v>51</v>
      </c>
      <c r="H120" s="2"/>
      <c r="I120" s="63"/>
      <c r="K120" s="2"/>
      <c r="Q120" s="2"/>
      <c r="R120" s="6">
        <f t="shared" si="28"/>
        <v>452955.4470915547</v>
      </c>
      <c r="S120" s="6">
        <f t="shared" si="28"/>
        <v>0</v>
      </c>
      <c r="T120" s="6">
        <f t="shared" si="28"/>
        <v>0</v>
      </c>
      <c r="U120" s="6">
        <f t="shared" si="28"/>
        <v>0</v>
      </c>
      <c r="V120" s="6">
        <f t="shared" si="28"/>
        <v>0</v>
      </c>
      <c r="W120" s="6">
        <f t="shared" si="29"/>
        <v>452955.4470915547</v>
      </c>
    </row>
    <row r="121" spans="3:24" ht="12.75" customHeight="1" x14ac:dyDescent="0.2">
      <c r="C121" s="1" t="s">
        <v>13</v>
      </c>
      <c r="D121" s="1" t="s">
        <v>50</v>
      </c>
      <c r="G121" s="1" t="s">
        <v>51</v>
      </c>
      <c r="H121" s="2"/>
      <c r="I121" s="63"/>
      <c r="K121" s="2"/>
      <c r="Q121" s="2"/>
      <c r="R121" s="6">
        <f t="shared" si="28"/>
        <v>0</v>
      </c>
      <c r="S121" s="6">
        <f t="shared" si="28"/>
        <v>0</v>
      </c>
      <c r="T121" s="6">
        <f t="shared" si="28"/>
        <v>0</v>
      </c>
      <c r="U121" s="6">
        <f t="shared" si="28"/>
        <v>0</v>
      </c>
      <c r="V121" s="6">
        <f t="shared" si="28"/>
        <v>0</v>
      </c>
      <c r="W121" s="6">
        <f t="shared" si="29"/>
        <v>0</v>
      </c>
    </row>
    <row r="122" spans="3:24" ht="12.75" customHeight="1" x14ac:dyDescent="0.2">
      <c r="C122" s="21" t="s">
        <v>15</v>
      </c>
      <c r="D122" s="21" t="s">
        <v>50</v>
      </c>
      <c r="E122" s="95"/>
      <c r="F122" s="95"/>
      <c r="G122" s="96"/>
      <c r="H122" s="97"/>
      <c r="I122" s="96"/>
      <c r="J122" s="98"/>
      <c r="K122" s="97"/>
      <c r="L122" s="95"/>
      <c r="M122" s="95"/>
      <c r="N122" s="95"/>
      <c r="O122" s="95"/>
      <c r="P122" s="95"/>
      <c r="Q122" s="97"/>
      <c r="R122" s="22">
        <f>SUM(R116:R121)</f>
        <v>4762577.6260239994</v>
      </c>
      <c r="S122" s="22">
        <f t="shared" ref="S122:W122" si="30">SUM(S116:S121)</f>
        <v>5639317.9955338473</v>
      </c>
      <c r="T122" s="22">
        <f t="shared" si="30"/>
        <v>5027003.1790026352</v>
      </c>
      <c r="U122" s="22">
        <f t="shared" si="30"/>
        <v>5610805.1106647039</v>
      </c>
      <c r="V122" s="22">
        <f t="shared" si="30"/>
        <v>5953690.5662013618</v>
      </c>
      <c r="W122" s="22">
        <f t="shared" si="30"/>
        <v>26993394.477426548</v>
      </c>
    </row>
    <row r="123" spans="3:24" ht="12.75" customHeight="1" x14ac:dyDescent="0.2">
      <c r="H123" s="2"/>
      <c r="I123" s="63"/>
      <c r="K123" s="2"/>
      <c r="Q123" s="2"/>
      <c r="R123" s="6"/>
      <c r="S123" s="6"/>
      <c r="T123" s="6"/>
      <c r="U123" s="6"/>
      <c r="V123" s="6"/>
      <c r="W123" s="67"/>
    </row>
    <row r="124" spans="3:24" x14ac:dyDescent="0.2">
      <c r="C124" s="7" t="str">
        <f>"Total Expenditure ($ "&amp;Assumptions!$C$39&amp;")"</f>
        <v>Total Expenditure ($ June 2026)</v>
      </c>
      <c r="D124" s="7" t="s">
        <v>59</v>
      </c>
      <c r="E124" s="7"/>
      <c r="F124" s="7"/>
      <c r="G124" s="7"/>
      <c r="H124" s="2"/>
      <c r="I124" s="7"/>
      <c r="J124" s="10"/>
      <c r="K124" s="2"/>
      <c r="L124" s="7"/>
      <c r="M124" s="7"/>
      <c r="N124" s="7"/>
      <c r="O124" s="7"/>
      <c r="P124" s="7"/>
      <c r="Q124" s="2"/>
      <c r="R124" s="8">
        <f>R115+R122</f>
        <v>14550691.35006772</v>
      </c>
      <c r="S124" s="8">
        <f t="shared" ref="S124:V124" si="31">S115+S122</f>
        <v>10173669.843116613</v>
      </c>
      <c r="T124" s="8">
        <f t="shared" si="31"/>
        <v>7195731.9326501135</v>
      </c>
      <c r="U124" s="8">
        <f t="shared" si="31"/>
        <v>6332406.6066270191</v>
      </c>
      <c r="V124" s="8">
        <f t="shared" si="31"/>
        <v>6767737.9578892887</v>
      </c>
      <c r="W124" s="68">
        <f t="shared" si="26"/>
        <v>45020237.690350749</v>
      </c>
    </row>
    <row r="125" spans="3:24" x14ac:dyDescent="0.2">
      <c r="H125" s="2"/>
      <c r="K125" s="2"/>
      <c r="Q125" s="2"/>
      <c r="R125" s="43">
        <f>SUM(R10:R70)*business_case_dollars-R124</f>
        <v>0</v>
      </c>
      <c r="S125" s="43">
        <f>SUM(S10:S70)*business_case_dollars-S124</f>
        <v>0</v>
      </c>
      <c r="T125" s="43">
        <f>SUM(T10:T70)*business_case_dollars-T124</f>
        <v>0</v>
      </c>
      <c r="U125" s="43">
        <f>SUM(U10:U70)*business_case_dollars-U124</f>
        <v>0</v>
      </c>
      <c r="V125" s="43">
        <f>SUM(V10:V70)*business_case_dollars-V124</f>
        <v>0</v>
      </c>
      <c r="W125" s="43">
        <f>SUM(R10:V70)*business_case_dollars-W124</f>
        <v>0</v>
      </c>
      <c r="X125" s="43">
        <f>SUM(R125:W125)</f>
        <v>0</v>
      </c>
    </row>
    <row r="126" spans="3:24" x14ac:dyDescent="0.2">
      <c r="C126" s="51" t="str">
        <f>"NPV ($ "&amp;Assumptions!$C$39&amp;")"</f>
        <v>NPV ($ June 2026)</v>
      </c>
      <c r="D126" s="52">
        <f>NPV(Real_Discount_rate,R124:V124)</f>
        <v>41262586.85555815</v>
      </c>
      <c r="H126" s="2"/>
      <c r="K126" s="2"/>
      <c r="Q126" s="2"/>
      <c r="R126" s="49"/>
      <c r="S126" s="49"/>
      <c r="T126" s="49"/>
      <c r="U126" s="49"/>
      <c r="V126" s="49"/>
    </row>
    <row r="129" spans="3:24" x14ac:dyDescent="0.2">
      <c r="C129" s="4" t="s">
        <v>54</v>
      </c>
      <c r="G129" s="3"/>
      <c r="H129" s="2"/>
      <c r="K129" s="2"/>
      <c r="Q129" s="2"/>
      <c r="R129" s="64" t="s">
        <v>6</v>
      </c>
      <c r="S129" s="64" t="s">
        <v>7</v>
      </c>
      <c r="T129" s="64" t="s">
        <v>8</v>
      </c>
      <c r="U129" s="64" t="s">
        <v>9</v>
      </c>
      <c r="V129" s="64" t="s">
        <v>10</v>
      </c>
      <c r="W129" s="104" t="s">
        <v>0</v>
      </c>
    </row>
    <row r="130" spans="3:24" x14ac:dyDescent="0.2">
      <c r="C130" s="24"/>
      <c r="D130" s="24" t="s">
        <v>53</v>
      </c>
      <c r="E130" s="24"/>
      <c r="F130" s="24"/>
      <c r="G130" s="24" t="s">
        <v>1</v>
      </c>
      <c r="H130" s="2"/>
      <c r="I130" s="61"/>
      <c r="J130" s="62"/>
      <c r="K130" s="2"/>
      <c r="L130" s="24"/>
      <c r="M130" s="24"/>
      <c r="N130" s="24"/>
      <c r="O130" s="24"/>
      <c r="P130" s="24"/>
      <c r="Q130" s="2"/>
      <c r="R130" s="25">
        <f t="shared" ref="R130:V131" si="32">R96*business_case_dollars</f>
        <v>9788113.7240437176</v>
      </c>
      <c r="S130" s="25">
        <f t="shared" si="32"/>
        <v>4534351.8475827659</v>
      </c>
      <c r="T130" s="25">
        <f t="shared" si="32"/>
        <v>2168728.7536474788</v>
      </c>
      <c r="U130" s="25">
        <f t="shared" si="32"/>
        <v>721601.49596231547</v>
      </c>
      <c r="V130" s="25">
        <f t="shared" si="32"/>
        <v>814047.39168792695</v>
      </c>
      <c r="W130" s="67">
        <f t="shared" ref="W130:W131" si="33">SUM(R130:V130)</f>
        <v>18026843.212924205</v>
      </c>
    </row>
    <row r="131" spans="3:24" x14ac:dyDescent="0.2">
      <c r="D131" s="1" t="s">
        <v>50</v>
      </c>
      <c r="G131" s="1" t="s">
        <v>1</v>
      </c>
      <c r="H131" s="2"/>
      <c r="K131" s="2"/>
      <c r="Q131" s="2"/>
      <c r="R131" s="103">
        <f t="shared" si="32"/>
        <v>1109608.0593148144</v>
      </c>
      <c r="S131" s="103">
        <f t="shared" si="32"/>
        <v>2268319.5244841031</v>
      </c>
      <c r="T131" s="103">
        <f t="shared" si="32"/>
        <v>4002960.6942672646</v>
      </c>
      <c r="U131" s="103">
        <f t="shared" si="32"/>
        <v>5064446.2361827279</v>
      </c>
      <c r="V131" s="103">
        <f t="shared" si="32"/>
        <v>5405739.7598959841</v>
      </c>
      <c r="W131" s="67">
        <f t="shared" si="33"/>
        <v>17851074.274144895</v>
      </c>
    </row>
    <row r="132" spans="3:24" x14ac:dyDescent="0.2">
      <c r="C132" s="21" t="s">
        <v>56</v>
      </c>
      <c r="D132" s="21"/>
      <c r="E132" s="95"/>
      <c r="F132" s="95"/>
      <c r="G132" s="96"/>
      <c r="H132" s="2"/>
      <c r="I132" s="96"/>
      <c r="J132" s="98"/>
      <c r="K132" s="97"/>
      <c r="L132" s="95"/>
      <c r="M132" s="95"/>
      <c r="N132" s="95"/>
      <c r="O132" s="95"/>
      <c r="P132" s="95"/>
      <c r="Q132" s="2"/>
      <c r="R132" s="22">
        <f>SUM(R130:R131)</f>
        <v>10897721.783358533</v>
      </c>
      <c r="S132" s="22">
        <f t="shared" ref="S132:W132" si="34">SUM(S130:S131)</f>
        <v>6802671.3720668685</v>
      </c>
      <c r="T132" s="22">
        <f t="shared" si="34"/>
        <v>6171689.4479147438</v>
      </c>
      <c r="U132" s="22">
        <f t="shared" si="34"/>
        <v>5786047.7321450431</v>
      </c>
      <c r="V132" s="22">
        <f t="shared" si="34"/>
        <v>6219787.1515839109</v>
      </c>
      <c r="W132" s="22">
        <f t="shared" si="34"/>
        <v>35877917.4870691</v>
      </c>
    </row>
    <row r="133" spans="3:24" x14ac:dyDescent="0.2">
      <c r="C133" s="4"/>
      <c r="D133" s="1" t="s">
        <v>53</v>
      </c>
      <c r="G133" s="1" t="s">
        <v>51</v>
      </c>
      <c r="H133" s="2"/>
      <c r="I133" s="63"/>
      <c r="K133" s="2"/>
      <c r="Q133" s="2"/>
      <c r="R133" s="6">
        <f t="shared" ref="R133:V134" si="35">R99*business_case_dollars</f>
        <v>0</v>
      </c>
      <c r="S133" s="6">
        <f t="shared" si="35"/>
        <v>0</v>
      </c>
      <c r="T133" s="6">
        <f t="shared" si="35"/>
        <v>0</v>
      </c>
      <c r="U133" s="6">
        <f t="shared" si="35"/>
        <v>0</v>
      </c>
      <c r="V133" s="6">
        <f t="shared" si="35"/>
        <v>0</v>
      </c>
      <c r="W133" s="67">
        <f t="shared" ref="W133:W134" si="36">SUM(R133:V133)</f>
        <v>0</v>
      </c>
    </row>
    <row r="134" spans="3:24" x14ac:dyDescent="0.2">
      <c r="C134" s="4"/>
      <c r="D134" s="1" t="s">
        <v>50</v>
      </c>
      <c r="G134" s="1" t="s">
        <v>51</v>
      </c>
      <c r="H134" s="2"/>
      <c r="I134" s="63"/>
      <c r="K134" s="2"/>
      <c r="Q134" s="2"/>
      <c r="R134" s="6">
        <f t="shared" si="35"/>
        <v>3652969.5667091855</v>
      </c>
      <c r="S134" s="6">
        <f t="shared" si="35"/>
        <v>3370998.4710497442</v>
      </c>
      <c r="T134" s="6">
        <f t="shared" si="35"/>
        <v>1024042.48473537</v>
      </c>
      <c r="U134" s="6">
        <f t="shared" si="35"/>
        <v>546358.87448197533</v>
      </c>
      <c r="V134" s="6">
        <f t="shared" si="35"/>
        <v>547950.80630537902</v>
      </c>
      <c r="W134" s="67">
        <f t="shared" si="36"/>
        <v>9142320.203281654</v>
      </c>
    </row>
    <row r="135" spans="3:24" x14ac:dyDescent="0.2">
      <c r="C135" s="21" t="s">
        <v>57</v>
      </c>
      <c r="D135" s="21"/>
      <c r="E135" s="95"/>
      <c r="F135" s="95"/>
      <c r="G135" s="96"/>
      <c r="H135" s="2"/>
      <c r="I135" s="96"/>
      <c r="J135" s="98"/>
      <c r="K135" s="97"/>
      <c r="L135" s="95"/>
      <c r="M135" s="95"/>
      <c r="N135" s="95"/>
      <c r="O135" s="95"/>
      <c r="P135" s="95"/>
      <c r="Q135" s="2"/>
      <c r="R135" s="22">
        <f>SUM(R133:R134)</f>
        <v>3652969.5667091855</v>
      </c>
      <c r="S135" s="22">
        <f t="shared" ref="S135:W135" si="37">SUM(S133:S134)</f>
        <v>3370998.4710497442</v>
      </c>
      <c r="T135" s="22">
        <f t="shared" si="37"/>
        <v>1024042.48473537</v>
      </c>
      <c r="U135" s="22">
        <f t="shared" si="37"/>
        <v>546358.87448197533</v>
      </c>
      <c r="V135" s="22">
        <f t="shared" si="37"/>
        <v>547950.80630537902</v>
      </c>
      <c r="W135" s="22">
        <f t="shared" si="37"/>
        <v>9142320.203281654</v>
      </c>
    </row>
    <row r="136" spans="3:24" x14ac:dyDescent="0.2">
      <c r="C136" s="4"/>
      <c r="D136" s="4"/>
      <c r="G136" s="63"/>
      <c r="H136" s="2"/>
      <c r="I136" s="63"/>
      <c r="K136" s="2"/>
      <c r="Q136" s="2"/>
      <c r="R136" s="23"/>
      <c r="S136" s="23"/>
      <c r="T136" s="23"/>
      <c r="U136" s="23"/>
      <c r="V136" s="23"/>
      <c r="W136" s="23"/>
    </row>
    <row r="137" spans="3:24" x14ac:dyDescent="0.2">
      <c r="C137" s="7" t="str">
        <f>"Total Expenditure ($ "&amp;Assumptions!$C$39&amp;")"</f>
        <v>Total Expenditure ($ June 2026)</v>
      </c>
      <c r="D137" s="7"/>
      <c r="E137" s="7"/>
      <c r="F137" s="7"/>
      <c r="G137" s="7"/>
      <c r="H137" s="2"/>
      <c r="I137" s="7"/>
      <c r="J137" s="10"/>
      <c r="K137" s="2"/>
      <c r="L137" s="7"/>
      <c r="M137" s="7"/>
      <c r="N137" s="7"/>
      <c r="O137" s="7"/>
      <c r="P137" s="7"/>
      <c r="Q137" s="2"/>
      <c r="R137" s="8">
        <f>R132+R135</f>
        <v>14550691.350067718</v>
      </c>
      <c r="S137" s="8">
        <f t="shared" ref="S137:V137" si="38">S132+S135</f>
        <v>10173669.843116613</v>
      </c>
      <c r="T137" s="8">
        <f t="shared" si="38"/>
        <v>7195731.9326501135</v>
      </c>
      <c r="U137" s="8">
        <f t="shared" si="38"/>
        <v>6332406.6066270182</v>
      </c>
      <c r="V137" s="8">
        <f t="shared" si="38"/>
        <v>6767737.9578892896</v>
      </c>
      <c r="W137" s="68">
        <f t="shared" ref="W137" si="39">SUM(R137:V137)</f>
        <v>45020237.690350749</v>
      </c>
    </row>
    <row r="138" spans="3:24" x14ac:dyDescent="0.2">
      <c r="C138" s="42" t="s">
        <v>55</v>
      </c>
      <c r="D138" s="42"/>
      <c r="E138" s="42"/>
      <c r="F138" s="42"/>
      <c r="G138" s="42"/>
      <c r="H138" s="2"/>
      <c r="I138" s="42"/>
      <c r="J138" s="42"/>
      <c r="K138" s="2"/>
      <c r="L138" s="42"/>
      <c r="M138" s="42"/>
      <c r="N138" s="42"/>
      <c r="O138" s="42"/>
      <c r="P138" s="42"/>
      <c r="Q138" s="2"/>
      <c r="R138" s="43">
        <f>R137-SUM(R$10:R$70)*business_case_dollars</f>
        <v>0</v>
      </c>
      <c r="S138" s="43">
        <f>S137-SUM(S$10:S$70)*business_case_dollars</f>
        <v>0</v>
      </c>
      <c r="T138" s="43">
        <f>T137-SUM(T$10:T$70)*business_case_dollars</f>
        <v>0</v>
      </c>
      <c r="U138" s="43">
        <f>U137-SUM(U$10:U$70)*business_case_dollars</f>
        <v>0</v>
      </c>
      <c r="V138" s="43">
        <f>V137-SUM(V$10:V$70)*business_case_dollars</f>
        <v>0</v>
      </c>
      <c r="W138" s="43">
        <f>W137-SUM(R$10:V$70)*business_case_dollars</f>
        <v>0</v>
      </c>
      <c r="X138" s="43">
        <f>SUM(R138:W138)</f>
        <v>0</v>
      </c>
    </row>
  </sheetData>
  <conditionalFormatting sqref="F10:F70">
    <cfRule type="expression" dxfId="13" priority="1">
      <formula>$E10="Contracts"</formula>
    </cfRule>
    <cfRule type="expression" dxfId="12" priority="2">
      <formula>$E10="Materials"</formula>
    </cfRule>
    <cfRule type="expression" dxfId="11" priority="3">
      <formula>$E10="Labour"</formula>
    </cfRule>
  </conditionalFormatting>
  <conditionalFormatting sqref="I10:I70">
    <cfRule type="expression" dxfId="10" priority="4">
      <formula>$E10="Contracts"</formula>
    </cfRule>
    <cfRule type="expression" dxfId="9" priority="5">
      <formula>$E10="Materials"</formula>
    </cfRule>
    <cfRule type="expression" dxfId="8" priority="6">
      <formula>$E10="Labour"</formula>
    </cfRule>
  </conditionalFormatting>
  <conditionalFormatting sqref="R90:W90">
    <cfRule type="expression" dxfId="7" priority="14">
      <formula>ABS(R90)&gt;0.001</formula>
    </cfRule>
  </conditionalFormatting>
  <conditionalFormatting sqref="R104:W107">
    <cfRule type="expression" dxfId="6" priority="12">
      <formula>ABS(R104)&gt;0.001</formula>
    </cfRule>
  </conditionalFormatting>
  <conditionalFormatting sqref="R125:W125">
    <cfRule type="expression" dxfId="5" priority="15">
      <formula>ABS(R125)&gt;0.001</formula>
    </cfRule>
  </conditionalFormatting>
  <conditionalFormatting sqref="R138:W138">
    <cfRule type="expression" dxfId="4" priority="10">
      <formula>ABS(R138)&gt;0.001</formula>
    </cfRule>
  </conditionalFormatting>
  <conditionalFormatting sqref="X90">
    <cfRule type="expression" dxfId="3" priority="17">
      <formula>ABS(X90)&gt;0.001</formula>
    </cfRule>
  </conditionalFormatting>
  <conditionalFormatting sqref="X104:X107">
    <cfRule type="expression" dxfId="2" priority="13">
      <formula>ABS(X104)&gt;0.001</formula>
    </cfRule>
  </conditionalFormatting>
  <conditionalFormatting sqref="X125">
    <cfRule type="expression" dxfId="1" priority="16">
      <formula>ABS(X125)&gt;0.001</formula>
    </cfRule>
  </conditionalFormatting>
  <conditionalFormatting sqref="X138">
    <cfRule type="expression" dxfId="0" priority="11">
      <formula>ABS(X138)&gt;0.001</formula>
    </cfRule>
  </conditionalFormatting>
  <dataValidations count="3">
    <dataValidation type="list" allowBlank="1" showInputMessage="1" showErrorMessage="1" sqref="E10:E70" xr:uid="{9D547D33-0C71-40C8-B5C5-A9BD121104A1}">
      <formula1>"Labour, Materials, Contracts"</formula1>
    </dataValidation>
    <dataValidation type="list" allowBlank="1" showInputMessage="1" showErrorMessage="1" sqref="D10:D70" xr:uid="{E50D6564-373B-4C20-82B2-B45A5B66C9F1}">
      <formula1>"Capex, Opex"</formula1>
    </dataValidation>
    <dataValidation type="list" allowBlank="1" showInputMessage="1" showErrorMessage="1" sqref="G10:G70" xr:uid="{4EF829CA-5530-40F7-BA9E-9F7232439941}">
      <formula1>"Recurrent, Non recurrent"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1724AD-7D42-4B98-9D41-FF90A2A16404}">
          <x14:formula1>
            <xm:f>IF($E40="Labour",Assumptions!$A$57:$A$58,Assumptions!$K$11:$K$12)</xm:f>
          </x14:formula1>
          <xm:sqref>F40:F70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Cover</vt:lpstr>
      <vt:lpstr>UE summary</vt:lpstr>
      <vt:lpstr>Assumptions</vt:lpstr>
      <vt:lpstr>Option 1</vt:lpstr>
      <vt:lpstr>Option 2</vt:lpstr>
      <vt:lpstr>Option 3</vt:lpstr>
      <vt:lpstr>Option 4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  <vt:lpstr>'Option 4'!years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2025-01-26T14:20:59Z</dcterms:created>
  <dcterms:modified xsi:type="dcterms:W3CDTF">2025-01-26T23:09:30Z</dcterms:modified>
  <cp:category/>
  <cp:contentStatus/>
</cp:coreProperties>
</file>