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5CCBF3A8-FFAB-4980-A971-F54494B24280}" xr6:coauthVersionLast="47" xr6:coauthVersionMax="47" xr10:uidLastSave="{00000000-0000-0000-0000-000000000000}"/>
  <bookViews>
    <workbookView xWindow="3285" yWindow="3285" windowWidth="21795" windowHeight="994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9" r:id="rId11"/>
    <sheet name="Workings_risks" sheetId="88" r:id="rId12"/>
    <sheet name="Misc_calcs" sheetId="62" r:id="rId13"/>
    <sheet name="Data" sheetId="47" r:id="rId14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olar_demand_correction">'Option1 (base case)'!$E$27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M14" i="81"/>
  <c r="J14" i="81"/>
  <c r="K14" i="81"/>
  <c r="L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I14" i="81"/>
  <c r="N27" i="81" l="1"/>
  <c r="O27" i="81"/>
  <c r="P27" i="81"/>
  <c r="Q27" i="81"/>
  <c r="R27" i="81"/>
  <c r="S27" i="81"/>
  <c r="T27" i="81"/>
  <c r="U27" i="81"/>
  <c r="V27" i="81"/>
  <c r="W27" i="81"/>
  <c r="X27" i="81"/>
  <c r="Y27" i="81"/>
  <c r="Z27" i="81"/>
  <c r="AA27" i="81"/>
  <c r="AB27" i="81"/>
  <c r="AC27" i="81"/>
  <c r="AD27" i="81"/>
  <c r="AE27" i="81"/>
  <c r="AF27" i="81"/>
  <c r="AG27" i="81"/>
  <c r="N30" i="81"/>
  <c r="O30" i="81"/>
  <c r="P30" i="81"/>
  <c r="Q30" i="81"/>
  <c r="R30" i="81"/>
  <c r="S30" i="81"/>
  <c r="T30" i="81"/>
  <c r="U30" i="81"/>
  <c r="V30" i="81"/>
  <c r="W30" i="81"/>
  <c r="X30" i="81"/>
  <c r="Y30" i="81"/>
  <c r="Z30" i="81"/>
  <c r="AA30" i="81"/>
  <c r="AB30" i="81"/>
  <c r="AC30" i="81"/>
  <c r="AD30" i="81"/>
  <c r="AE30" i="81"/>
  <c r="AF30" i="81"/>
  <c r="AG30" i="81"/>
  <c r="N31" i="81"/>
  <c r="O31" i="81"/>
  <c r="P31" i="81"/>
  <c r="Q31" i="81"/>
  <c r="R31" i="81"/>
  <c r="S31" i="81"/>
  <c r="T31" i="81"/>
  <c r="U31" i="81"/>
  <c r="V31" i="81"/>
  <c r="W31" i="81"/>
  <c r="X31" i="81"/>
  <c r="Y31" i="81"/>
  <c r="Z31" i="81"/>
  <c r="AA31" i="81"/>
  <c r="AB31" i="81"/>
  <c r="AC31" i="81"/>
  <c r="AD31" i="81"/>
  <c r="AE31" i="81"/>
  <c r="AF31" i="81"/>
  <c r="AG31" i="81"/>
  <c r="N34" i="81"/>
  <c r="O34" i="81"/>
  <c r="P34" i="81"/>
  <c r="Q34" i="81"/>
  <c r="R34" i="81"/>
  <c r="S34" i="81"/>
  <c r="T34" i="81"/>
  <c r="U34" i="81"/>
  <c r="V34" i="81"/>
  <c r="W34" i="81"/>
  <c r="X34" i="81"/>
  <c r="Y34" i="81"/>
  <c r="Z34" i="81"/>
  <c r="AA34" i="81"/>
  <c r="AB34" i="81"/>
  <c r="AC34" i="81"/>
  <c r="AD34" i="81"/>
  <c r="AE34" i="81"/>
  <c r="AF34" i="81"/>
  <c r="AG34" i="81"/>
  <c r="I31" i="81"/>
  <c r="J31" i="68"/>
  <c r="K31" i="68"/>
  <c r="L31" i="68"/>
  <c r="M31" i="68"/>
  <c r="N31" i="68"/>
  <c r="O31" i="68"/>
  <c r="P31" i="68"/>
  <c r="Q31" i="68"/>
  <c r="R31" i="68"/>
  <c r="S31" i="68"/>
  <c r="T31" i="68"/>
  <c r="U31" i="68"/>
  <c r="V31" i="68"/>
  <c r="W31" i="68"/>
  <c r="X31" i="68"/>
  <c r="Y31" i="68"/>
  <c r="Z31" i="68"/>
  <c r="AA31" i="68"/>
  <c r="AB31" i="68"/>
  <c r="AC31" i="68"/>
  <c r="AD31" i="68"/>
  <c r="AE31" i="68"/>
  <c r="AF31" i="68"/>
  <c r="AG31" i="68"/>
  <c r="I31" i="68"/>
  <c r="J30" i="68"/>
  <c r="K30" i="68"/>
  <c r="L30" i="68"/>
  <c r="M30" i="68"/>
  <c r="N30" i="68"/>
  <c r="O30" i="68"/>
  <c r="P30" i="68"/>
  <c r="Q30" i="68"/>
  <c r="R30" i="68"/>
  <c r="S30" i="68"/>
  <c r="T30" i="68"/>
  <c r="U30" i="68"/>
  <c r="V30" i="68"/>
  <c r="W30" i="68"/>
  <c r="X30" i="68"/>
  <c r="Y30" i="68"/>
  <c r="Z30" i="68"/>
  <c r="AA30" i="68"/>
  <c r="AB30" i="68"/>
  <c r="AC30" i="68"/>
  <c r="AD30" i="68"/>
  <c r="AE30" i="68"/>
  <c r="AF30" i="68"/>
  <c r="AG30" i="68"/>
  <c r="I30" i="68"/>
  <c r="L34" i="68"/>
  <c r="M34" i="68"/>
  <c r="N34" i="68"/>
  <c r="O34" i="68"/>
  <c r="P34" i="68"/>
  <c r="Q34" i="68"/>
  <c r="R34" i="68"/>
  <c r="S34" i="68"/>
  <c r="T34" i="68"/>
  <c r="U34" i="68"/>
  <c r="V34" i="68"/>
  <c r="W34" i="68"/>
  <c r="X34" i="68"/>
  <c r="Y34" i="68"/>
  <c r="Z34" i="68"/>
  <c r="AA34" i="68"/>
  <c r="AB34" i="68"/>
  <c r="AC34" i="68"/>
  <c r="AD34" i="68"/>
  <c r="AE34" i="68"/>
  <c r="AF34" i="68"/>
  <c r="AG34" i="68"/>
  <c r="I34" i="68"/>
  <c r="J27" i="68"/>
  <c r="K27" i="68"/>
  <c r="L27" i="68"/>
  <c r="M27" i="68"/>
  <c r="N27" i="68"/>
  <c r="O27" i="68"/>
  <c r="P27" i="68"/>
  <c r="Q27" i="68"/>
  <c r="R27" i="68"/>
  <c r="S27" i="68"/>
  <c r="T27" i="68"/>
  <c r="U27" i="68"/>
  <c r="V27" i="68"/>
  <c r="W27" i="68"/>
  <c r="X27" i="68"/>
  <c r="Y27" i="68"/>
  <c r="Z27" i="68"/>
  <c r="AA27" i="68"/>
  <c r="AB27" i="68"/>
  <c r="AC27" i="68"/>
  <c r="AD27" i="68"/>
  <c r="AE27" i="68"/>
  <c r="AF27" i="68"/>
  <c r="AG27" i="68"/>
  <c r="I27" i="68"/>
  <c r="M16" i="88"/>
  <c r="M34" i="81" s="1"/>
  <c r="L16" i="88"/>
  <c r="L34" i="81" s="1"/>
  <c r="K16" i="88"/>
  <c r="K34" i="68" s="1"/>
  <c r="J16" i="88"/>
  <c r="J34" i="68" s="1"/>
  <c r="I16" i="88"/>
  <c r="I34" i="81" s="1"/>
  <c r="M14" i="88"/>
  <c r="M31" i="81" s="1"/>
  <c r="L14" i="88"/>
  <c r="L31" i="81" s="1"/>
  <c r="K14" i="88"/>
  <c r="K31" i="81" s="1"/>
  <c r="J14" i="88"/>
  <c r="J31" i="81" s="1"/>
  <c r="I14" i="88"/>
  <c r="M12" i="88"/>
  <c r="M30" i="81" s="1"/>
  <c r="L12" i="88"/>
  <c r="L30" i="81" s="1"/>
  <c r="K12" i="88"/>
  <c r="K30" i="81" s="1"/>
  <c r="J12" i="88"/>
  <c r="J30" i="81" s="1"/>
  <c r="I12" i="88"/>
  <c r="I30" i="81" s="1"/>
  <c r="M10" i="88"/>
  <c r="M27" i="81" s="1"/>
  <c r="L10" i="88"/>
  <c r="L27" i="81" s="1"/>
  <c r="K10" i="88"/>
  <c r="K27" i="81" s="1"/>
  <c r="J10" i="88"/>
  <c r="J27" i="81" s="1"/>
  <c r="I10" i="88"/>
  <c r="I27" i="81" s="1"/>
  <c r="K34" i="81" l="1"/>
  <c r="J34" i="81"/>
  <c r="A2" i="89"/>
  <c r="A1" i="89"/>
  <c r="A2" i="88" l="1"/>
  <c r="A1" i="88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N28" i="81" l="1"/>
  <c r="N36" i="81" s="1"/>
  <c r="P28" i="81"/>
  <c r="P36" i="81" s="1"/>
  <c r="Q28" i="81"/>
  <c r="Q36" i="81" s="1"/>
  <c r="R28" i="81"/>
  <c r="R36" i="81" s="1"/>
  <c r="O28" i="81"/>
  <c r="O36" i="81" s="1"/>
  <c r="U28" i="81"/>
  <c r="U36" i="81" s="1"/>
  <c r="AD28" i="81"/>
  <c r="AD36" i="81" s="1"/>
  <c r="Y28" i="81"/>
  <c r="Y36" i="81" s="1"/>
  <c r="K28" i="81"/>
  <c r="K36" i="81" s="1"/>
  <c r="V28" i="81"/>
  <c r="V36" i="81" s="1"/>
  <c r="AG28" i="81"/>
  <c r="AG36" i="81" s="1"/>
  <c r="AB28" i="81"/>
  <c r="AB36" i="81" s="1"/>
  <c r="AC28" i="81"/>
  <c r="AC36" i="81" s="1"/>
  <c r="J28" i="81"/>
  <c r="J36" i="81" s="1"/>
  <c r="Z28" i="81"/>
  <c r="Z36" i="81" s="1"/>
  <c r="L28" i="81"/>
  <c r="L36" i="81" s="1"/>
  <c r="M28" i="81"/>
  <c r="M36" i="81" s="1"/>
  <c r="T28" i="81"/>
  <c r="T36" i="81" s="1"/>
  <c r="AE28" i="81"/>
  <c r="AE36" i="81" s="1"/>
  <c r="AA28" i="81"/>
  <c r="AA36" i="81" s="1"/>
  <c r="AF28" i="81"/>
  <c r="AF36" i="81" s="1"/>
  <c r="X28" i="81"/>
  <c r="X36" i="81" s="1"/>
  <c r="W28" i="81"/>
  <c r="W36" i="81" s="1"/>
  <c r="S28" i="81"/>
  <c r="S36" i="81" s="1"/>
  <c r="AA75" i="75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I22" i="75" s="1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I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AD22" i="75"/>
  <c r="K22" i="75"/>
  <c r="V22" i="75"/>
  <c r="J22" i="75"/>
  <c r="AA22" i="75" l="1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0" i="75"/>
  <c r="T28" i="75"/>
  <c r="AG30" i="75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0" i="75"/>
  <c r="AF28" i="75"/>
  <c r="Z30" i="75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0" i="75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0" i="75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0" i="75"/>
  <c r="U28" i="75"/>
  <c r="V36" i="72"/>
  <c r="V44" i="75" s="1"/>
  <c r="V42" i="75"/>
  <c r="AD36" i="72"/>
  <c r="AD44" i="75" s="1"/>
  <c r="AD42" i="75"/>
  <c r="V36" i="73"/>
  <c r="V58" i="75" s="1"/>
  <c r="V56" i="75"/>
  <c r="R30" i="75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0" i="75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0" i="75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0" i="75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0" i="75"/>
  <c r="AB28" i="75"/>
  <c r="AF36" i="68"/>
  <c r="AF14" i="75"/>
  <c r="Y36" i="73"/>
  <c r="Y58" i="75" s="1"/>
  <c r="Y56" i="75"/>
  <c r="Q36" i="73"/>
  <c r="Q58" i="75" s="1"/>
  <c r="Q56" i="75"/>
  <c r="P30" i="75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0" i="75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0" i="75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0" i="75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0" i="75"/>
  <c r="W28" i="75"/>
  <c r="S30" i="75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0" i="75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0" i="75"/>
  <c r="AE28" i="75"/>
  <c r="AD30" i="75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0" i="75"/>
  <c r="L28" i="75"/>
  <c r="M36" i="73"/>
  <c r="M58" i="75" s="1"/>
  <c r="M56" i="75"/>
  <c r="AC30" i="75"/>
  <c r="AC28" i="75"/>
  <c r="V30" i="75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<sst xmlns="http://schemas.openxmlformats.org/spreadsheetml/2006/main" count="813" uniqueCount="281">
  <si>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</si>
  <si>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</si>
  <si>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</si>
  <si>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</si>
  <si>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</si>
  <si>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</si>
  <si>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</si>
  <si>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</si>
  <si>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</si>
  <si>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</si>
  <si>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</si>
  <si>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</si>
  <si>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</si>
  <si>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</si>
  <si>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</si>
  <si>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</si>
  <si>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</si>
  <si>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</si>
  <si>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</si>
  <si>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</si>
  <si>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</si>
  <si>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</si>
  <si>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</si>
  <si>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</si>
  <si>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</si>
  <si>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</si>
  <si>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</si>
  <si>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</si>
  <si>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</si>
  <si>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</si>
  <si>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</si>
  <si>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</si>
  <si>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</si>
  <si>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</si>
  <si>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</si>
  <si>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</si>
  <si>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</si>
  <si>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</si>
  <si>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</si>
  <si>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</si>
  <si>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</si>
  <si>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</si>
  <si>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</si>
  <si>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</si>
  <si>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</si>
  <si>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</si>
  <si>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</si>
  <si>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</si>
  <si>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</si>
  <si>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</si>
  <si>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</si>
  <si>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</si>
  <si>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</si>
  <si>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</si>
  <si>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</si>
  <si>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</si>
  <si>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</si>
  <si>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</si>
  <si>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</si>
  <si>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</si>
  <si>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</si>
  <si>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</si>
  <si>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</si>
  <si>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</si>
  <si>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</si>
  <si>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</si>
  <si>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</si>
  <si>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</si>
  <si>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</si>
  <si>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</si>
  <si>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</si>
  <si>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</si>
  <si>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</si>
  <si>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</si>
  <si>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</si>
  <si>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</si>
  <si>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</si>
  <si>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</si>
  <si>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</si>
  <si>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</si>
  <si>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</si>
  <si>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</si>
  <si>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</si>
  <si>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</si>
  <si>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</si>
  <si>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</si>
  <si>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</si>
  <si>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</si>
  <si>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</si>
  <si>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</si>
  <si>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</si>
  <si>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</si>
  <si>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</si>
  <si>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</si>
  <si>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</si>
  <si>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</si>
  <si>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</si>
  <si>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</si>
  <si>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</si>
  <si>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</si>
  <si>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</si>
  <si>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</si>
  <si>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</si>
  <si>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</si>
  <si>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</si>
  <si>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</si>
  <si>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</si>
  <si>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</si>
  <si>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</si>
  <si>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</si>
  <si>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</si>
  <si>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</si>
  <si>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</si>
  <si>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</si>
  <si>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</si>
  <si>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</si>
  <si>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</si>
  <si>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</si>
  <si>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</si>
  <si>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</si>
  <si>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</si>
  <si>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</si>
  <si>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</si>
  <si>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</si>
  <si>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</si>
  <si>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</si>
  <si>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</si>
  <si>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</si>
  <si>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</si>
  <si>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</si>
  <si>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</si>
  <si>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</si>
  <si>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</si>
  <si>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</si>
  <si>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</si>
  <si>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</si>
  <si>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</si>
  <si>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</si>
  <si>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</si>
  <si>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</si>
  <si>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</si>
  <si>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</si>
  <si>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</si>
  <si>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</si>
  <si>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</si>
  <si>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</si>
  <si>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</si>
  <si>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</si>
  <si>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</si>
  <si>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</si>
  <si>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</si>
  <si>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</si>
  <si>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</si>
  <si>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</si>
  <si>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</si>
  <si>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</si>
  <si>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</si>
  <si>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</si>
  <si>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</si>
  <si>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</si>
  <si>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</si>
  <si>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</si>
  <si>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</si>
  <si>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</si>
  <si>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</si>
  <si>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</si>
  <si>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</si>
  <si>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</si>
  <si>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</si>
  <si>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</si>
  <si>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</si>
  <si>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</si>
  <si>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</si>
  <si>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</si>
  <si>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</si>
  <si>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</si>
  <si>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</si>
  <si>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</si>
  <si>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</si>
  <si>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</si>
  <si>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</si>
  <si>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</si>
  <si>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</si>
  <si>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</si>
  <si>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</si>
  <si>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</si>
  <si>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</si>
  <si>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</si>
  <si>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</si>
  <si>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</si>
  <si>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</si>
  <si>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</si>
  <si>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</si>
  <si>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</si>
  <si>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</si>
  <si>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</si>
  <si>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</si>
  <si>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</si>
  <si>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</si>
  <si>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</si>
  <si>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</si>
  <si>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</si>
  <si>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</si>
  <si>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</si>
  <si>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</si>
  <si>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</si>
  <si>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</si>
  <si>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</si>
  <si>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</si>
  <si>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</si>
  <si>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</si>
  <si>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</si>
  <si>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</si>
  <si>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</si>
  <si>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</si>
  <si>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Frankston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</si>
  <si>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</si>
  <si>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</si>
  <si>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</si>
  <si>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</si>
  <si>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</si>
  <si>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</si>
  <si>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</si>
  <si>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</si>
  <si>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</si>
  <si>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</si>
  <si>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</si>
  <si>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</si>
  <si>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</si>
  <si>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</si>
  <si>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</si>
  <si>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</si>
  <si>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</si>
  <si>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</si>
  <si>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</si>
  <si>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</si>
  <si>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</si>
  <si>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</si>
  <si>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</si>
  <si>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</si>
  <si>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</si>
  <si>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</si>
  <si>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</si>
  <si>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</si>
  <si>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</si>
  <si>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WORKINGS - RISKS</t>
  </si>
  <si>
    <t>Enter ZSS code &gt;&gt;</t>
  </si>
  <si>
    <t>eg. AR</t>
  </si>
  <si>
    <t>WORKINGS - COSTS</t>
  </si>
  <si>
    <t>FTN relay replacement</t>
  </si>
  <si>
    <t>Replace relays</t>
  </si>
  <si>
    <t>FTN</t>
  </si>
  <si>
    <t>Start Yr</t>
  </si>
  <si>
    <t>Total Reliability Risk (MWH)</t>
  </si>
  <si>
    <t>Status Quo</t>
  </si>
  <si>
    <t>Option 2 (Preferred)</t>
  </si>
  <si>
    <t>Safety Risk</t>
  </si>
  <si>
    <t>Unplanned Replacement  Risk</t>
  </si>
  <si>
    <t>Annualised OPEX</t>
  </si>
  <si>
    <t>Relay replacement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</si>
  <si>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</si>
  <si>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</si>
  <si>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</si>
  <si>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</si>
  <si>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</si>
  <si>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</si>
  <si>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</si>
  <si>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</si>
  <si>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</si>
  <si>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</si>
  <si>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</si>
  <si>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</si>
  <si>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</si>
  <si>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</si>
  <si>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</si>
  <si>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</si>
  <si>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</si>
  <si>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</si>
  <si>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</si>
  <si>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FTN ZSS</t>
  </si>
  <si>
    <t>FTN relays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</si>
</sst>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0.0"/>
    <numFmt numFmtId="197" formatCode="_-&quot;$&quot;* #,##0_-;\-&quot;$&quot;* #,##0_-;_-&quot;$&quot;* &quot;-&quot;??_-;_-@_-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5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  <xf numFmtId="44" fontId="77" fillId="0" borderId="0" applyFont="0" applyFill="0" applyBorder="0" applyAlignment="0" applyProtection="0"/>
  </cellStyleXfs>
  <cellXfs count="359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93" fillId="0" borderId="0" xfId="18" applyFont="1"/>
    <xf numFmtId="0" fontId="24" fillId="18" borderId="0" xfId="18" applyFont="1" applyFill="1" applyAlignment="1">
      <alignment vertical="center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166" fontId="15" fillId="0" borderId="0" xfId="18" applyNumberFormat="1"/>
    <xf numFmtId="0" fontId="27" fillId="2" borderId="0" xfId="23" applyNumberFormat="1"/>
    <xf numFmtId="0" fontId="17" fillId="0" borderId="0" xfId="18" applyFont="1" applyFill="1" applyBorder="1" applyAlignment="1">
      <alignment horizontal="center"/>
    </xf>
    <xf numFmtId="38" fontId="27" fillId="2" borderId="4" xfId="23" applyNumberFormat="1" applyBorder="1"/>
    <xf numFmtId="38" fontId="27" fillId="2" borderId="0" xfId="23" applyNumberFormat="1" applyBorder="1"/>
    <xf numFmtId="196" fontId="15" fillId="0" borderId="0" xfId="34" applyNumberFormat="1" applyFont="1" applyFill="1" applyBorder="1"/>
    <xf numFmtId="196" fontId="27" fillId="2" borderId="0" xfId="23" applyNumberFormat="1" applyBorder="1"/>
    <xf numFmtId="197" fontId="15" fillId="0" borderId="0" xfId="34" applyNumberFormat="1" applyFont="1" applyFill="1" applyBorder="1"/>
    <xf numFmtId="197" fontId="15" fillId="0" borderId="4" xfId="34" applyNumberFormat="1" applyFont="1" applyFill="1" applyBorder="1"/>
    <xf numFmtId="197" fontId="15" fillId="0" borderId="7" xfId="34" applyNumberFormat="1" applyFont="1" applyFill="1" applyBorder="1"/>
    <xf numFmtId="38" fontId="27" fillId="2" borderId="7" xfId="23" applyNumberFormat="1" applyBorder="1"/>
    <xf numFmtId="0" fontId="17" fillId="19" borderId="7" xfId="18" applyFont="1" applyFill="1" applyBorder="1" applyAlignment="1">
      <alignment horizontal="center"/>
    </xf>
    <xf numFmtId="167" fontId="27" fillId="2" borderId="0" xfId="18" applyNumberFormat="1" applyFont="1" applyFill="1" applyBorder="1" applyAlignment="1">
      <alignment horizontal="right" vertical="center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15" fillId="0" borderId="0" xfId="18" applyBorder="1" applyAlignment="1">
      <alignment horizontal="left" vertical="center" wrapText="1"/>
    </xf>
    <xf numFmtId="0" fontId="15" fillId="0" borderId="4" xfId="18" applyBorder="1" applyAlignment="1">
      <alignment horizontal="left" vertical="center"/>
    </xf>
    <xf numFmtId="0" fontId="15" fillId="0" borderId="7" xfId="18" applyBorder="1" applyAlignment="1">
      <alignment horizontal="left" vertical="center"/>
    </xf>
    <xf numFmtId="0" fontId="86" fillId="0" borderId="0" xfId="20" applyNumberFormat="1" applyFont="1" applyAlignment="1">
      <alignment horizontal="left"/>
    </xf>
  </cellXfs>
  <cellStyles count="35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CC"/>
      <color rgb="FF66FFFF"/>
      <color rgb="FF00215B"/>
      <color rgb="FF3333FF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0.21020501780318024</c:v>
                </c:pt>
                <c:pt idx="1">
                  <c:v>0.21020501780318024</c:v>
                </c:pt>
                <c:pt idx="2">
                  <c:v>0.21020501780318024</c:v>
                </c:pt>
                <c:pt idx="3">
                  <c:v>0.21020501780318024</c:v>
                </c:pt>
                <c:pt idx="4">
                  <c:v>0.21020501780318024</c:v>
                </c:pt>
                <c:pt idx="5">
                  <c:v>0.21020501780318024</c:v>
                </c:pt>
                <c:pt idx="6">
                  <c:v>0.21020501780318024</c:v>
                </c:pt>
                <c:pt idx="7">
                  <c:v>0.21020501780318024</c:v>
                </c:pt>
                <c:pt idx="8">
                  <c:v>0.21020501780318024</c:v>
                </c:pt>
                <c:pt idx="9">
                  <c:v>0.21020501780318024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0.15367668510275437</c:v>
                </c:pt>
                <c:pt idx="1">
                  <c:v>0.16650577693461205</c:v>
                </c:pt>
                <c:pt idx="2">
                  <c:v>0.17993176628449953</c:v>
                </c:pt>
                <c:pt idx="3">
                  <c:v>0.19371009044464074</c:v>
                </c:pt>
                <c:pt idx="4">
                  <c:v>0.20780690872538923</c:v>
                </c:pt>
                <c:pt idx="5">
                  <c:v>0.21797754305580913</c:v>
                </c:pt>
                <c:pt idx="6">
                  <c:v>0.23326966861111953</c:v>
                </c:pt>
                <c:pt idx="7">
                  <c:v>0.24936424720442835</c:v>
                </c:pt>
                <c:pt idx="8">
                  <c:v>0.26532134349246278</c:v>
                </c:pt>
                <c:pt idx="9">
                  <c:v>0.28137776842456691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599826388888892E-2"/>
          <c:y val="6.9180828861061403E-2"/>
          <c:w val="0.90218472222222235"/>
          <c:h val="0.806214967203339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215B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3.3523410567569044E-2</c:v>
                </c:pt>
                <c:pt idx="1">
                  <c:v>3.6818543437441099E-2</c:v>
                </c:pt>
                <c:pt idx="2">
                  <c:v>4.0370965183635463E-2</c:v>
                </c:pt>
                <c:pt idx="3">
                  <c:v>4.3975875298094505E-2</c:v>
                </c:pt>
                <c:pt idx="4">
                  <c:v>4.7618938043992809E-2</c:v>
                </c:pt>
                <c:pt idx="5">
                  <c:v>5.1489437970420063E-2</c:v>
                </c:pt>
                <c:pt idx="6">
                  <c:v>5.576320678850899E-2</c:v>
                </c:pt>
                <c:pt idx="7">
                  <c:v>6.0564962332480772E-2</c:v>
                </c:pt>
                <c:pt idx="8">
                  <c:v>6.5070688169170887E-2</c:v>
                </c:pt>
                <c:pt idx="9">
                  <c:v>6.9514811227609857E-2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A-4641-A12C-C7FCBA65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</xdr:row>
      <xdr:rowOff>9525</xdr:rowOff>
    </xdr:from>
    <xdr:to>
      <xdr:col>10</xdr:col>
      <xdr:colOff>286871</xdr:colOff>
      <xdr:row>2</xdr:row>
      <xdr:rowOff>152827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C1E39C-E1BB-449A-A5B6-083B6538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000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5" sqref="A35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43</v>
      </c>
      <c r="D2" s="312"/>
      <c r="E2" s="312"/>
    </row>
    <row r="3" spans="1:19" ht="15.75" x14ac:dyDescent="0.25">
      <c r="A3" s="310"/>
      <c r="C3" s="313" t="s">
        <v>242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259</v>
      </c>
    </row>
    <row r="6" spans="1:19" x14ac:dyDescent="0.25">
      <c r="A6" s="310"/>
      <c r="C6" s="315" t="s">
        <v>243</v>
      </c>
      <c r="D6" s="358">
        <v>4.08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14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FTN relay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188</v>
      </c>
      <c r="H7" s="152" t="s">
        <v>189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45" t="str">
        <f>INDEX(Assumptions!$E$14:$E$18, MATCH(C9, Assumptions!$C$14:$C$18,0))</f>
        <v>No change to existing practices</v>
      </c>
      <c r="E9" s="346"/>
      <c r="F9" s="346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47" t="str">
        <f>INDEX(Assumptions!$E$14:$E$18, MATCH(C10, Assumptions!$C$14:$C$18,0))</f>
        <v>Replace relays</v>
      </c>
      <c r="E10" s="348"/>
      <c r="F10" s="348"/>
      <c r="G10" s="103">
        <f>IF(Data!$C10, "", INDEX(Consol!$F$15:$F$82, MATCH($C10&amp;G$7, Consol!$D$15:$D$82,0))/mill_conv)</f>
        <v>-2.329385721021735</v>
      </c>
      <c r="H10" s="103">
        <f>IF(Data!$C10, "", INDEX(Consol!$F$15:$F$82, MATCH($C10&amp;H$7, Consol!$D$15:$D$82,0))/mill_conv)</f>
        <v>3.8387565609432475</v>
      </c>
      <c r="I10" s="103">
        <f>IF(Data!$C10, "", INDEX(Consol!$F$15:$F$82, MATCH($C10&amp;I$7, Consol!$D$15:$D$82,0))/mill_conv)</f>
        <v>1.5093708399215124</v>
      </c>
    </row>
    <row r="11" spans="1:13" s="7" customFormat="1" ht="12.75" x14ac:dyDescent="0.2">
      <c r="C11" s="91" t="str">
        <v>Option 3</v>
      </c>
      <c r="D11" s="347">
        <f>INDEX(Assumptions!$E$14:$E$18, MATCH(C11, Assumptions!$C$14:$C$18,0))</f>
        <v>0</v>
      </c>
      <c r="E11" s="348"/>
      <c r="F11" s="348"/>
      <c r="G11" s="103" t="str">
        <f>IF(Data!$C11, "", INDEX(Consol!$F$15:$F$82, MATCH($C11&amp;G$7, Consol!$D$15:$D$82,0))/mill_conv)</f>
        <v/>
      </c>
      <c r="H11" s="103" t="str">
        <f>IF(Data!$C11, "", INDEX(Consol!$F$15:$F$82, MATCH($C11&amp;H$7, Consol!$D$15:$D$82,0))/mill_conv)</f>
        <v/>
      </c>
      <c r="I11" s="103" t="str">
        <f>IF(Data!$C11, "", INDEX(Consol!$F$15:$F$82, MATCH($C11&amp;I$7, Consol!$D$15:$D$82,0))/mill_conv)</f>
        <v/>
      </c>
    </row>
    <row r="12" spans="1:13" s="7" customFormat="1" ht="12.75" x14ac:dyDescent="0.2">
      <c r="C12" s="91" t="str">
        <v>Option 4</v>
      </c>
      <c r="D12" s="347">
        <f>INDEX(Assumptions!$E$14:$E$18, MATCH(C12, Assumptions!$C$14:$C$18,0))</f>
        <v>0</v>
      </c>
      <c r="E12" s="348"/>
      <c r="F12" s="348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47">
        <f>INDEX(Assumptions!$E$14:$E$18, MATCH(C13, Assumptions!$C$14:$C$18,0))</f>
        <v>0</v>
      </c>
      <c r="E13" s="348"/>
      <c r="F13" s="348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44" t="str">
        <f>INDEX($D$9:$D$13,MATCH(G18, $I$9:$I$13,0))</f>
        <v>Replace relays</v>
      </c>
      <c r="E18" s="344"/>
      <c r="F18" s="344"/>
      <c r="G18" s="104">
        <f>_xlfn.MAXIFS(I9:I13, IF(compliance, Data!$F$9:$F$13, Data!$C$9:$C$13),FALSE)</f>
        <v>1.5093708399215124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0.69289941365897323</v>
      </c>
      <c r="K30" s="186"/>
      <c r="L30" s="186">
        <f>SUM(F30:J30)</f>
        <v>0.69289941365897323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2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220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218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1.5093708399215122</v>
      </c>
      <c r="H67" s="286" t="str">
        <f>Sensitivity_calcs!E90</f>
        <v/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1.2764322678193389</v>
      </c>
      <c r="H68" s="273" t="str">
        <f>Sensitivity_calcs!E91</f>
        <v/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1.7423094120236859</v>
      </c>
      <c r="H69" s="274" t="str">
        <f>Sensitivity_calcs!E92</f>
        <v/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1.8932464960158371</v>
      </c>
      <c r="H70" s="274" t="str">
        <f>Sensitivity_calcs!E93</f>
        <v/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1.1254951838271874</v>
      </c>
      <c r="H71" s="274" t="str">
        <f>Sensitivity_calcs!E94</f>
        <v/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0.8925566117250141</v>
      </c>
      <c r="H72" s="274" t="str">
        <f>Sensitivity_calcs!E95</f>
        <v/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FTN relay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52" t="s">
        <v>249</v>
      </c>
      <c r="F8" s="352"/>
      <c r="G8" s="352"/>
      <c r="H8" s="352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53" t="s">
        <v>58</v>
      </c>
      <c r="F14" s="353"/>
      <c r="G14" s="353"/>
      <c r="H14" s="353"/>
      <c r="I14" s="353"/>
      <c r="J14" s="353"/>
      <c r="K14" s="353"/>
      <c r="L14"/>
    </row>
    <row r="15" spans="1:16" s="1" customFormat="1" ht="12.75" customHeight="1" x14ac:dyDescent="0.2">
      <c r="C15" s="61" t="str">
        <v>Option 2</v>
      </c>
      <c r="D15" s="61"/>
      <c r="E15" s="354" t="s">
        <v>250</v>
      </c>
      <c r="F15" s="354"/>
      <c r="G15" s="354"/>
      <c r="H15" s="354"/>
      <c r="I15" s="354"/>
      <c r="J15" s="354"/>
      <c r="K15" s="354"/>
      <c r="L15"/>
    </row>
    <row r="16" spans="1:16" s="1" customFormat="1" ht="12.75" customHeight="1" x14ac:dyDescent="0.2">
      <c r="C16" s="61" t="str">
        <v>Option 3</v>
      </c>
      <c r="D16" s="61"/>
      <c r="E16" s="354"/>
      <c r="F16" s="354"/>
      <c r="G16" s="354"/>
      <c r="H16" s="354"/>
      <c r="I16" s="354"/>
      <c r="J16" s="354"/>
      <c r="K16" s="354"/>
      <c r="L16"/>
    </row>
    <row r="17" spans="1:16" s="1" customFormat="1" ht="12.75" customHeight="1" x14ac:dyDescent="0.2">
      <c r="C17" s="61" t="str">
        <v>Option 4</v>
      </c>
      <c r="D17" s="61"/>
      <c r="E17" s="354"/>
      <c r="F17" s="354"/>
      <c r="G17" s="354"/>
      <c r="H17" s="354"/>
      <c r="I17" s="354"/>
      <c r="J17" s="354"/>
      <c r="K17" s="354"/>
      <c r="L17"/>
    </row>
    <row r="18" spans="1:16" s="1" customFormat="1" ht="12.75" customHeight="1" x14ac:dyDescent="0.2">
      <c r="C18" s="61" t="str">
        <v>Option 5</v>
      </c>
      <c r="D18" s="61"/>
      <c r="E18" s="354"/>
      <c r="F18" s="354"/>
      <c r="G18" s="354"/>
      <c r="H18" s="354"/>
      <c r="I18" s="354"/>
      <c r="J18" s="354"/>
      <c r="K18" s="354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223</v>
      </c>
      <c r="D20"/>
      <c r="E20" s="291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181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182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195</v>
      </c>
      <c r="G31" s="304">
        <v>20</v>
      </c>
      <c r="H31" s="68" t="s">
        <v>196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246</v>
      </c>
      <c r="D41" s="240" t="s">
        <v>247</v>
      </c>
      <c r="E41" s="327" t="s">
        <v>251</v>
      </c>
      <c r="F41" s="328"/>
      <c r="G41" s="329" t="s">
        <v>215</v>
      </c>
      <c r="H41" s="131">
        <v>39182.484183455374</v>
      </c>
      <c r="I41" s="330" t="s">
        <v>214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164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180</v>
      </c>
      <c r="D69" s="59"/>
      <c r="E69" s="59"/>
      <c r="F69" s="59"/>
      <c r="G69" s="157" t="s">
        <v>68</v>
      </c>
      <c r="H69" s="157" t="s">
        <v>165</v>
      </c>
      <c r="I69" s="157" t="s">
        <v>179</v>
      </c>
      <c r="J69" s="156" t="s">
        <v>183</v>
      </c>
      <c r="K69" s="157"/>
      <c r="L69" s="157"/>
      <c r="M69" s="157"/>
    </row>
    <row r="70" spans="2:16" x14ac:dyDescent="0.2">
      <c r="C70" s="8" t="s">
        <v>166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49">
        <v>0</v>
      </c>
      <c r="K70" s="350"/>
      <c r="L70" s="350"/>
      <c r="M70" s="351"/>
    </row>
    <row r="71" spans="2:16" x14ac:dyDescent="0.2">
      <c r="C71" s="8" t="s">
        <v>167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49">
        <v>0</v>
      </c>
      <c r="K71" s="350"/>
      <c r="L71" s="350"/>
      <c r="M71" s="351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168</v>
      </c>
      <c r="G78" s="154">
        <v>0</v>
      </c>
      <c r="H78" s="69">
        <f>input_dollars</f>
        <v>45291</v>
      </c>
    </row>
    <row r="79" spans="2:16" x14ac:dyDescent="0.2">
      <c r="C79" s="8" t="s">
        <v>169</v>
      </c>
      <c r="G79" s="154">
        <v>0</v>
      </c>
      <c r="H79" s="69">
        <f>input_dollars</f>
        <v>45291</v>
      </c>
    </row>
    <row r="81" spans="1:16" x14ac:dyDescent="0.2">
      <c r="C81" s="8" t="s">
        <v>170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175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176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38560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862.60284529259377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0.34750851315331577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0.34750851315331577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Q11" activePane="bottomRight" state="frozen"/>
      <selection activeCell="S27" sqref="S27"/>
      <selection pane="topRight" activeCell="S27" sqref="S27"/>
      <selection pane="bottomLeft" activeCell="S27" sqref="S27"/>
      <selection pane="bottomRight" activeCell="Y22" sqref="Y22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FTN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f>Workings_risks!I9</f>
        <v>0.85557134179165073</v>
      </c>
      <c r="J27" s="168">
        <f>Workings_risks!J9</f>
        <v>0.93966843105337261</v>
      </c>
      <c r="K27" s="168">
        <f>Workings_risks!K9</f>
        <v>1.0303319461475573</v>
      </c>
      <c r="L27" s="168">
        <f>Workings_risks!L9</f>
        <v>1.1223350487987467</v>
      </c>
      <c r="M27" s="168">
        <f>Workings_risks!M9</f>
        <v>1.2153118679519479</v>
      </c>
      <c r="N27" s="168">
        <f>Workings_risks!N9</f>
        <v>1.3140932496608075</v>
      </c>
      <c r="O27" s="168">
        <f>Workings_risks!O9</f>
        <v>1.4231667019227625</v>
      </c>
      <c r="P27" s="168">
        <f>Workings_risks!P9</f>
        <v>1.5457152244076973</v>
      </c>
      <c r="Q27" s="168">
        <f>Workings_risks!Q9</f>
        <v>1.6607085927606065</v>
      </c>
      <c r="R27" s="168">
        <f>Workings_risks!R9</f>
        <v>1.7741297591581029</v>
      </c>
      <c r="S27" s="168">
        <f>Workings_risks!S9</f>
        <v>1.8978613509322635</v>
      </c>
      <c r="T27" s="168">
        <f>Workings_risks!T9</f>
        <v>2.0118578313740745</v>
      </c>
      <c r="U27" s="168">
        <f>Workings_risks!U9</f>
        <v>2.1277426151731285</v>
      </c>
      <c r="V27" s="168">
        <f>Workings_risks!V9</f>
        <v>2.2452468543649307</v>
      </c>
      <c r="W27" s="168">
        <f>Workings_risks!W9</f>
        <v>2.3640818584291026</v>
      </c>
      <c r="X27" s="168">
        <f>Workings_risks!X9</f>
        <v>2.4839393693966905</v>
      </c>
      <c r="Y27" s="168">
        <f>Workings_risks!Y9</f>
        <v>2.6044920379006578</v>
      </c>
      <c r="Z27" s="168">
        <f>Workings_risks!Z9</f>
        <v>2.7253941115560942</v>
      </c>
      <c r="AA27" s="168">
        <f>Workings_risks!AA9</f>
        <v>2.846282345150331</v>
      </c>
      <c r="AB27" s="168">
        <f>Workings_risks!AB9</f>
        <v>2.9667771398765908</v>
      </c>
      <c r="AC27" s="168">
        <f>Workings_risks!AC9</f>
        <v>3.0864839162688886</v>
      </c>
      <c r="AD27" s="168">
        <f>Workings_risks!AD9</f>
        <v>3.2049947226097428</v>
      </c>
      <c r="AE27" s="168">
        <f>Workings_risks!AE9</f>
        <v>3.321890077413499</v>
      </c>
      <c r="AF27" s="168">
        <f>Workings_risks!AF9</f>
        <v>3.4367410411735841</v>
      </c>
      <c r="AG27" s="168">
        <f>Workings_risks!AG9</f>
        <v>3.5491115089473402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39182.484183455374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33523.410567569044</v>
      </c>
      <c r="J28" s="119">
        <f t="shared" ref="J28:AG28" si="3">J27*$E$28</f>
        <v>36818.543437441098</v>
      </c>
      <c r="K28" s="119">
        <f t="shared" si="3"/>
        <v>40370.965183635461</v>
      </c>
      <c r="L28" s="119">
        <f t="shared" si="3"/>
        <v>43975.875298094506</v>
      </c>
      <c r="M28" s="119">
        <f t="shared" si="3"/>
        <v>47618.938043992806</v>
      </c>
      <c r="N28" s="119">
        <f t="shared" si="3"/>
        <v>51489.437970420062</v>
      </c>
      <c r="O28" s="119">
        <f t="shared" si="3"/>
        <v>55763.206788508993</v>
      </c>
      <c r="P28" s="119">
        <f t="shared" si="3"/>
        <v>60564.962332480769</v>
      </c>
      <c r="Q28" s="119">
        <f t="shared" si="3"/>
        <v>65070.688169170891</v>
      </c>
      <c r="R28" s="119">
        <f t="shared" si="3"/>
        <v>69514.811227609855</v>
      </c>
      <c r="S28" s="119">
        <f t="shared" si="3"/>
        <v>74362.922365294668</v>
      </c>
      <c r="T28" s="119">
        <f t="shared" si="3"/>
        <v>78829.587657175507</v>
      </c>
      <c r="U28" s="119">
        <f t="shared" si="3"/>
        <v>83370.241365485082</v>
      </c>
      <c r="V28" s="119">
        <f t="shared" si="3"/>
        <v>87974.349359106825</v>
      </c>
      <c r="W28" s="119">
        <f t="shared" si="3"/>
        <v>92630.600026292101</v>
      </c>
      <c r="X28" s="119">
        <f t="shared" si="3"/>
        <v>97326.915054047946</v>
      </c>
      <c r="Y28" s="119">
        <f t="shared" si="3"/>
        <v>102050.46808097798</v>
      </c>
      <c r="Z28" s="119">
        <f t="shared" si="3"/>
        <v>106787.71166972908</v>
      </c>
      <c r="AA28" s="119">
        <f t="shared" si="3"/>
        <v>111524.41297050111</v>
      </c>
      <c r="AB28" s="119">
        <f t="shared" si="3"/>
        <v>116245.69835905149</v>
      </c>
      <c r="AC28" s="119">
        <f t="shared" si="3"/>
        <v>120936.10723169513</v>
      </c>
      <c r="AD28" s="119">
        <f t="shared" si="3"/>
        <v>125579.65502671419</v>
      </c>
      <c r="AE28" s="119">
        <f t="shared" si="3"/>
        <v>130159.90541743177</v>
      </c>
      <c r="AF28" s="119">
        <f t="shared" si="3"/>
        <v>134660.05148841592</v>
      </c>
      <c r="AG28" s="119">
        <f t="shared" si="3"/>
        <v>139063.0055646486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f>Workings_risks!I11</f>
        <v>1454.9162876021039</v>
      </c>
      <c r="J30" s="32">
        <f>Workings_risks!J11</f>
        <v>1584.2570647417215</v>
      </c>
      <c r="K30" s="32">
        <f>Workings_risks!K11</f>
        <v>1717.9820590287068</v>
      </c>
      <c r="L30" s="32">
        <f>Workings_risks!L11</f>
        <v>1855.856392866262</v>
      </c>
      <c r="M30" s="32">
        <f>Workings_risks!M11</f>
        <v>1997.6275613739977</v>
      </c>
      <c r="N30" s="32">
        <f>Workings_risks!N11</f>
        <v>2143.0253353671114</v>
      </c>
      <c r="O30" s="32">
        <f>Workings_risks!O11</f>
        <v>2291.7617640371036</v>
      </c>
      <c r="P30" s="32">
        <f>Workings_risks!P11</f>
        <v>2443.5312826907675</v>
      </c>
      <c r="Q30" s="32">
        <f>Workings_risks!Q11</f>
        <v>2598.010930546332</v>
      </c>
      <c r="R30" s="32">
        <f>Workings_risks!R11</f>
        <v>2754.860683152458</v>
      </c>
      <c r="S30" s="32">
        <f>Workings_risks!S11</f>
        <v>2913.7239034858048</v>
      </c>
      <c r="T30" s="32">
        <f>Workings_risks!T11</f>
        <v>3074.2279151956654</v>
      </c>
      <c r="U30" s="32">
        <f>Workings_risks!U11</f>
        <v>3235.9847007996818</v>
      </c>
      <c r="V30" s="32">
        <f>Workings_risks!V11</f>
        <v>3398.591726893982</v>
      </c>
      <c r="W30" s="32">
        <f>Workings_risks!W11</f>
        <v>3561.6328976263158</v>
      </c>
      <c r="X30" s="32">
        <f>Workings_risks!X11</f>
        <v>3724.6796367946927</v>
      </c>
      <c r="Y30" s="32">
        <f>Workings_risks!Y11</f>
        <v>3887.2920979810524</v>
      </c>
      <c r="Z30" s="32">
        <f>Workings_risks!Z11</f>
        <v>4049.0205011143807</v>
      </c>
      <c r="AA30" s="32">
        <f>Workings_risks!AA11</f>
        <v>4209.4065927871206</v>
      </c>
      <c r="AB30" s="32">
        <f>Workings_risks!AB11</f>
        <v>4367.9852265299542</v>
      </c>
      <c r="AC30" s="32">
        <f>Workings_risks!AC11</f>
        <v>4524.2860580916877</v>
      </c>
      <c r="AD30" s="32">
        <f>Workings_risks!AD11</f>
        <v>4677.835349582987</v>
      </c>
      <c r="AE30" s="32">
        <f>Workings_risks!AE11</f>
        <v>4828.1578751355719</v>
      </c>
      <c r="AF30" s="32">
        <f>Workings_risks!AF11</f>
        <v>4974.7789195144487</v>
      </c>
      <c r="AG30" s="32">
        <f>Workings_risks!AG11</f>
        <v>5117.2263599124626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f>Workings_risks!I13</f>
        <v>91148.4676942355</v>
      </c>
      <c r="J31" s="32">
        <f>Workings_risks!J13</f>
        <v>99251.4862301596</v>
      </c>
      <c r="K31" s="32">
        <f>Workings_risks!K13</f>
        <v>107629.16982992737</v>
      </c>
      <c r="L31" s="32">
        <f>Workings_risks!L13</f>
        <v>116266.80374106379</v>
      </c>
      <c r="M31" s="32">
        <f>Workings_risks!M13</f>
        <v>125148.56888646536</v>
      </c>
      <c r="N31" s="32">
        <f>Workings_risks!N13</f>
        <v>134257.53578618128</v>
      </c>
      <c r="O31" s="32">
        <f>Workings_risks!O13</f>
        <v>143575.66472535659</v>
      </c>
      <c r="P31" s="32">
        <f>Workings_risks!P13</f>
        <v>153083.81250392925</v>
      </c>
      <c r="Q31" s="32">
        <f>Workings_risks!Q13</f>
        <v>162761.74608125311</v>
      </c>
      <c r="R31" s="32">
        <f>Workings_risks!R13</f>
        <v>172588.16340168263</v>
      </c>
      <c r="S31" s="32">
        <f>Workings_risks!S13</f>
        <v>182540.7216552035</v>
      </c>
      <c r="T31" s="32">
        <f>Workings_risks!T13</f>
        <v>192596.07319040637</v>
      </c>
      <c r="U31" s="32">
        <f>Workings_risks!U13</f>
        <v>202729.90925547027</v>
      </c>
      <c r="V31" s="32">
        <f>Workings_risks!V13</f>
        <v>212917.01169642215</v>
      </c>
      <c r="W31" s="32">
        <f>Workings_risks!W13</f>
        <v>223131.31269089339</v>
      </c>
      <c r="X31" s="32">
        <f>Workings_risks!X13</f>
        <v>233345.96254008359</v>
      </c>
      <c r="Y31" s="32">
        <f>Workings_risks!Y13</f>
        <v>243533.40548194075</v>
      </c>
      <c r="Z31" s="32">
        <f>Workings_risks!Z13</f>
        <v>253665.46342496783</v>
      </c>
      <c r="AA31" s="32">
        <f>Workings_risks!AA13</f>
        <v>263713.42743500136</v>
      </c>
      <c r="AB31" s="32">
        <f>Workings_risks!AB13</f>
        <v>273648.15673721238</v>
      </c>
      <c r="AC31" s="32">
        <f>Workings_risks!AC13</f>
        <v>283440.18492301751</v>
      </c>
      <c r="AD31" s="32">
        <f>Workings_risks!AD13</f>
        <v>293059.83297715703</v>
      </c>
      <c r="AE31" s="32">
        <f>Workings_risks!AE13</f>
        <v>302477.32866457407</v>
      </c>
      <c r="AF31" s="32">
        <f>Workings_risks!AF13</f>
        <v>311662.93174067209</v>
      </c>
      <c r="AG31" s="32">
        <f>Workings_risks!AG13</f>
        <v>320587.06437282794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f>Workings_risks!I16</f>
        <v>11958.333333333334</v>
      </c>
      <c r="J34" s="32">
        <f>Workings_risks!J16</f>
        <v>11958.333333333334</v>
      </c>
      <c r="K34" s="32">
        <f>Workings_risks!K16</f>
        <v>11958.333333333334</v>
      </c>
      <c r="L34" s="32">
        <f>Workings_risks!L16</f>
        <v>11958.333333333334</v>
      </c>
      <c r="M34" s="32">
        <f>Workings_risks!M16</f>
        <v>11958.333333333334</v>
      </c>
      <c r="N34" s="32">
        <f>Workings_risks!N16</f>
        <v>7972.2222222222226</v>
      </c>
      <c r="O34" s="32">
        <f>Workings_risks!O16</f>
        <v>7972.2222222222226</v>
      </c>
      <c r="P34" s="32">
        <f>Workings_risks!P16</f>
        <v>7972.2222222222226</v>
      </c>
      <c r="Q34" s="32">
        <f>Workings_risks!Q16</f>
        <v>7972.2222222222226</v>
      </c>
      <c r="R34" s="32">
        <f>Workings_risks!R16</f>
        <v>7972.2222222222226</v>
      </c>
      <c r="S34" s="32">
        <f>Workings_risks!S16</f>
        <v>7972.2222222222226</v>
      </c>
      <c r="T34" s="32">
        <f>Workings_risks!T16</f>
        <v>7972.2222222222226</v>
      </c>
      <c r="U34" s="32">
        <f>Workings_risks!U16</f>
        <v>7972.2222222222226</v>
      </c>
      <c r="V34" s="32">
        <f>Workings_risks!V16</f>
        <v>7972.2222222222226</v>
      </c>
      <c r="W34" s="32">
        <f>Workings_risks!W16</f>
        <v>7972.2222222222226</v>
      </c>
      <c r="X34" s="32">
        <f>Workings_risks!X16</f>
        <v>7972.2222222222226</v>
      </c>
      <c r="Y34" s="32">
        <f>Workings_risks!Y16</f>
        <v>7972.2222222222226</v>
      </c>
      <c r="Z34" s="32">
        <f>Workings_risks!Z16</f>
        <v>7972.2222222222226</v>
      </c>
      <c r="AA34" s="32">
        <f>Workings_risks!AA16</f>
        <v>7972.2222222222226</v>
      </c>
      <c r="AB34" s="32">
        <f>Workings_risks!AB16</f>
        <v>7972.2222222222226</v>
      </c>
      <c r="AC34" s="32">
        <f>Workings_risks!AC16</f>
        <v>7972.2222222222226</v>
      </c>
      <c r="AD34" s="32">
        <f>Workings_risks!AD16</f>
        <v>7972.2222222222226</v>
      </c>
      <c r="AE34" s="32">
        <f>Workings_risks!AE16</f>
        <v>7972.2222222222226</v>
      </c>
      <c r="AF34" s="32">
        <f>Workings_risks!AF16</f>
        <v>7972.2222222222226</v>
      </c>
      <c r="AG34" s="32">
        <f>Workings_risks!AG16</f>
        <v>7972.2222222222226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06">
        <f>SUM(I28:I34)</f>
        <v>138085.12788273999</v>
      </c>
      <c r="J36" s="106">
        <f t="shared" ref="J36:AB36" si="4">SUM(J28:J34)</f>
        <v>149612.62006567576</v>
      </c>
      <c r="K36" s="106">
        <f t="shared" si="4"/>
        <v>161676.45040592487</v>
      </c>
      <c r="L36" s="106">
        <f t="shared" si="4"/>
        <v>174056.86876535791</v>
      </c>
      <c r="M36" s="106">
        <f t="shared" si="4"/>
        <v>186723.46782516551</v>
      </c>
      <c r="N36" s="106">
        <f t="shared" si="4"/>
        <v>195862.22131419068</v>
      </c>
      <c r="O36" s="106">
        <f t="shared" si="4"/>
        <v>209602.85550012489</v>
      </c>
      <c r="P36" s="106">
        <f t="shared" si="4"/>
        <v>224064.52834132299</v>
      </c>
      <c r="Q36" s="106">
        <f t="shared" si="4"/>
        <v>238402.66740319255</v>
      </c>
      <c r="R36" s="106">
        <f t="shared" si="4"/>
        <v>252830.05753466717</v>
      </c>
      <c r="S36" s="106">
        <f t="shared" si="4"/>
        <v>267789.5901462062</v>
      </c>
      <c r="T36" s="106">
        <f t="shared" si="4"/>
        <v>282472.1109849998</v>
      </c>
      <c r="U36" s="106">
        <f t="shared" si="4"/>
        <v>297308.35754397727</v>
      </c>
      <c r="V36" s="106">
        <f t="shared" si="4"/>
        <v>312262.17500464519</v>
      </c>
      <c r="W36" s="106">
        <f t="shared" si="4"/>
        <v>327295.76783703407</v>
      </c>
      <c r="X36" s="106">
        <f t="shared" si="4"/>
        <v>342369.77945314848</v>
      </c>
      <c r="Y36" s="106">
        <f t="shared" si="4"/>
        <v>357443.38788312202</v>
      </c>
      <c r="Z36" s="106">
        <f t="shared" si="4"/>
        <v>372474.41781803354</v>
      </c>
      <c r="AA36" s="106">
        <f t="shared" si="4"/>
        <v>387419.46922051185</v>
      </c>
      <c r="AB36" s="106">
        <f t="shared" si="4"/>
        <v>402234.06254501606</v>
      </c>
      <c r="AC36" s="106">
        <f>SUM(AC28:AC34)</f>
        <v>416872.80043502658</v>
      </c>
      <c r="AD36" s="106">
        <f>SUM(AD28:AD34)</f>
        <v>431289.54557567649</v>
      </c>
      <c r="AE36" s="106">
        <f>SUM(AE28:AE34)</f>
        <v>445437.61417936371</v>
      </c>
      <c r="AF36" s="106">
        <f>SUM(AF28:AF34)</f>
        <v>459269.98437082471</v>
      </c>
      <c r="AG36" s="106">
        <f>SUM(AG28:AG34)</f>
        <v>472739.51851961121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187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23" sqref="C23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FTN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Replace relays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259</v>
      </c>
      <c r="D14"/>
      <c r="E14" s="148">
        <v>25</v>
      </c>
      <c r="G14" s="207">
        <f>input_dollars</f>
        <v>45291</v>
      </c>
      <c r="H14" s="149"/>
      <c r="I14" s="32">
        <f>Workings_costs!I10</f>
        <v>0</v>
      </c>
      <c r="J14" s="32">
        <f>Workings_costs!J10</f>
        <v>0</v>
      </c>
      <c r="K14" s="32">
        <f>Workings_costs!K10</f>
        <v>0</v>
      </c>
      <c r="L14" s="32">
        <f>Workings_costs!L10</f>
        <v>0</v>
      </c>
      <c r="M14" s="32">
        <f>Workings_costs!M10</f>
        <v>622600</v>
      </c>
      <c r="N14" s="32">
        <v>2490400</v>
      </c>
      <c r="O14" s="32">
        <f>Workings_costs!O10</f>
        <v>0</v>
      </c>
      <c r="P14" s="32">
        <f>Workings_costs!P10</f>
        <v>0</v>
      </c>
      <c r="Q14" s="32">
        <f>Workings_costs!Q10</f>
        <v>0</v>
      </c>
      <c r="R14" s="32">
        <f>Workings_costs!R10</f>
        <v>0</v>
      </c>
      <c r="S14" s="32">
        <f>Workings_costs!S10</f>
        <v>0</v>
      </c>
      <c r="T14" s="32">
        <f>Workings_costs!T10</f>
        <v>0</v>
      </c>
      <c r="U14" s="32">
        <f>Workings_costs!U10</f>
        <v>0</v>
      </c>
      <c r="V14" s="32">
        <f>Workings_costs!V10</f>
        <v>0</v>
      </c>
      <c r="W14" s="32">
        <f>Workings_costs!W10</f>
        <v>0</v>
      </c>
      <c r="X14" s="32">
        <f>Workings_costs!X10</f>
        <v>0</v>
      </c>
      <c r="Y14" s="32">
        <f>Workings_costs!Y10</f>
        <v>0</v>
      </c>
      <c r="Z14" s="32">
        <f>Workings_costs!Z10</f>
        <v>0</v>
      </c>
      <c r="AA14" s="32">
        <f>Workings_costs!AA10</f>
        <v>0</v>
      </c>
      <c r="AB14" s="32">
        <f>Workings_costs!AB10</f>
        <v>0</v>
      </c>
      <c r="AC14" s="32">
        <f>Workings_costs!AC10</f>
        <v>0</v>
      </c>
      <c r="AD14" s="32">
        <f>Workings_costs!AD10</f>
        <v>0</v>
      </c>
      <c r="AE14" s="32">
        <f>Workings_costs!AE10</f>
        <v>0</v>
      </c>
      <c r="AF14" s="32">
        <f>Workings_costs!AF10</f>
        <v>0</v>
      </c>
      <c r="AG14" s="32">
        <f>Workings_costs!AG10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622600</v>
      </c>
      <c r="N17" s="106">
        <f t="shared" si="0"/>
        <v>2490400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f>Workings_risks!I10</f>
        <v>0.85557134179165073</v>
      </c>
      <c r="J27" s="168">
        <f>Workings_risks!J10</f>
        <v>0.93966843105337261</v>
      </c>
      <c r="K27" s="168">
        <f>Workings_risks!K10</f>
        <v>1.0303319461475573</v>
      </c>
      <c r="L27" s="168">
        <f>Workings_risks!L10</f>
        <v>1.1223350487987467</v>
      </c>
      <c r="M27" s="168">
        <f>Workings_risks!M10</f>
        <v>1.2153118679519479</v>
      </c>
      <c r="N27" s="168">
        <f>Workings_risks!N10</f>
        <v>1.7358145084669296E-3</v>
      </c>
      <c r="O27" s="168">
        <f>Workings_risks!O10</f>
        <v>7.002042089987677E-3</v>
      </c>
      <c r="P27" s="168">
        <f>Workings_risks!P10</f>
        <v>1.5981592590666956E-2</v>
      </c>
      <c r="Q27" s="168">
        <f>Workings_risks!Q10</f>
        <v>2.8590193183374461E-2</v>
      </c>
      <c r="R27" s="168">
        <f>Workings_risks!R10</f>
        <v>4.481441648947615E-2</v>
      </c>
      <c r="S27" s="168">
        <f>Workings_risks!S10</f>
        <v>6.498363451374832E-2</v>
      </c>
      <c r="T27" s="168">
        <f>Workings_risks!T10</f>
        <v>8.8462540209335208E-2</v>
      </c>
      <c r="U27" s="168">
        <f>Workings_risks!U10</f>
        <v>0.11553448079616298</v>
      </c>
      <c r="V27" s="168">
        <f>Workings_risks!V10</f>
        <v>0.1461715632479598</v>
      </c>
      <c r="W27" s="168">
        <f>Workings_risks!W10</f>
        <v>0.18033207612296065</v>
      </c>
      <c r="X27" s="168">
        <f>Workings_risks!X10</f>
        <v>0.21795799846762115</v>
      </c>
      <c r="Y27" s="168">
        <f>Workings_risks!Y10</f>
        <v>0.25897251213178846</v>
      </c>
      <c r="Z27" s="168">
        <f>Workings_risks!Z10</f>
        <v>0.30327754648442823</v>
      </c>
      <c r="AA27" s="168">
        <f>Workings_risks!AA10</f>
        <v>0.35075139196974525</v>
      </c>
      <c r="AB27" s="168">
        <f>Workings_risks!AB10</f>
        <v>0.40124642657423693</v>
      </c>
      <c r="AC27" s="168">
        <f>Workings_risks!AC10</f>
        <v>0.45458700685807568</v>
      </c>
      <c r="AD27" s="168">
        <f>Workings_risks!AD10</f>
        <v>0.51056758244837042</v>
      </c>
      <c r="AE27" s="168">
        <f>Workings_risks!AE10</f>
        <v>0.56895109944514344</v>
      </c>
      <c r="AF27" s="168">
        <f>Workings_risks!AF10</f>
        <v>0.62946776364599233</v>
      </c>
      <c r="AG27" s="168">
        <f>Workings_risks!AG10</f>
        <v>0.6918142384007373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39182.484183455374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33523.410567569044</v>
      </c>
      <c r="J28" s="119">
        <f t="shared" ref="J28:AG28" si="2">J27*$E$28</f>
        <v>36818.543437441098</v>
      </c>
      <c r="K28" s="119">
        <f t="shared" si="2"/>
        <v>40370.965183635461</v>
      </c>
      <c r="L28" s="119">
        <f t="shared" si="2"/>
        <v>43975.875298094506</v>
      </c>
      <c r="M28" s="119">
        <f t="shared" si="2"/>
        <v>47618.938043992806</v>
      </c>
      <c r="N28" s="119">
        <f t="shared" si="2"/>
        <v>68.013524523417829</v>
      </c>
      <c r="O28" s="119">
        <f t="shared" si="2"/>
        <v>274.35740344283096</v>
      </c>
      <c r="P28" s="119">
        <f t="shared" si="2"/>
        <v>626.19849891023557</v>
      </c>
      <c r="Q28" s="119">
        <f t="shared" si="2"/>
        <v>1120.2347922095034</v>
      </c>
      <c r="R28" s="119">
        <f t="shared" si="2"/>
        <v>1755.9401652896809</v>
      </c>
      <c r="S28" s="119">
        <f t="shared" si="2"/>
        <v>2546.2202315183881</v>
      </c>
      <c r="T28" s="119">
        <f t="shared" si="2"/>
        <v>3466.1820825805617</v>
      </c>
      <c r="U28" s="119">
        <f t="shared" si="2"/>
        <v>4526.9279664393844</v>
      </c>
      <c r="V28" s="119">
        <f t="shared" si="2"/>
        <v>5727.3649650341313</v>
      </c>
      <c r="W28" s="119">
        <f t="shared" si="2"/>
        <v>7065.8587204575761</v>
      </c>
      <c r="X28" s="119">
        <f t="shared" si="2"/>
        <v>8540.1358276151568</v>
      </c>
      <c r="Y28" s="119">
        <f t="shared" si="2"/>
        <v>10147.186360553505</v>
      </c>
      <c r="Z28" s="119">
        <f t="shared" si="2"/>
        <v>11883.167668323262</v>
      </c>
      <c r="AA28" s="119">
        <f t="shared" si="2"/>
        <v>13743.3108681795</v>
      </c>
      <c r="AB28" s="119">
        <f t="shared" si="2"/>
        <v>15721.831762913027</v>
      </c>
      <c r="AC28" s="119">
        <f t="shared" si="2"/>
        <v>17811.848206220871</v>
      </c>
      <c r="AD28" s="119">
        <f t="shared" si="2"/>
        <v>20005.30622386832</v>
      </c>
      <c r="AE28" s="119">
        <f t="shared" si="2"/>
        <v>22292.917455168877</v>
      </c>
      <c r="AF28" s="119">
        <f t="shared" si="2"/>
        <v>24664.110693054121</v>
      </c>
      <c r="AG28" s="119">
        <f t="shared" si="2"/>
        <v>27107.000454026114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68">
        <f>Workings_risks!I12</f>
        <v>1454.9162876021039</v>
      </c>
      <c r="J30" s="168">
        <f>Workings_risks!J12</f>
        <v>1584.2570647417215</v>
      </c>
      <c r="K30" s="168">
        <f>Workings_risks!K12</f>
        <v>1717.9820590287068</v>
      </c>
      <c r="L30" s="168">
        <f>Workings_risks!L12</f>
        <v>1855.856392866262</v>
      </c>
      <c r="M30" s="168">
        <f>Workings_risks!M12</f>
        <v>1997.6275613739977</v>
      </c>
      <c r="N30" s="168">
        <f>Workings_risks!N12</f>
        <v>3.0255999835620941</v>
      </c>
      <c r="O30" s="168">
        <f>Workings_risks!O12</f>
        <v>12.102026925291742</v>
      </c>
      <c r="P30" s="168">
        <f>Workings_risks!P12</f>
        <v>27.226203604765566</v>
      </c>
      <c r="Q30" s="168">
        <f>Workings_risks!Q12</f>
        <v>48.388713488692204</v>
      </c>
      <c r="R30" s="168">
        <f>Workings_risks!R12</f>
        <v>75.570080023833142</v>
      </c>
      <c r="S30" s="168">
        <f>Workings_risks!S12</f>
        <v>108.73706579893539</v>
      </c>
      <c r="T30" s="168">
        <f>Workings_risks!T12</f>
        <v>147.83901018734804</v>
      </c>
      <c r="U30" s="168">
        <f>Workings_risks!U12</f>
        <v>192.8042303936632</v>
      </c>
      <c r="V30" s="168">
        <f>Workings_risks!V12</f>
        <v>243.53651699177414</v>
      </c>
      <c r="W30" s="168">
        <f>Workings_risks!W12</f>
        <v>299.91176097004859</v>
      </c>
      <c r="X30" s="168">
        <f>Workings_risks!X12</f>
        <v>361.77475488372687</v>
      </c>
      <c r="Y30" s="168">
        <f>Workings_risks!Y12</f>
        <v>428.93621582842195</v>
      </c>
      <c r="Z30" s="168">
        <f>Workings_risks!Z12</f>
        <v>501.17008244849171</v>
      </c>
      <c r="AA30" s="168">
        <f>Workings_risks!AA12</f>
        <v>578.2111419230414</v>
      </c>
      <c r="AB30" s="168">
        <f>Workings_risks!AB12</f>
        <v>659.75304566316822</v>
      </c>
      <c r="AC30" s="168">
        <f>Workings_risks!AC12</f>
        <v>745.44677413372051</v>
      </c>
      <c r="AD30" s="168">
        <f>Workings_risks!AD12</f>
        <v>834.89961160766347</v>
      </c>
      <c r="AE30" s="168">
        <f>Workings_risks!AE12</f>
        <v>927.67469060285771</v>
      </c>
      <c r="AF30" s="168">
        <f>Workings_risks!AF12</f>
        <v>1023.2911630838314</v>
      </c>
      <c r="AG30" s="168">
        <f>Workings_risks!AG12</f>
        <v>1121.2250510987558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68">
        <f>Workings_risks!I14</f>
        <v>91148.4676942355</v>
      </c>
      <c r="J31" s="168">
        <f>Workings_risks!J14</f>
        <v>99251.4862301596</v>
      </c>
      <c r="K31" s="168">
        <f>Workings_risks!K14</f>
        <v>107629.16982992737</v>
      </c>
      <c r="L31" s="168">
        <f>Workings_risks!L14</f>
        <v>116266.80374106379</v>
      </c>
      <c r="M31" s="168">
        <f>Workings_risks!M14</f>
        <v>125148.56888646536</v>
      </c>
      <c r="N31" s="168">
        <f>Workings_risks!N14</f>
        <v>25.273280184104543</v>
      </c>
      <c r="O31" s="168">
        <f>Workings_risks!O14</f>
        <v>101.09000493792418</v>
      </c>
      <c r="P31" s="168">
        <f>Workings_risks!P14</f>
        <v>227.42446978817398</v>
      </c>
      <c r="Q31" s="168">
        <f>Workings_risks!Q14</f>
        <v>404.19801705190571</v>
      </c>
      <c r="R31" s="168">
        <f>Workings_risks!R14</f>
        <v>631.2479562248584</v>
      </c>
      <c r="S31" s="168">
        <f>Workings_risks!S14</f>
        <v>908.29665033857771</v>
      </c>
      <c r="T31" s="168">
        <f>Workings_risks!T14</f>
        <v>1234.9209237523291</v>
      </c>
      <c r="U31" s="168">
        <f>Workings_risks!U14</f>
        <v>1610.5219995681205</v>
      </c>
      <c r="V31" s="168">
        <f>Workings_risks!V14</f>
        <v>2034.2962263463826</v>
      </c>
      <c r="W31" s="168">
        <f>Workings_risks!W14</f>
        <v>2505.206903319865</v>
      </c>
      <c r="X31" s="168">
        <f>Workings_risks!X14</f>
        <v>3021.9575599506975</v>
      </c>
      <c r="Y31" s="168">
        <f>Workings_risks!Y14</f>
        <v>3582.9670883916333</v>
      </c>
      <c r="Z31" s="168">
        <f>Workings_risks!Z14</f>
        <v>4186.3471650007568</v>
      </c>
      <c r="AA31" s="168">
        <f>Workings_risks!AA14</f>
        <v>4829.8824282077012</v>
      </c>
      <c r="AB31" s="168">
        <f>Workings_risks!AB14</f>
        <v>5511.0139033418518</v>
      </c>
      <c r="AC31" s="168">
        <f>Workings_risks!AC14</f>
        <v>6226.8261790634597</v>
      </c>
      <c r="AD31" s="168">
        <f>Workings_risks!AD14</f>
        <v>6974.0388433365761</v>
      </c>
      <c r="AE31" s="168">
        <f>Workings_risks!AE14</f>
        <v>7749.0026780426715</v>
      </c>
      <c r="AF31" s="168">
        <f>Workings_risks!AF14</f>
        <v>8547.7010890541387</v>
      </c>
      <c r="AG31" s="168">
        <f>Workings_risks!AG14</f>
        <v>9365.7572117296531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172</v>
      </c>
      <c r="D34" s="206"/>
      <c r="E34"/>
      <c r="G34" s="207">
        <f>input_dollars</f>
        <v>45291</v>
      </c>
      <c r="H34"/>
      <c r="I34" s="168">
        <f>Workings_risks!I16</f>
        <v>11958.333333333334</v>
      </c>
      <c r="J34" s="168">
        <f>Workings_risks!J16</f>
        <v>11958.333333333334</v>
      </c>
      <c r="K34" s="168">
        <f>Workings_risks!K16</f>
        <v>11958.333333333334</v>
      </c>
      <c r="L34" s="168">
        <f>Workings_risks!L16</f>
        <v>11958.333333333334</v>
      </c>
      <c r="M34" s="168">
        <f>Workings_risks!M16</f>
        <v>11958.333333333334</v>
      </c>
      <c r="N34" s="168">
        <f>Workings_risks!N16</f>
        <v>7972.2222222222226</v>
      </c>
      <c r="O34" s="168">
        <f>Workings_risks!O16</f>
        <v>7972.2222222222226</v>
      </c>
      <c r="P34" s="168">
        <f>Workings_risks!P16</f>
        <v>7972.2222222222226</v>
      </c>
      <c r="Q34" s="168">
        <f>Workings_risks!Q16</f>
        <v>7972.2222222222226</v>
      </c>
      <c r="R34" s="168">
        <f>Workings_risks!R16</f>
        <v>7972.2222222222226</v>
      </c>
      <c r="S34" s="168">
        <f>Workings_risks!S16</f>
        <v>7972.2222222222226</v>
      </c>
      <c r="T34" s="168">
        <f>Workings_risks!T16</f>
        <v>7972.2222222222226</v>
      </c>
      <c r="U34" s="168">
        <f>Workings_risks!U16</f>
        <v>7972.2222222222226</v>
      </c>
      <c r="V34" s="168">
        <f>Workings_risks!V16</f>
        <v>7972.2222222222226</v>
      </c>
      <c r="W34" s="168">
        <f>Workings_risks!W16</f>
        <v>7972.2222222222226</v>
      </c>
      <c r="X34" s="168">
        <f>Workings_risks!X16</f>
        <v>7972.2222222222226</v>
      </c>
      <c r="Y34" s="168">
        <f>Workings_risks!Y16</f>
        <v>7972.2222222222226</v>
      </c>
      <c r="Z34" s="168">
        <f>Workings_risks!Z16</f>
        <v>7972.2222222222226</v>
      </c>
      <c r="AA34" s="168">
        <f>Workings_risks!AA16</f>
        <v>7972.2222222222226</v>
      </c>
      <c r="AB34" s="168">
        <f>Workings_risks!AB16</f>
        <v>7972.2222222222226</v>
      </c>
      <c r="AC34" s="168">
        <f>Workings_risks!AC16</f>
        <v>7972.2222222222226</v>
      </c>
      <c r="AD34" s="168">
        <f>Workings_risks!AD16</f>
        <v>7972.2222222222226</v>
      </c>
      <c r="AE34" s="168">
        <f>Workings_risks!AE16</f>
        <v>7972.2222222222226</v>
      </c>
      <c r="AF34" s="168">
        <f>Workings_risks!AF16</f>
        <v>7972.2222222222226</v>
      </c>
      <c r="AG34" s="168">
        <f>Workings_risks!AG16</f>
        <v>7972.2222222222226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138085.12788273999</v>
      </c>
      <c r="J36" s="170">
        <f t="shared" ref="J36:AG36" si="3">SUM(J28:J34)</f>
        <v>149612.62006567576</v>
      </c>
      <c r="K36" s="170">
        <f t="shared" si="3"/>
        <v>161676.45040592487</v>
      </c>
      <c r="L36" s="170">
        <f t="shared" si="3"/>
        <v>174056.86876535791</v>
      </c>
      <c r="M36" s="170">
        <f t="shared" si="3"/>
        <v>186723.46782516551</v>
      </c>
      <c r="N36" s="170">
        <f t="shared" si="3"/>
        <v>8068.534626913307</v>
      </c>
      <c r="O36" s="170">
        <f t="shared" si="3"/>
        <v>8359.7716575282702</v>
      </c>
      <c r="P36" s="170">
        <f t="shared" si="3"/>
        <v>8853.0713945253974</v>
      </c>
      <c r="Q36" s="170">
        <f t="shared" si="3"/>
        <v>9545.0437449723249</v>
      </c>
      <c r="R36" s="170">
        <f t="shared" si="3"/>
        <v>10434.980423760595</v>
      </c>
      <c r="S36" s="170">
        <f t="shared" si="3"/>
        <v>11535.476169878124</v>
      </c>
      <c r="T36" s="170">
        <f t="shared" si="3"/>
        <v>12821.164238742462</v>
      </c>
      <c r="U36" s="170">
        <f t="shared" si="3"/>
        <v>14302.476418623392</v>
      </c>
      <c r="V36" s="170">
        <f t="shared" si="3"/>
        <v>15977.419930594511</v>
      </c>
      <c r="W36" s="170">
        <f t="shared" si="3"/>
        <v>17843.199606969712</v>
      </c>
      <c r="X36" s="170">
        <f t="shared" si="3"/>
        <v>19896.090364671803</v>
      </c>
      <c r="Y36" s="170">
        <f t="shared" si="3"/>
        <v>22131.311886995783</v>
      </c>
      <c r="Z36" s="170">
        <f t="shared" si="3"/>
        <v>24542.907137994735</v>
      </c>
      <c r="AA36" s="170">
        <f t="shared" si="3"/>
        <v>27123.626660532464</v>
      </c>
      <c r="AB36" s="170">
        <f t="shared" si="3"/>
        <v>29864.820934140269</v>
      </c>
      <c r="AC36" s="170">
        <f t="shared" si="3"/>
        <v>32756.343381640276</v>
      </c>
      <c r="AD36" s="170">
        <f t="shared" si="3"/>
        <v>35786.466901034786</v>
      </c>
      <c r="AE36" s="170">
        <f t="shared" si="3"/>
        <v>38941.817046036624</v>
      </c>
      <c r="AF36" s="170">
        <f t="shared" si="3"/>
        <v>42207.32516741431</v>
      </c>
      <c r="AG36" s="170">
        <f t="shared" si="3"/>
        <v>45566.20493907675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5">
        <v>0</v>
      </c>
      <c r="J45" s="325">
        <v>0</v>
      </c>
      <c r="K45" s="325">
        <v>0</v>
      </c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325">
        <v>0</v>
      </c>
      <c r="T45" s="325">
        <v>0</v>
      </c>
      <c r="U45" s="325">
        <v>0</v>
      </c>
      <c r="V45" s="325">
        <v>0</v>
      </c>
      <c r="W45" s="325">
        <v>0</v>
      </c>
      <c r="X45" s="325">
        <v>0</v>
      </c>
      <c r="Y45" s="325">
        <v>0</v>
      </c>
      <c r="Z45" s="325">
        <v>0</v>
      </c>
      <c r="AA45" s="325">
        <v>0</v>
      </c>
      <c r="AB45" s="325">
        <v>0</v>
      </c>
      <c r="AC45" s="325">
        <v>0</v>
      </c>
      <c r="AD45" s="325">
        <v>0</v>
      </c>
      <c r="AE45" s="325">
        <v>0</v>
      </c>
      <c r="AF45" s="325">
        <v>0</v>
      </c>
      <c r="AG45" s="325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325">
        <v>0</v>
      </c>
      <c r="Z46" s="325">
        <v>0</v>
      </c>
      <c r="AA46" s="325">
        <v>0</v>
      </c>
      <c r="AB46" s="325">
        <v>0</v>
      </c>
      <c r="AC46" s="325">
        <v>0</v>
      </c>
      <c r="AD46" s="325">
        <v>0</v>
      </c>
      <c r="AE46" s="325">
        <v>0</v>
      </c>
      <c r="AF46" s="325">
        <v>0</v>
      </c>
      <c r="AG46" s="325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862.60284529259377</v>
      </c>
      <c r="G47" s="207" t="s">
        <v>40</v>
      </c>
      <c r="I47" s="325">
        <v>0</v>
      </c>
      <c r="J47" s="325">
        <v>0</v>
      </c>
      <c r="K47" s="325">
        <v>0</v>
      </c>
      <c r="L47" s="325">
        <v>0</v>
      </c>
      <c r="M47" s="325">
        <v>0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325">
        <v>0</v>
      </c>
      <c r="T47" s="325">
        <v>0</v>
      </c>
      <c r="U47" s="325">
        <v>0</v>
      </c>
      <c r="V47" s="325">
        <v>0</v>
      </c>
      <c r="W47" s="325">
        <v>0</v>
      </c>
      <c r="X47" s="325">
        <v>0</v>
      </c>
      <c r="Y47" s="325">
        <v>0</v>
      </c>
      <c r="Z47" s="325">
        <v>0</v>
      </c>
      <c r="AA47" s="325">
        <v>0</v>
      </c>
      <c r="AB47" s="325">
        <v>0</v>
      </c>
      <c r="AC47" s="325">
        <v>0</v>
      </c>
      <c r="AD47" s="325">
        <v>0</v>
      </c>
      <c r="AE47" s="325">
        <v>0</v>
      </c>
      <c r="AF47" s="325">
        <v>0</v>
      </c>
      <c r="AG47" s="325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5">
        <v>0</v>
      </c>
      <c r="J48" s="325">
        <v>0</v>
      </c>
      <c r="K48" s="325">
        <v>0</v>
      </c>
      <c r="L48" s="325">
        <v>0</v>
      </c>
      <c r="M48" s="325">
        <v>0</v>
      </c>
      <c r="N48" s="325">
        <v>0</v>
      </c>
      <c r="O48" s="325">
        <v>0</v>
      </c>
      <c r="P48" s="325">
        <v>0</v>
      </c>
      <c r="Q48" s="325">
        <v>0</v>
      </c>
      <c r="R48" s="325">
        <v>0</v>
      </c>
      <c r="S48" s="325">
        <v>0</v>
      </c>
      <c r="T48" s="325">
        <v>0</v>
      </c>
      <c r="U48" s="325">
        <v>0</v>
      </c>
      <c r="V48" s="325">
        <v>0</v>
      </c>
      <c r="W48" s="325">
        <v>0</v>
      </c>
      <c r="X48" s="325">
        <v>0</v>
      </c>
      <c r="Y48" s="325">
        <v>0</v>
      </c>
      <c r="Z48" s="325">
        <v>0</v>
      </c>
      <c r="AA48" s="325">
        <v>0</v>
      </c>
      <c r="AB48" s="325">
        <v>0</v>
      </c>
      <c r="AC48" s="325">
        <v>0</v>
      </c>
      <c r="AD48" s="325">
        <v>0</v>
      </c>
      <c r="AE48" s="325">
        <v>0</v>
      </c>
      <c r="AF48" s="325">
        <v>0</v>
      </c>
      <c r="AG48" s="325">
        <v>0</v>
      </c>
    </row>
    <row r="49" spans="1:43" x14ac:dyDescent="0.2">
      <c r="C49" s="1" t="s">
        <v>9</v>
      </c>
      <c r="D49" s="205" t="s">
        <v>205</v>
      </c>
      <c r="E49" s="112">
        <f>Assumptions!G98</f>
        <v>0.34750851315331577</v>
      </c>
      <c r="G49" s="207" t="s">
        <v>206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325">
        <v>0</v>
      </c>
      <c r="O49" s="325">
        <v>0</v>
      </c>
      <c r="P49" s="325">
        <v>0</v>
      </c>
      <c r="Q49" s="325">
        <v>0</v>
      </c>
      <c r="R49" s="325">
        <v>0</v>
      </c>
      <c r="S49" s="325">
        <v>0</v>
      </c>
      <c r="T49" s="325">
        <v>0</v>
      </c>
      <c r="U49" s="325">
        <v>0</v>
      </c>
      <c r="V49" s="325">
        <v>0</v>
      </c>
      <c r="W49" s="325">
        <v>0</v>
      </c>
      <c r="X49" s="325">
        <v>0</v>
      </c>
      <c r="Y49" s="325">
        <v>0</v>
      </c>
      <c r="Z49" s="325">
        <v>0</v>
      </c>
      <c r="AA49" s="325">
        <v>0</v>
      </c>
      <c r="AB49" s="325">
        <v>0</v>
      </c>
      <c r="AC49" s="325">
        <v>0</v>
      </c>
      <c r="AD49" s="325">
        <v>0</v>
      </c>
      <c r="AE49" s="325">
        <v>0</v>
      </c>
      <c r="AF49" s="325">
        <v>0</v>
      </c>
      <c r="AG49" s="325">
        <v>0</v>
      </c>
    </row>
    <row r="50" spans="1:43" x14ac:dyDescent="0.2">
      <c r="C50" s="1" t="s">
        <v>10</v>
      </c>
      <c r="D50" s="205" t="s">
        <v>205</v>
      </c>
      <c r="E50" s="112">
        <f>Assumptions!G99</f>
        <v>0.34750851315331577</v>
      </c>
      <c r="G50" s="207" t="s">
        <v>206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325">
        <v>0</v>
      </c>
      <c r="O50" s="325">
        <v>0</v>
      </c>
      <c r="P50" s="325">
        <v>0</v>
      </c>
      <c r="Q50" s="325">
        <v>0</v>
      </c>
      <c r="R50" s="325">
        <v>0</v>
      </c>
      <c r="S50" s="325">
        <v>0</v>
      </c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325">
        <v>0</v>
      </c>
      <c r="Z50" s="325">
        <v>0</v>
      </c>
      <c r="AA50" s="325">
        <v>0</v>
      </c>
      <c r="AB50" s="325">
        <v>0</v>
      </c>
      <c r="AC50" s="325">
        <v>0</v>
      </c>
      <c r="AD50" s="325">
        <v>0</v>
      </c>
      <c r="AE50" s="325">
        <v>0</v>
      </c>
      <c r="AF50" s="325">
        <v>0</v>
      </c>
      <c r="AG50" s="325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6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187793.68668727737</v>
      </c>
      <c r="O64" s="132">
        <f>(1-INDEX(Data!$C$9:$C$13, MATCH($A$3, options,0)))*('Option1 (base case)'!O36-O36)</f>
        <v>201243.08384259662</v>
      </c>
      <c r="P64" s="132">
        <f>(1-INDEX(Data!$C$9:$C$13, MATCH($A$3, options,0)))*('Option1 (base case)'!P36-P36)</f>
        <v>215211.45694679758</v>
      </c>
      <c r="Q64" s="132">
        <f>(1-INDEX(Data!$C$9:$C$13, MATCH($A$3, options,0)))*('Option1 (base case)'!Q36-Q36)</f>
        <v>228857.62365822023</v>
      </c>
      <c r="R64" s="132">
        <f>(1-INDEX(Data!$C$9:$C$13, MATCH($A$3, options,0)))*('Option1 (base case)'!R36-R36)</f>
        <v>242395.07711090657</v>
      </c>
      <c r="S64" s="132">
        <f>(1-INDEX(Data!$C$9:$C$13, MATCH($A$3, options,0)))*('Option1 (base case)'!S36-S36)</f>
        <v>256254.11397632808</v>
      </c>
      <c r="T64" s="132">
        <f>(1-INDEX(Data!$C$9:$C$13, MATCH($A$3, options,0)))*('Option1 (base case)'!T36-T36)</f>
        <v>269650.94674625737</v>
      </c>
      <c r="U64" s="132">
        <f>(1-INDEX(Data!$C$9:$C$13, MATCH($A$3, options,0)))*('Option1 (base case)'!U36-U36)</f>
        <v>283005.88112535386</v>
      </c>
      <c r="V64" s="132">
        <f>(1-INDEX(Data!$C$9:$C$13, MATCH($A$3, options,0)))*('Option1 (base case)'!V36-V36)</f>
        <v>296284.75507405068</v>
      </c>
      <c r="W64" s="132">
        <f>(1-INDEX(Data!$C$9:$C$13, MATCH($A$3, options,0)))*('Option1 (base case)'!W36-W36)</f>
        <v>309452.56823006435</v>
      </c>
      <c r="X64" s="132">
        <f>(1-INDEX(Data!$C$9:$C$13, MATCH($A$3, options,0)))*('Option1 (base case)'!X36-X36)</f>
        <v>322473.68908847671</v>
      </c>
      <c r="Y64" s="132">
        <f>(1-INDEX(Data!$C$9:$C$13, MATCH($A$3, options,0)))*('Option1 (base case)'!Y36-Y36)</f>
        <v>335312.07599612622</v>
      </c>
      <c r="Z64" s="132">
        <f>(1-INDEX(Data!$C$9:$C$13, MATCH($A$3, options,0)))*('Option1 (base case)'!Z36-Z36)</f>
        <v>347931.51068003883</v>
      </c>
      <c r="AA64" s="132">
        <f>(1-INDEX(Data!$C$9:$C$13, MATCH($A$3, options,0)))*('Option1 (base case)'!AA36-AA36)</f>
        <v>360295.84255997941</v>
      </c>
      <c r="AB64" s="132">
        <f>(1-INDEX(Data!$C$9:$C$13, MATCH($A$3, options,0)))*('Option1 (base case)'!AB36-AB36)</f>
        <v>372369.24161087582</v>
      </c>
      <c r="AC64" s="132">
        <f>(1-INDEX(Data!$C$9:$C$13, MATCH($A$3, options,0)))*('Option1 (base case)'!AC36-AC36)</f>
        <v>384116.45705338632</v>
      </c>
      <c r="AD64" s="132">
        <f>(1-INDEX(Data!$C$9:$C$13, MATCH($A$3, options,0)))*('Option1 (base case)'!AD36-AD36)</f>
        <v>395503.07867464167</v>
      </c>
      <c r="AE64" s="132">
        <f>(1-INDEX(Data!$C$9:$C$13, MATCH($A$3, options,0)))*('Option1 (base case)'!AE36-AE36)</f>
        <v>406495.79713332711</v>
      </c>
      <c r="AF64" s="132">
        <f>(1-INDEX(Data!$C$9:$C$13, MATCH($A$3, options,0)))*('Option1 (base case)'!AF36-AF36)</f>
        <v>417062.65920341038</v>
      </c>
      <c r="AG64" s="132">
        <f>(1-INDEX(Data!$C$9:$C$13, MATCH($A$3, options,0)))*('Option1 (base case)'!AG36-AG36)</f>
        <v>427173.31358053448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Relay replacement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-622600</v>
      </c>
      <c r="N67" s="119">
        <f t="shared" si="5"/>
        <v>-2490400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Relay replacement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-622600</v>
      </c>
      <c r="N72" s="119" cm="1">
        <f t="array" ref="N72">SUMPRODUCT(($I67:N67))-SUMPRODUCT(($I67:N67)*($I$6:N$6&lt;=(N$6-$E14)))</f>
        <v>-3113000</v>
      </c>
      <c r="O72" s="119" cm="1">
        <f t="array" ref="O72">SUMPRODUCT(($I67:O67))-SUMPRODUCT(($I67:O67)*($I$6:O$6&lt;=(O$6-$E14)))</f>
        <v>-3113000</v>
      </c>
      <c r="P72" s="119" cm="1">
        <f t="array" ref="P72">SUMPRODUCT(($I67:P67))-SUMPRODUCT(($I67:P67)*($I$6:P$6&lt;=(P$6-$E14)))</f>
        <v>-3113000</v>
      </c>
      <c r="Q72" s="119" cm="1">
        <f t="array" ref="Q72">SUMPRODUCT(($I67:Q67))-SUMPRODUCT(($I67:Q67)*($I$6:Q$6&lt;=(Q$6-$E14)))</f>
        <v>-3113000</v>
      </c>
      <c r="R72" s="119" cm="1">
        <f t="array" ref="R72">SUMPRODUCT(($I67:R67))-SUMPRODUCT(($I67:R67)*($I$6:R$6&lt;=(R$6-$E14)))</f>
        <v>-3113000</v>
      </c>
      <c r="S72" s="119" cm="1">
        <f t="array" ref="S72">SUMPRODUCT(($I67:S67))-SUMPRODUCT(($I67:S67)*($I$6:S$6&lt;=(S$6-$E14)))</f>
        <v>-3113000</v>
      </c>
      <c r="T72" s="119" cm="1">
        <f t="array" ref="T72">SUMPRODUCT(($I67:T67))-SUMPRODUCT(($I67:T67)*($I$6:T$6&lt;=(T$6-$E14)))</f>
        <v>-3113000</v>
      </c>
      <c r="U72" s="119" cm="1">
        <f t="array" ref="U72">SUMPRODUCT(($I67:U67))-SUMPRODUCT(($I67:U67)*($I$6:U$6&lt;=(U$6-$E14)))</f>
        <v>-3113000</v>
      </c>
      <c r="V72" s="119" cm="1">
        <f t="array" ref="V72">SUMPRODUCT(($I67:V67))-SUMPRODUCT(($I67:V67)*($I$6:V$6&lt;=(V$6-$E14)))</f>
        <v>-3113000</v>
      </c>
      <c r="W72" s="119" cm="1">
        <f t="array" ref="W72">SUMPRODUCT(($I67:W67))-SUMPRODUCT(($I67:W67)*($I$6:W$6&lt;=(W$6-$E14)))</f>
        <v>-3113000</v>
      </c>
      <c r="X72" s="119" cm="1">
        <f t="array" ref="X72">SUMPRODUCT(($I67:X67))-SUMPRODUCT(($I67:X67)*($I$6:X$6&lt;=(X$6-$E14)))</f>
        <v>-3113000</v>
      </c>
      <c r="Y72" s="119" cm="1">
        <f t="array" ref="Y72">SUMPRODUCT(($I67:Y67))-SUMPRODUCT(($I67:Y67)*($I$6:Y$6&lt;=(Y$6-$E14)))</f>
        <v>-3113000</v>
      </c>
      <c r="Z72" s="119" cm="1">
        <f t="array" ref="Z72">SUMPRODUCT(($I67:Z67))-SUMPRODUCT(($I67:Z67)*($I$6:Z$6&lt;=(Z$6-$E14)))</f>
        <v>-3113000</v>
      </c>
      <c r="AA72" s="119" cm="1">
        <f t="array" ref="AA72">SUMPRODUCT(($I67:AA67))-SUMPRODUCT(($I67:AA67)*($I$6:AA$6&lt;=(AA$6-$E14)))</f>
        <v>-3113000</v>
      </c>
      <c r="AB72" s="119" cm="1">
        <f t="array" ref="AB72">SUMPRODUCT(($I67:AB67))-SUMPRODUCT(($I67:AB67)*($I$6:AB$6&lt;=(AB$6-$E14)))</f>
        <v>-3113000</v>
      </c>
      <c r="AC72" s="119" cm="1">
        <f t="array" ref="AC72">SUMPRODUCT(($I67:AC67))-SUMPRODUCT(($I67:AC67)*($I$6:AC$6&lt;=(AC$6-$E14)))</f>
        <v>-3113000</v>
      </c>
      <c r="AD72" s="119" cm="1">
        <f t="array" ref="AD72">SUMPRODUCT(($I67:AD67))-SUMPRODUCT(($I67:AD67)*($I$6:AD$6&lt;=(AD$6-$E14)))</f>
        <v>-3113000</v>
      </c>
      <c r="AE72" s="119" cm="1">
        <f t="array" ref="AE72">SUMPRODUCT(($I67:AE67))-SUMPRODUCT(($I67:AE67)*($I$6:AE$6&lt;=(AE$6-$E14)))</f>
        <v>-3113000</v>
      </c>
      <c r="AF72" s="119" cm="1">
        <f t="array" ref="AF72">SUMPRODUCT(($I67:AF67))-SUMPRODUCT(($I67:AF67)*($I$6:AF$6&lt;=(AF$6-$E14)))</f>
        <v>-3113000</v>
      </c>
      <c r="AG72" s="119" cm="1">
        <f t="array" ref="AG72">SUMPRODUCT(($I67:AG67))-SUMPRODUCT(($I67:AG67)*($I$6:AG$6&lt;=(AG$6-$E14)))</f>
        <v>-3113000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Relay replacement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-37775.654446915891</v>
      </c>
      <c r="O77" s="119">
        <f t="shared" si="8"/>
        <v>-188878.27223457946</v>
      </c>
      <c r="P77" s="119">
        <f t="shared" si="8"/>
        <v>-188878.27223457946</v>
      </c>
      <c r="Q77" s="119">
        <f t="shared" si="8"/>
        <v>-188878.27223457946</v>
      </c>
      <c r="R77" s="119">
        <f t="shared" si="8"/>
        <v>-188878.27223457946</v>
      </c>
      <c r="S77" s="119">
        <f t="shared" si="8"/>
        <v>-188878.27223457946</v>
      </c>
      <c r="T77" s="119">
        <f t="shared" si="8"/>
        <v>-188878.27223457946</v>
      </c>
      <c r="U77" s="119">
        <f t="shared" si="8"/>
        <v>-188878.27223457946</v>
      </c>
      <c r="V77" s="119">
        <f t="shared" si="8"/>
        <v>-188878.27223457946</v>
      </c>
      <c r="W77" s="119">
        <f t="shared" si="8"/>
        <v>-188878.27223457946</v>
      </c>
      <c r="X77" s="119">
        <f t="shared" si="8"/>
        <v>-188878.27223457946</v>
      </c>
      <c r="Y77" s="119">
        <f t="shared" si="8"/>
        <v>-188878.27223457946</v>
      </c>
      <c r="Z77" s="119">
        <f t="shared" si="8"/>
        <v>-188878.27223457946</v>
      </c>
      <c r="AA77" s="119">
        <f t="shared" si="8"/>
        <v>-188878.27223457946</v>
      </c>
      <c r="AB77" s="119">
        <f t="shared" si="8"/>
        <v>-188878.27223457946</v>
      </c>
      <c r="AC77" s="119">
        <f t="shared" si="8"/>
        <v>-188878.27223457946</v>
      </c>
      <c r="AD77" s="119">
        <f t="shared" si="8"/>
        <v>-188878.27223457946</v>
      </c>
      <c r="AE77" s="119">
        <f t="shared" si="8"/>
        <v>-188878.27223457946</v>
      </c>
      <c r="AF77" s="119">
        <f t="shared" si="8"/>
        <v>-188878.27223457946</v>
      </c>
      <c r="AG77" s="119">
        <f t="shared" si="8"/>
        <v>-188878.27223457946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-37775.654446915891</v>
      </c>
      <c r="O80" s="176">
        <f t="shared" si="11"/>
        <v>-188878.27223457946</v>
      </c>
      <c r="P80" s="176">
        <f t="shared" si="11"/>
        <v>-188878.27223457946</v>
      </c>
      <c r="Q80" s="176">
        <f t="shared" si="11"/>
        <v>-188878.27223457946</v>
      </c>
      <c r="R80" s="176">
        <f t="shared" si="11"/>
        <v>-188878.27223457946</v>
      </c>
      <c r="S80" s="176">
        <f t="shared" si="11"/>
        <v>-188878.27223457946</v>
      </c>
      <c r="T80" s="176">
        <f t="shared" si="11"/>
        <v>-188878.27223457946</v>
      </c>
      <c r="U80" s="176">
        <f t="shared" si="11"/>
        <v>-188878.27223457946</v>
      </c>
      <c r="V80" s="176">
        <f t="shared" si="11"/>
        <v>-188878.27223457946</v>
      </c>
      <c r="W80" s="176">
        <f t="shared" si="11"/>
        <v>-188878.27223457946</v>
      </c>
      <c r="X80" s="176">
        <f t="shared" si="11"/>
        <v>-188878.27223457946</v>
      </c>
      <c r="Y80" s="176">
        <f t="shared" si="11"/>
        <v>-188878.27223457946</v>
      </c>
      <c r="Z80" s="176">
        <f t="shared" si="11"/>
        <v>-188878.27223457946</v>
      </c>
      <c r="AA80" s="176">
        <f t="shared" si="11"/>
        <v>-188878.27223457946</v>
      </c>
      <c r="AB80" s="176">
        <f t="shared" si="11"/>
        <v>-188878.27223457946</v>
      </c>
      <c r="AC80" s="176">
        <f>SUM(AC77:AC79)</f>
        <v>-188878.27223457946</v>
      </c>
      <c r="AD80" s="176">
        <f>SUM(AD77:AD79)</f>
        <v>-188878.27223457946</v>
      </c>
      <c r="AE80" s="176">
        <f>SUM(AE77:AE79)</f>
        <v>-188878.27223457946</v>
      </c>
      <c r="AF80" s="176">
        <f>SUM(AF77:AF79)</f>
        <v>-188878.27223457946</v>
      </c>
      <c r="AG80" s="176">
        <f>SUM(AG77:AG79)</f>
        <v>-188878.27223457946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-37775.654446915891</v>
      </c>
      <c r="O82" s="119">
        <f t="shared" si="13"/>
        <v>-188878.27223457946</v>
      </c>
      <c r="P82" s="119">
        <f t="shared" si="13"/>
        <v>-188878.27223457946</v>
      </c>
      <c r="Q82" s="119">
        <f t="shared" si="13"/>
        <v>-188878.27223457946</v>
      </c>
      <c r="R82" s="119">
        <f t="shared" si="13"/>
        <v>-188878.27223457946</v>
      </c>
      <c r="S82" s="119">
        <f t="shared" si="13"/>
        <v>-188878.27223457946</v>
      </c>
      <c r="T82" s="119">
        <f t="shared" si="13"/>
        <v>-188878.27223457946</v>
      </c>
      <c r="U82" s="119">
        <f t="shared" si="13"/>
        <v>-188878.27223457946</v>
      </c>
      <c r="V82" s="119">
        <f t="shared" si="13"/>
        <v>-188878.27223457946</v>
      </c>
      <c r="W82" s="119">
        <f t="shared" si="13"/>
        <v>-188878.27223457946</v>
      </c>
      <c r="X82" s="119">
        <f t="shared" si="13"/>
        <v>-188878.27223457946</v>
      </c>
      <c r="Y82" s="119">
        <f t="shared" si="13"/>
        <v>-188878.27223457946</v>
      </c>
      <c r="Z82" s="119">
        <f t="shared" si="13"/>
        <v>-188878.27223457946</v>
      </c>
      <c r="AA82" s="119">
        <f t="shared" si="13"/>
        <v>-188878.27223457946</v>
      </c>
      <c r="AB82" s="119">
        <f t="shared" si="13"/>
        <v>-188878.27223457946</v>
      </c>
      <c r="AC82" s="119">
        <f>AC80</f>
        <v>-188878.27223457946</v>
      </c>
      <c r="AD82" s="119">
        <f>AD80</f>
        <v>-188878.27223457946</v>
      </c>
      <c r="AE82" s="119">
        <f>AE80</f>
        <v>-188878.27223457946</v>
      </c>
      <c r="AF82" s="119">
        <f>AF80</f>
        <v>-188878.27223457946</v>
      </c>
      <c r="AG82" s="119">
        <f>AG80</f>
        <v>-188878.27223457946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187793.68668727737</v>
      </c>
      <c r="O84" s="31">
        <f t="shared" si="15"/>
        <v>201243.08384259662</v>
      </c>
      <c r="P84" s="31">
        <f t="shared" si="15"/>
        <v>215211.45694679758</v>
      </c>
      <c r="Q84" s="31">
        <f t="shared" si="15"/>
        <v>228857.62365822023</v>
      </c>
      <c r="R84" s="31">
        <f t="shared" si="15"/>
        <v>242395.07711090657</v>
      </c>
      <c r="S84" s="31">
        <f t="shared" si="15"/>
        <v>256254.11397632808</v>
      </c>
      <c r="T84" s="31">
        <f t="shared" si="15"/>
        <v>269650.94674625737</v>
      </c>
      <c r="U84" s="31">
        <f t="shared" si="15"/>
        <v>283005.88112535386</v>
      </c>
      <c r="V84" s="31">
        <f t="shared" si="15"/>
        <v>296284.75507405068</v>
      </c>
      <c r="W84" s="31">
        <f t="shared" si="15"/>
        <v>309452.56823006435</v>
      </c>
      <c r="X84" s="31">
        <f t="shared" si="15"/>
        <v>322473.68908847671</v>
      </c>
      <c r="Y84" s="31">
        <f t="shared" si="15"/>
        <v>335312.07599612622</v>
      </c>
      <c r="Z84" s="31">
        <f t="shared" si="15"/>
        <v>347931.51068003883</v>
      </c>
      <c r="AA84" s="31">
        <f t="shared" si="15"/>
        <v>360295.84255997941</v>
      </c>
      <c r="AB84" s="31">
        <f t="shared" si="15"/>
        <v>372369.24161087582</v>
      </c>
      <c r="AC84" s="31">
        <f>AC64</f>
        <v>384116.45705338632</v>
      </c>
      <c r="AD84" s="31">
        <f>AD64</f>
        <v>395503.07867464167</v>
      </c>
      <c r="AE84" s="31">
        <f>AE64</f>
        <v>406495.79713332711</v>
      </c>
      <c r="AF84" s="31">
        <f>AF64</f>
        <v>417062.65920341038</v>
      </c>
      <c r="AG84" s="31">
        <f>AG64</f>
        <v>427173.31358053448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150018.03224036147</v>
      </c>
      <c r="O87" s="179">
        <f t="shared" si="17"/>
        <v>12364.81160801716</v>
      </c>
      <c r="P87" s="179">
        <f t="shared" si="17"/>
        <v>26333.184712218121</v>
      </c>
      <c r="Q87" s="179">
        <f t="shared" si="17"/>
        <v>39979.351423640765</v>
      </c>
      <c r="R87" s="179">
        <f t="shared" si="17"/>
        <v>53516.804876327107</v>
      </c>
      <c r="S87" s="179">
        <f t="shared" si="17"/>
        <v>67375.84174174862</v>
      </c>
      <c r="T87" s="179">
        <f t="shared" si="17"/>
        <v>80772.674511677906</v>
      </c>
      <c r="U87" s="179">
        <f t="shared" si="17"/>
        <v>94127.608890774398</v>
      </c>
      <c r="V87" s="179">
        <f t="shared" si="17"/>
        <v>107406.48283947122</v>
      </c>
      <c r="W87" s="179">
        <f t="shared" si="17"/>
        <v>120574.29599548489</v>
      </c>
      <c r="X87" s="179">
        <f t="shared" si="17"/>
        <v>133595.41685389724</v>
      </c>
      <c r="Y87" s="179">
        <f t="shared" si="17"/>
        <v>146433.80376154676</v>
      </c>
      <c r="Z87" s="179">
        <f t="shared" si="17"/>
        <v>159053.23844545937</v>
      </c>
      <c r="AA87" s="179">
        <f t="shared" si="17"/>
        <v>171417.57032539995</v>
      </c>
      <c r="AB87" s="179">
        <f t="shared" si="17"/>
        <v>183490.96937629636</v>
      </c>
      <c r="AC87" s="179">
        <f>SUM(AC82:AC86)</f>
        <v>195238.18481880685</v>
      </c>
      <c r="AD87" s="179">
        <f>SUM(AD82:AD86)</f>
        <v>206624.80644006221</v>
      </c>
      <c r="AE87" s="179">
        <f>SUM(AE82:AE86)</f>
        <v>217617.52489874765</v>
      </c>
      <c r="AF87" s="179">
        <f>SUM(AF82:AF86)</f>
        <v>228184.38696883092</v>
      </c>
      <c r="AG87" s="179">
        <f>SUM(AG82:AG86)</f>
        <v>238295.04134595502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192</v>
      </c>
      <c r="D92" s="236"/>
      <c r="E92" s="236"/>
      <c r="F92" s="236"/>
      <c r="G92" s="237">
        <f>IF(_xlfn.MINIFS($G$90:$G$91, $G$90:$G$91, "&gt;"&amp;0)=0, $A$4, _xlfn.MINIFS($G$90:$G$91, $G$90:$G$91, "&gt;"&amp;0))</f>
        <v>5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150018.03224036147</v>
      </c>
      <c r="O106" s="31">
        <f t="shared" si="18"/>
        <v>12364.81160801716</v>
      </c>
      <c r="P106" s="31">
        <f t="shared" si="18"/>
        <v>26333.184712218121</v>
      </c>
      <c r="Q106" s="31">
        <f t="shared" si="18"/>
        <v>39979.351423640765</v>
      </c>
      <c r="R106" s="31">
        <f t="shared" si="18"/>
        <v>53516.804876327107</v>
      </c>
      <c r="S106" s="31">
        <f t="shared" si="18"/>
        <v>67375.84174174862</v>
      </c>
      <c r="T106" s="31">
        <f t="shared" si="18"/>
        <v>80772.674511677906</v>
      </c>
      <c r="U106" s="31">
        <f t="shared" si="18"/>
        <v>94127.608890774398</v>
      </c>
      <c r="V106" s="31">
        <f t="shared" si="18"/>
        <v>107406.48283947122</v>
      </c>
      <c r="W106" s="31">
        <f t="shared" si="18"/>
        <v>120574.29599548489</v>
      </c>
      <c r="X106" s="31">
        <f t="shared" si="18"/>
        <v>133595.41685389724</v>
      </c>
      <c r="Y106" s="31">
        <f t="shared" si="18"/>
        <v>146433.80376154676</v>
      </c>
      <c r="Z106" s="31">
        <f t="shared" si="18"/>
        <v>159053.23844545937</v>
      </c>
      <c r="AA106" s="31">
        <f t="shared" si="18"/>
        <v>171417.57032539995</v>
      </c>
      <c r="AB106" s="31">
        <f t="shared" si="18"/>
        <v>183490.96937629636</v>
      </c>
      <c r="AC106" s="31">
        <f t="shared" si="18"/>
        <v>195238.18481880685</v>
      </c>
      <c r="AD106" s="31">
        <f t="shared" si="18"/>
        <v>206624.80644006221</v>
      </c>
      <c r="AE106" s="31">
        <f t="shared" si="18"/>
        <v>217617.52489874765</v>
      </c>
      <c r="AF106" s="31">
        <f t="shared" si="18"/>
        <v>228184.38696883092</v>
      </c>
      <c r="AG106" s="31">
        <f t="shared" si="18"/>
        <v>238295.04134595502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-37775.654446915891</v>
      </c>
      <c r="O107" s="31">
        <f t="shared" si="19"/>
        <v>-188878.27223457946</v>
      </c>
      <c r="P107" s="31">
        <f t="shared" si="19"/>
        <v>-188878.27223457946</v>
      </c>
      <c r="Q107" s="31">
        <f t="shared" si="19"/>
        <v>-188878.27223457946</v>
      </c>
      <c r="R107" s="31">
        <f t="shared" si="19"/>
        <v>-188878.27223457946</v>
      </c>
      <c r="S107" s="31">
        <f t="shared" si="19"/>
        <v>-188878.27223457946</v>
      </c>
      <c r="T107" s="31">
        <f t="shared" si="19"/>
        <v>-188878.27223457946</v>
      </c>
      <c r="U107" s="31">
        <f t="shared" si="19"/>
        <v>-188878.27223457946</v>
      </c>
      <c r="V107" s="31">
        <f t="shared" si="19"/>
        <v>-188878.27223457946</v>
      </c>
      <c r="W107" s="31">
        <f t="shared" si="19"/>
        <v>-188878.27223457946</v>
      </c>
      <c r="X107" s="31">
        <f t="shared" si="19"/>
        <v>-188878.27223457946</v>
      </c>
      <c r="Y107" s="31">
        <f t="shared" si="19"/>
        <v>-188878.27223457946</v>
      </c>
      <c r="Z107" s="31">
        <f t="shared" si="19"/>
        <v>-188878.27223457946</v>
      </c>
      <c r="AA107" s="31">
        <f t="shared" si="19"/>
        <v>-188878.27223457946</v>
      </c>
      <c r="AB107" s="31">
        <f t="shared" si="19"/>
        <v>-188878.27223457946</v>
      </c>
      <c r="AC107" s="31">
        <f t="shared" si="19"/>
        <v>-188878.27223457946</v>
      </c>
      <c r="AD107" s="31">
        <f t="shared" si="19"/>
        <v>-188878.27223457946</v>
      </c>
      <c r="AE107" s="31">
        <f t="shared" si="19"/>
        <v>-188878.27223457946</v>
      </c>
      <c r="AF107" s="31">
        <f t="shared" si="19"/>
        <v>-188878.27223457946</v>
      </c>
      <c r="AG107" s="31">
        <f t="shared" si="19"/>
        <v>-188878.27223457946</v>
      </c>
    </row>
    <row r="108" spans="1:43" x14ac:dyDescent="0.2">
      <c r="C108" s="1" t="s">
        <v>241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187793.68668727737</v>
      </c>
      <c r="O108" s="31">
        <f t="shared" si="20"/>
        <v>201243.08384259662</v>
      </c>
      <c r="P108" s="31">
        <f t="shared" si="20"/>
        <v>215211.45694679758</v>
      </c>
      <c r="Q108" s="31">
        <f t="shared" si="20"/>
        <v>228857.62365822023</v>
      </c>
      <c r="R108" s="31">
        <f t="shared" si="20"/>
        <v>242395.07711090657</v>
      </c>
      <c r="S108" s="31">
        <f t="shared" si="20"/>
        <v>256254.11397632808</v>
      </c>
      <c r="T108" s="31">
        <f t="shared" si="20"/>
        <v>269650.94674625737</v>
      </c>
      <c r="U108" s="31">
        <f t="shared" si="20"/>
        <v>283005.88112535386</v>
      </c>
      <c r="V108" s="31">
        <f t="shared" si="20"/>
        <v>296284.75507405068</v>
      </c>
      <c r="W108" s="31">
        <f t="shared" si="20"/>
        <v>309452.56823006435</v>
      </c>
      <c r="X108" s="31">
        <f t="shared" si="20"/>
        <v>322473.68908847671</v>
      </c>
      <c r="Y108" s="31">
        <f t="shared" si="20"/>
        <v>335312.07599612622</v>
      </c>
      <c r="Z108" s="31">
        <f t="shared" si="20"/>
        <v>347931.51068003883</v>
      </c>
      <c r="AA108" s="31">
        <f t="shared" si="20"/>
        <v>360295.84255997941</v>
      </c>
      <c r="AB108" s="31">
        <f t="shared" si="20"/>
        <v>372369.24161087582</v>
      </c>
      <c r="AC108" s="31">
        <f t="shared" si="20"/>
        <v>384116.45705338632</v>
      </c>
      <c r="AD108" s="31">
        <f t="shared" si="20"/>
        <v>395503.07867464167</v>
      </c>
      <c r="AE108" s="31">
        <f t="shared" si="20"/>
        <v>406495.79713332711</v>
      </c>
      <c r="AF108" s="31">
        <f t="shared" si="20"/>
        <v>417062.65920341038</v>
      </c>
      <c r="AG108" s="31">
        <f t="shared" si="20"/>
        <v>427173.31358053448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146240.46679566987</v>
      </c>
      <c r="O110" s="31" cm="1">
        <f t="array" ref="O110">O$106+IF($C110&lt;&gt;0,SUMPRODUCT((O$107:O$108)*TRANSPOSE(($D110:$E110))),0)</f>
        <v>-6523.015615440785</v>
      </c>
      <c r="P110" s="31" cm="1">
        <f t="array" ref="P110">P$106+IF($C110&lt;&gt;0,SUMPRODUCT((P$107:P$108)*TRANSPOSE(($D110:$E110))),0)</f>
        <v>7445.3574887601753</v>
      </c>
      <c r="Q110" s="31" cm="1">
        <f t="array" ref="Q110">Q$106+IF($C110&lt;&gt;0,SUMPRODUCT((Q$107:Q$108)*TRANSPOSE(($D110:$E110))),0)</f>
        <v>21091.524200182819</v>
      </c>
      <c r="R110" s="31" cm="1">
        <f t="array" ref="R110">R$106+IF($C110&lt;&gt;0,SUMPRODUCT((R$107:R$108)*TRANSPOSE(($D110:$E110))),0)</f>
        <v>34628.977652869158</v>
      </c>
      <c r="S110" s="31" cm="1">
        <f t="array" ref="S110">S$106+IF($C110&lt;&gt;0,SUMPRODUCT((S$107:S$108)*TRANSPOSE(($D110:$E110))),0)</f>
        <v>48488.014518290671</v>
      </c>
      <c r="T110" s="31" cm="1">
        <f t="array" ref="T110">T$106+IF($C110&lt;&gt;0,SUMPRODUCT((T$107:T$108)*TRANSPOSE(($D110:$E110))),0)</f>
        <v>61884.847288219957</v>
      </c>
      <c r="U110" s="31" cm="1">
        <f t="array" ref="U110">U$106+IF($C110&lt;&gt;0,SUMPRODUCT((U$107:U$108)*TRANSPOSE(($D110:$E110))),0)</f>
        <v>75239.781667316449</v>
      </c>
      <c r="V110" s="31" cm="1">
        <f t="array" ref="V110">V$106+IF($C110&lt;&gt;0,SUMPRODUCT((V$107:V$108)*TRANSPOSE(($D110:$E110))),0)</f>
        <v>88518.655616013275</v>
      </c>
      <c r="W110" s="31" cm="1">
        <f t="array" ref="W110">W$106+IF($C110&lt;&gt;0,SUMPRODUCT((W$107:W$108)*TRANSPOSE(($D110:$E110))),0)</f>
        <v>101686.46877202694</v>
      </c>
      <c r="X110" s="31" cm="1">
        <f t="array" ref="X110">X$106+IF($C110&lt;&gt;0,SUMPRODUCT((X$107:X$108)*TRANSPOSE(($D110:$E110))),0)</f>
        <v>114707.5896304393</v>
      </c>
      <c r="Y110" s="31" cm="1">
        <f t="array" ref="Y110">Y$106+IF($C110&lt;&gt;0,SUMPRODUCT((Y$107:Y$108)*TRANSPOSE(($D110:$E110))),0)</f>
        <v>127545.97653808881</v>
      </c>
      <c r="Z110" s="31" cm="1">
        <f t="array" ref="Z110">Z$106+IF($C110&lt;&gt;0,SUMPRODUCT((Z$107:Z$108)*TRANSPOSE(($D110:$E110))),0)</f>
        <v>140165.41122200142</v>
      </c>
      <c r="AA110" s="31" cm="1">
        <f t="array" ref="AA110">AA$106+IF($C110&lt;&gt;0,SUMPRODUCT((AA$107:AA$108)*TRANSPOSE(($D110:$E110))),0)</f>
        <v>152529.743101942</v>
      </c>
      <c r="AB110" s="31" cm="1">
        <f t="array" ref="AB110">AB$106+IF($C110&lt;&gt;0,SUMPRODUCT((AB$107:AB$108)*TRANSPOSE(($D110:$E110))),0)</f>
        <v>164603.14215283841</v>
      </c>
      <c r="AC110" s="31" cm="1">
        <f t="array" ref="AC110">AC$106+IF($C110&lt;&gt;0,SUMPRODUCT((AC$107:AC$108)*TRANSPOSE(($D110:$E110))),0)</f>
        <v>176350.35759534891</v>
      </c>
      <c r="AD110" s="31" cm="1">
        <f t="array" ref="AD110">AD$106+IF($C110&lt;&gt;0,SUMPRODUCT((AD$107:AD$108)*TRANSPOSE(($D110:$E110))),0)</f>
        <v>187736.97921660426</v>
      </c>
      <c r="AE110" s="31" cm="1">
        <f t="array" ref="AE110">AE$106+IF($C110&lt;&gt;0,SUMPRODUCT((AE$107:AE$108)*TRANSPOSE(($D110:$E110))),0)</f>
        <v>198729.6976752897</v>
      </c>
      <c r="AF110" s="31" cm="1">
        <f t="array" ref="AF110">AF$106+IF($C110&lt;&gt;0,SUMPRODUCT((AF$107:AF$108)*TRANSPOSE(($D110:$E110))),0)</f>
        <v>209296.55974537297</v>
      </c>
      <c r="AG110" s="31" cm="1">
        <f t="array" ref="AG110">AG$106+IF($C110&lt;&gt;0,SUMPRODUCT((AG$107:AG$108)*TRANSPOSE(($D110:$E110))),0)</f>
        <v>219407.21412249707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153795.59768505307</v>
      </c>
      <c r="O111" s="31" cm="1">
        <f t="array" ref="O111">O$106+IF($C111&lt;&gt;0,SUMPRODUCT((O$107:O$108)*TRANSPOSE(($D111:$E111))),0)</f>
        <v>31252.638831475106</v>
      </c>
      <c r="P111" s="31" cm="1">
        <f t="array" ref="P111">P$106+IF($C111&lt;&gt;0,SUMPRODUCT((P$107:P$108)*TRANSPOSE(($D111:$E111))),0)</f>
        <v>45221.01193567607</v>
      </c>
      <c r="Q111" s="31" cm="1">
        <f t="array" ref="Q111">Q$106+IF($C111&lt;&gt;0,SUMPRODUCT((Q$107:Q$108)*TRANSPOSE(($D111:$E111))),0)</f>
        <v>58867.178647098714</v>
      </c>
      <c r="R111" s="31" cm="1">
        <f t="array" ref="R111">R$106+IF($C111&lt;&gt;0,SUMPRODUCT((R$107:R$108)*TRANSPOSE(($D111:$E111))),0)</f>
        <v>72404.632099785056</v>
      </c>
      <c r="S111" s="31" cm="1">
        <f t="array" ref="S111">S$106+IF($C111&lt;&gt;0,SUMPRODUCT((S$107:S$108)*TRANSPOSE(($D111:$E111))),0)</f>
        <v>86263.668965206569</v>
      </c>
      <c r="T111" s="31" cm="1">
        <f t="array" ref="T111">T$106+IF($C111&lt;&gt;0,SUMPRODUCT((T$107:T$108)*TRANSPOSE(($D111:$E111))),0)</f>
        <v>99660.501735135855</v>
      </c>
      <c r="U111" s="31" cm="1">
        <f t="array" ref="U111">U$106+IF($C111&lt;&gt;0,SUMPRODUCT((U$107:U$108)*TRANSPOSE(($D111:$E111))),0)</f>
        <v>113015.43611423235</v>
      </c>
      <c r="V111" s="31" cm="1">
        <f t="array" ref="V111">V$106+IF($C111&lt;&gt;0,SUMPRODUCT((V$107:V$108)*TRANSPOSE(($D111:$E111))),0)</f>
        <v>126294.31006292917</v>
      </c>
      <c r="W111" s="31" cm="1">
        <f t="array" ref="W111">W$106+IF($C111&lt;&gt;0,SUMPRODUCT((W$107:W$108)*TRANSPOSE(($D111:$E111))),0)</f>
        <v>139462.12321894284</v>
      </c>
      <c r="X111" s="31" cm="1">
        <f t="array" ref="X111">X$106+IF($C111&lt;&gt;0,SUMPRODUCT((X$107:X$108)*TRANSPOSE(($D111:$E111))),0)</f>
        <v>152483.24407735519</v>
      </c>
      <c r="Y111" s="31" cm="1">
        <f t="array" ref="Y111">Y$106+IF($C111&lt;&gt;0,SUMPRODUCT((Y$107:Y$108)*TRANSPOSE(($D111:$E111))),0)</f>
        <v>165321.63098500471</v>
      </c>
      <c r="Z111" s="31" cm="1">
        <f t="array" ref="Z111">Z$106+IF($C111&lt;&gt;0,SUMPRODUCT((Z$107:Z$108)*TRANSPOSE(($D111:$E111))),0)</f>
        <v>177941.06566891732</v>
      </c>
      <c r="AA111" s="31" cm="1">
        <f t="array" ref="AA111">AA$106+IF($C111&lt;&gt;0,SUMPRODUCT((AA$107:AA$108)*TRANSPOSE(($D111:$E111))),0)</f>
        <v>190305.3975488579</v>
      </c>
      <c r="AB111" s="31" cm="1">
        <f t="array" ref="AB111">AB$106+IF($C111&lt;&gt;0,SUMPRODUCT((AB$107:AB$108)*TRANSPOSE(($D111:$E111))),0)</f>
        <v>202378.79659975431</v>
      </c>
      <c r="AC111" s="31" cm="1">
        <f t="array" ref="AC111">AC$106+IF($C111&lt;&gt;0,SUMPRODUCT((AC$107:AC$108)*TRANSPOSE(($D111:$E111))),0)</f>
        <v>214126.0120422648</v>
      </c>
      <c r="AD111" s="31" cm="1">
        <f t="array" ref="AD111">AD$106+IF($C111&lt;&gt;0,SUMPRODUCT((AD$107:AD$108)*TRANSPOSE(($D111:$E111))),0)</f>
        <v>225512.63366352016</v>
      </c>
      <c r="AE111" s="31" cm="1">
        <f t="array" ref="AE111">AE$106+IF($C111&lt;&gt;0,SUMPRODUCT((AE$107:AE$108)*TRANSPOSE(($D111:$E111))),0)</f>
        <v>236505.3521222056</v>
      </c>
      <c r="AF111" s="31" cm="1">
        <f t="array" ref="AF111">AF$106+IF($C111&lt;&gt;0,SUMPRODUCT((AF$107:AF$108)*TRANSPOSE(($D111:$E111))),0)</f>
        <v>247072.21419228887</v>
      </c>
      <c r="AG111" s="31" cm="1">
        <f t="array" ref="AG111">AG$106+IF($C111&lt;&gt;0,SUMPRODUCT((AG$107:AG$108)*TRANSPOSE(($D111:$E111))),0)</f>
        <v>257182.86856941297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168797.40090908919</v>
      </c>
      <c r="O112" s="31" cm="1">
        <f t="array" ref="O112">O$106+IF($C112&lt;&gt;0,SUMPRODUCT((O$107:O$108)*TRANSPOSE(($D112:$E112))),0)</f>
        <v>32489.119992276825</v>
      </c>
      <c r="P112" s="31" cm="1">
        <f t="array" ref="P112">P$106+IF($C112&lt;&gt;0,SUMPRODUCT((P$107:P$108)*TRANSPOSE(($D112:$E112))),0)</f>
        <v>47854.330406897876</v>
      </c>
      <c r="Q112" s="31" cm="1">
        <f t="array" ref="Q112">Q$106+IF($C112&lt;&gt;0,SUMPRODUCT((Q$107:Q$108)*TRANSPOSE(($D112:$E112))),0)</f>
        <v>62865.11378946279</v>
      </c>
      <c r="R112" s="31" cm="1">
        <f t="array" ref="R112">R$106+IF($C112&lt;&gt;0,SUMPRODUCT((R$107:R$108)*TRANSPOSE(($D112:$E112))),0)</f>
        <v>77756.312587417764</v>
      </c>
      <c r="S112" s="31" cm="1">
        <f t="array" ref="S112">S$106+IF($C112&lt;&gt;0,SUMPRODUCT((S$107:S$108)*TRANSPOSE(($D112:$E112))),0)</f>
        <v>93001.253139381428</v>
      </c>
      <c r="T112" s="31" cm="1">
        <f t="array" ref="T112">T$106+IF($C112&lt;&gt;0,SUMPRODUCT((T$107:T$108)*TRANSPOSE(($D112:$E112))),0)</f>
        <v>107737.76918630365</v>
      </c>
      <c r="U112" s="31" cm="1">
        <f t="array" ref="U112">U$106+IF($C112&lt;&gt;0,SUMPRODUCT((U$107:U$108)*TRANSPOSE(($D112:$E112))),0)</f>
        <v>122428.19700330979</v>
      </c>
      <c r="V112" s="31" cm="1">
        <f t="array" ref="V112">V$106+IF($C112&lt;&gt;0,SUMPRODUCT((V$107:V$108)*TRANSPOSE(($D112:$E112))),0)</f>
        <v>137034.95834687629</v>
      </c>
      <c r="W112" s="31" cm="1">
        <f t="array" ref="W112">W$106+IF($C112&lt;&gt;0,SUMPRODUCT((W$107:W$108)*TRANSPOSE(($D112:$E112))),0)</f>
        <v>151519.55281849133</v>
      </c>
      <c r="X112" s="31" cm="1">
        <f t="array" ref="X112">X$106+IF($C112&lt;&gt;0,SUMPRODUCT((X$107:X$108)*TRANSPOSE(($D112:$E112))),0)</f>
        <v>165842.78576274493</v>
      </c>
      <c r="Y112" s="31" cm="1">
        <f t="array" ref="Y112">Y$106+IF($C112&lt;&gt;0,SUMPRODUCT((Y$107:Y$108)*TRANSPOSE(($D112:$E112))),0)</f>
        <v>179965.01136115938</v>
      </c>
      <c r="Z112" s="31" cm="1">
        <f t="array" ref="Z112">Z$106+IF($C112&lt;&gt;0,SUMPRODUCT((Z$107:Z$108)*TRANSPOSE(($D112:$E112))),0)</f>
        <v>193846.38951346325</v>
      </c>
      <c r="AA112" s="31" cm="1">
        <f t="array" ref="AA112">AA$106+IF($C112&lt;&gt;0,SUMPRODUCT((AA$107:AA$108)*TRANSPOSE(($D112:$E112))),0)</f>
        <v>207447.15458139789</v>
      </c>
      <c r="AB112" s="31" cm="1">
        <f t="array" ref="AB112">AB$106+IF($C112&lt;&gt;0,SUMPRODUCT((AB$107:AB$108)*TRANSPOSE(($D112:$E112))),0)</f>
        <v>220727.89353738393</v>
      </c>
      <c r="AC112" s="31" cm="1">
        <f t="array" ref="AC112">AC$106+IF($C112&lt;&gt;0,SUMPRODUCT((AC$107:AC$108)*TRANSPOSE(($D112:$E112))),0)</f>
        <v>233649.83052414548</v>
      </c>
      <c r="AD112" s="31" cm="1">
        <f t="array" ref="AD112">AD$106+IF($C112&lt;&gt;0,SUMPRODUCT((AD$107:AD$108)*TRANSPOSE(($D112:$E112))),0)</f>
        <v>246175.11430752638</v>
      </c>
      <c r="AE112" s="31" cm="1">
        <f t="array" ref="AE112">AE$106+IF($C112&lt;&gt;0,SUMPRODUCT((AE$107:AE$108)*TRANSPOSE(($D112:$E112))),0)</f>
        <v>258267.10461208038</v>
      </c>
      <c r="AF112" s="31" cm="1">
        <f t="array" ref="AF112">AF$106+IF($C112&lt;&gt;0,SUMPRODUCT((AF$107:AF$108)*TRANSPOSE(($D112:$E112))),0)</f>
        <v>269890.65288917196</v>
      </c>
      <c r="AG112" s="31" cm="1">
        <f t="array" ref="AG112">AG$106+IF($C112&lt;&gt;0,SUMPRODUCT((AG$107:AG$108)*TRANSPOSE(($D112:$E112))),0)</f>
        <v>281012.37270400848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131238.66357163375</v>
      </c>
      <c r="O113" s="31" cm="1">
        <f t="array" ref="O113">O$106+IF($C113&lt;&gt;0,SUMPRODUCT((O$107:O$108)*TRANSPOSE(($D113:$E113))),0)</f>
        <v>-7759.496776242504</v>
      </c>
      <c r="P113" s="31" cm="1">
        <f t="array" ref="P113">P$106+IF($C113&lt;&gt;0,SUMPRODUCT((P$107:P$108)*TRANSPOSE(($D113:$E113))),0)</f>
        <v>4812.0390175383618</v>
      </c>
      <c r="Q113" s="31" cm="1">
        <f t="array" ref="Q113">Q$106+IF($C113&lt;&gt;0,SUMPRODUCT((Q$107:Q$108)*TRANSPOSE(($D113:$E113))),0)</f>
        <v>17093.589057818739</v>
      </c>
      <c r="R113" s="31" cm="1">
        <f t="array" ref="R113">R$106+IF($C113&lt;&gt;0,SUMPRODUCT((R$107:R$108)*TRANSPOSE(($D113:$E113))),0)</f>
        <v>29277.29716523645</v>
      </c>
      <c r="S113" s="31" cm="1">
        <f t="array" ref="S113">S$106+IF($C113&lt;&gt;0,SUMPRODUCT((S$107:S$108)*TRANSPOSE(($D113:$E113))),0)</f>
        <v>41750.430344115812</v>
      </c>
      <c r="T113" s="31" cm="1">
        <f t="array" ref="T113">T$106+IF($C113&lt;&gt;0,SUMPRODUCT((T$107:T$108)*TRANSPOSE(($D113:$E113))),0)</f>
        <v>53807.579837052166</v>
      </c>
      <c r="U113" s="31" cm="1">
        <f t="array" ref="U113">U$106+IF($C113&lt;&gt;0,SUMPRODUCT((U$107:U$108)*TRANSPOSE(($D113:$E113))),0)</f>
        <v>65827.020778239006</v>
      </c>
      <c r="V113" s="31" cm="1">
        <f t="array" ref="V113">V$106+IF($C113&lt;&gt;0,SUMPRODUCT((V$107:V$108)*TRANSPOSE(($D113:$E113))),0)</f>
        <v>77778.007332066161</v>
      </c>
      <c r="W113" s="31" cm="1">
        <f t="array" ref="W113">W$106+IF($C113&lt;&gt;0,SUMPRODUCT((W$107:W$108)*TRANSPOSE(($D113:$E113))),0)</f>
        <v>89629.039172478457</v>
      </c>
      <c r="X113" s="31" cm="1">
        <f t="array" ref="X113">X$106+IF($C113&lt;&gt;0,SUMPRODUCT((X$107:X$108)*TRANSPOSE(($D113:$E113))),0)</f>
        <v>101348.04794504958</v>
      </c>
      <c r="Y113" s="31" cm="1">
        <f t="array" ref="Y113">Y$106+IF($C113&lt;&gt;0,SUMPRODUCT((Y$107:Y$108)*TRANSPOSE(($D113:$E113))),0)</f>
        <v>112902.59616193414</v>
      </c>
      <c r="Z113" s="31" cm="1">
        <f t="array" ref="Z113">Z$106+IF($C113&lt;&gt;0,SUMPRODUCT((Z$107:Z$108)*TRANSPOSE(($D113:$E113))),0)</f>
        <v>124260.08737745549</v>
      </c>
      <c r="AA113" s="31" cm="1">
        <f t="array" ref="AA113">AA$106+IF($C113&lt;&gt;0,SUMPRODUCT((AA$107:AA$108)*TRANSPOSE(($D113:$E113))),0)</f>
        <v>135387.98606940202</v>
      </c>
      <c r="AB113" s="31" cm="1">
        <f t="array" ref="AB113">AB$106+IF($C113&lt;&gt;0,SUMPRODUCT((AB$107:AB$108)*TRANSPOSE(($D113:$E113))),0)</f>
        <v>146254.04521520878</v>
      </c>
      <c r="AC113" s="31" cm="1">
        <f t="array" ref="AC113">AC$106+IF($C113&lt;&gt;0,SUMPRODUCT((AC$107:AC$108)*TRANSPOSE(($D113:$E113))),0)</f>
        <v>156826.53911346823</v>
      </c>
      <c r="AD113" s="31" cm="1">
        <f t="array" ref="AD113">AD$106+IF($C113&lt;&gt;0,SUMPRODUCT((AD$107:AD$108)*TRANSPOSE(($D113:$E113))),0)</f>
        <v>167074.49857259804</v>
      </c>
      <c r="AE113" s="31" cm="1">
        <f t="array" ref="AE113">AE$106+IF($C113&lt;&gt;0,SUMPRODUCT((AE$107:AE$108)*TRANSPOSE(($D113:$E113))),0)</f>
        <v>176967.94518541492</v>
      </c>
      <c r="AF113" s="31" cm="1">
        <f t="array" ref="AF113">AF$106+IF($C113&lt;&gt;0,SUMPRODUCT((AF$107:AF$108)*TRANSPOSE(($D113:$E113))),0)</f>
        <v>186478.12104848988</v>
      </c>
      <c r="AG113" s="31" cm="1">
        <f t="array" ref="AG113">AG$106+IF($C113&lt;&gt;0,SUMPRODUCT((AG$107:AG$108)*TRANSPOSE(($D113:$E113))),0)</f>
        <v>195577.70998790156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127461.09812694215</v>
      </c>
      <c r="O114" s="31" cm="1">
        <f t="array" ref="O114">O$106+IF($C114&lt;&gt;0,SUMPRODUCT((O$107:O$108)*TRANSPOSE(($D114:$E114))),0)</f>
        <v>-26647.323999700449</v>
      </c>
      <c r="P114" s="31" cm="1">
        <f t="array" ref="P114">P$106+IF($C114&lt;&gt;0,SUMPRODUCT((P$107:P$108)*TRANSPOSE(($D114:$E114))),0)</f>
        <v>-14075.788205919584</v>
      </c>
      <c r="Q114" s="31" cm="1">
        <f t="array" ref="Q114">Q$106+IF($C114&lt;&gt;0,SUMPRODUCT((Q$107:Q$108)*TRANSPOSE(($D114:$E114))),0)</f>
        <v>-1794.2381656392099</v>
      </c>
      <c r="R114" s="31" cm="1">
        <f t="array" ref="R114">R$106+IF($C114&lt;&gt;0,SUMPRODUCT((R$107:R$108)*TRANSPOSE(($D114:$E114))),0)</f>
        <v>10389.469941778501</v>
      </c>
      <c r="S114" s="31" cm="1">
        <f t="array" ref="S114">S$106+IF($C114&lt;&gt;0,SUMPRODUCT((S$107:S$108)*TRANSPOSE(($D114:$E114))),0)</f>
        <v>22862.603120657863</v>
      </c>
      <c r="T114" s="31" cm="1">
        <f t="array" ref="T114">T$106+IF($C114&lt;&gt;0,SUMPRODUCT((T$107:T$108)*TRANSPOSE(($D114:$E114))),0)</f>
        <v>34919.752613594217</v>
      </c>
      <c r="U114" s="31" cm="1">
        <f t="array" ref="U114">U$106+IF($C114&lt;&gt;0,SUMPRODUCT((U$107:U$108)*TRANSPOSE(($D114:$E114))),0)</f>
        <v>46939.193554781064</v>
      </c>
      <c r="V114" s="31" cm="1">
        <f t="array" ref="V114">V$106+IF($C114&lt;&gt;0,SUMPRODUCT((V$107:V$108)*TRANSPOSE(($D114:$E114))),0)</f>
        <v>58890.180108608212</v>
      </c>
      <c r="W114" s="31" cm="1">
        <f t="array" ref="W114">W$106+IF($C114&lt;&gt;0,SUMPRODUCT((W$107:W$108)*TRANSPOSE(($D114:$E114))),0)</f>
        <v>70741.211949020508</v>
      </c>
      <c r="X114" s="31" cm="1">
        <f t="array" ref="X114">X$106+IF($C114&lt;&gt;0,SUMPRODUCT((X$107:X$108)*TRANSPOSE(($D114:$E114))),0)</f>
        <v>82460.220721591628</v>
      </c>
      <c r="Y114" s="31" cm="1">
        <f t="array" ref="Y114">Y$106+IF($C114&lt;&gt;0,SUMPRODUCT((Y$107:Y$108)*TRANSPOSE(($D114:$E114))),0)</f>
        <v>94014.768938476191</v>
      </c>
      <c r="Z114" s="31" cm="1">
        <f t="array" ref="Z114">Z$106+IF($C114&lt;&gt;0,SUMPRODUCT((Z$107:Z$108)*TRANSPOSE(($D114:$E114))),0)</f>
        <v>105372.26015399754</v>
      </c>
      <c r="AA114" s="31" cm="1">
        <f t="array" ref="AA114">AA$106+IF($C114&lt;&gt;0,SUMPRODUCT((AA$107:AA$108)*TRANSPOSE(($D114:$E114))),0)</f>
        <v>116500.15884594407</v>
      </c>
      <c r="AB114" s="31" cm="1">
        <f t="array" ref="AB114">AB$106+IF($C114&lt;&gt;0,SUMPRODUCT((AB$107:AB$108)*TRANSPOSE(($D114:$E114))),0)</f>
        <v>127366.21799175083</v>
      </c>
      <c r="AC114" s="31" cm="1">
        <f t="array" ref="AC114">AC$106+IF($C114&lt;&gt;0,SUMPRODUCT((AC$107:AC$108)*TRANSPOSE(($D114:$E114))),0)</f>
        <v>137938.71189001028</v>
      </c>
      <c r="AD114" s="31" cm="1">
        <f t="array" ref="AD114">AD$106+IF($C114&lt;&gt;0,SUMPRODUCT((AD$107:AD$108)*TRANSPOSE(($D114:$E114))),0)</f>
        <v>148186.67134914009</v>
      </c>
      <c r="AE114" s="31" cm="1">
        <f t="array" ref="AE114">AE$106+IF($C114&lt;&gt;0,SUMPRODUCT((AE$107:AE$108)*TRANSPOSE(($D114:$E114))),0)</f>
        <v>158080.117961957</v>
      </c>
      <c r="AF114" s="31" cm="1">
        <f t="array" ref="AF114">AF$106+IF($C114&lt;&gt;0,SUMPRODUCT((AF$107:AF$108)*TRANSPOSE(($D114:$E114))),0)</f>
        <v>167590.29382503193</v>
      </c>
      <c r="AG114" s="31" cm="1">
        <f t="array" ref="AG114">AG$106+IF($C114&lt;&gt;0,SUMPRODUCT((AG$107:AG$108)*TRANSPOSE(($D114:$E114))),0)</f>
        <v>176689.88276444364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150018.03224036147</v>
      </c>
      <c r="O115" s="31" cm="1">
        <f t="array" ref="O115">O$106+IF($C115&lt;&gt;0,SUMPRODUCT((O$107:O$108)*TRANSPOSE(($D115:$E115))),0)</f>
        <v>12364.81160801716</v>
      </c>
      <c r="P115" s="31" cm="1">
        <f t="array" ref="P115">P$106+IF($C115&lt;&gt;0,SUMPRODUCT((P$107:P$108)*TRANSPOSE(($D115:$E115))),0)</f>
        <v>26333.184712218121</v>
      </c>
      <c r="Q115" s="31" cm="1">
        <f t="array" ref="Q115">Q$106+IF($C115&lt;&gt;0,SUMPRODUCT((Q$107:Q$108)*TRANSPOSE(($D115:$E115))),0)</f>
        <v>39979.351423640765</v>
      </c>
      <c r="R115" s="31" cm="1">
        <f t="array" ref="R115">R$106+IF($C115&lt;&gt;0,SUMPRODUCT((R$107:R$108)*TRANSPOSE(($D115:$E115))),0)</f>
        <v>53516.804876327107</v>
      </c>
      <c r="S115" s="31" cm="1">
        <f t="array" ref="S115">S$106+IF($C115&lt;&gt;0,SUMPRODUCT((S$107:S$108)*TRANSPOSE(($D115:$E115))),0)</f>
        <v>67375.84174174862</v>
      </c>
      <c r="T115" s="31" cm="1">
        <f t="array" ref="T115">T$106+IF($C115&lt;&gt;0,SUMPRODUCT((T$107:T$108)*TRANSPOSE(($D115:$E115))),0)</f>
        <v>80772.674511677906</v>
      </c>
      <c r="U115" s="31" cm="1">
        <f t="array" ref="U115">U$106+IF($C115&lt;&gt;0,SUMPRODUCT((U$107:U$108)*TRANSPOSE(($D115:$E115))),0)</f>
        <v>94127.608890774398</v>
      </c>
      <c r="V115" s="31" cm="1">
        <f t="array" ref="V115">V$106+IF($C115&lt;&gt;0,SUMPRODUCT((V$107:V$108)*TRANSPOSE(($D115:$E115))),0)</f>
        <v>107406.48283947122</v>
      </c>
      <c r="W115" s="31" cm="1">
        <f t="array" ref="W115">W$106+IF($C115&lt;&gt;0,SUMPRODUCT((W$107:W$108)*TRANSPOSE(($D115:$E115))),0)</f>
        <v>120574.29599548489</v>
      </c>
      <c r="X115" s="31" cm="1">
        <f t="array" ref="X115">X$106+IF($C115&lt;&gt;0,SUMPRODUCT((X$107:X$108)*TRANSPOSE(($D115:$E115))),0)</f>
        <v>133595.41685389724</v>
      </c>
      <c r="Y115" s="31" cm="1">
        <f t="array" ref="Y115">Y$106+IF($C115&lt;&gt;0,SUMPRODUCT((Y$107:Y$108)*TRANSPOSE(($D115:$E115))),0)</f>
        <v>146433.80376154676</v>
      </c>
      <c r="Z115" s="31" cm="1">
        <f t="array" ref="Z115">Z$106+IF($C115&lt;&gt;0,SUMPRODUCT((Z$107:Z$108)*TRANSPOSE(($D115:$E115))),0)</f>
        <v>159053.23844545937</v>
      </c>
      <c r="AA115" s="31" cm="1">
        <f t="array" ref="AA115">AA$106+IF($C115&lt;&gt;0,SUMPRODUCT((AA$107:AA$108)*TRANSPOSE(($D115:$E115))),0)</f>
        <v>171417.57032539995</v>
      </c>
      <c r="AB115" s="31" cm="1">
        <f t="array" ref="AB115">AB$106+IF($C115&lt;&gt;0,SUMPRODUCT((AB$107:AB$108)*TRANSPOSE(($D115:$E115))),0)</f>
        <v>183490.96937629636</v>
      </c>
      <c r="AC115" s="31" cm="1">
        <f t="array" ref="AC115">AC$106+IF($C115&lt;&gt;0,SUMPRODUCT((AC$107:AC$108)*TRANSPOSE(($D115:$E115))),0)</f>
        <v>195238.18481880685</v>
      </c>
      <c r="AD115" s="31" cm="1">
        <f t="array" ref="AD115">AD$106+IF($C115&lt;&gt;0,SUMPRODUCT((AD$107:AD$108)*TRANSPOSE(($D115:$E115))),0)</f>
        <v>206624.80644006221</v>
      </c>
      <c r="AE115" s="31" cm="1">
        <f t="array" ref="AE115">AE$106+IF($C115&lt;&gt;0,SUMPRODUCT((AE$107:AE$108)*TRANSPOSE(($D115:$E115))),0)</f>
        <v>217617.52489874765</v>
      </c>
      <c r="AF115" s="31" cm="1">
        <f t="array" ref="AF115">AF$106+IF($C115&lt;&gt;0,SUMPRODUCT((AF$107:AF$108)*TRANSPOSE(($D115:$E115))),0)</f>
        <v>228184.38696883092</v>
      </c>
      <c r="AG115" s="31" cm="1">
        <f t="array" ref="AG115">AG$106+IF($C115&lt;&gt;0,SUMPRODUCT((AG$107:AG$108)*TRANSPOSE(($D115:$E115))),0)</f>
        <v>238295.04134595502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150018.03224036147</v>
      </c>
      <c r="O116" s="31" cm="1">
        <f t="array" ref="O116">O$106+IF($C116&lt;&gt;0,SUMPRODUCT((O$107:O$108)*TRANSPOSE(($D116:$E116))),0)</f>
        <v>12364.81160801716</v>
      </c>
      <c r="P116" s="31" cm="1">
        <f t="array" ref="P116">P$106+IF($C116&lt;&gt;0,SUMPRODUCT((P$107:P$108)*TRANSPOSE(($D116:$E116))),0)</f>
        <v>26333.184712218121</v>
      </c>
      <c r="Q116" s="31" cm="1">
        <f t="array" ref="Q116">Q$106+IF($C116&lt;&gt;0,SUMPRODUCT((Q$107:Q$108)*TRANSPOSE(($D116:$E116))),0)</f>
        <v>39979.351423640765</v>
      </c>
      <c r="R116" s="31" cm="1">
        <f t="array" ref="R116">R$106+IF($C116&lt;&gt;0,SUMPRODUCT((R$107:R$108)*TRANSPOSE(($D116:$E116))),0)</f>
        <v>53516.804876327107</v>
      </c>
      <c r="S116" s="31" cm="1">
        <f t="array" ref="S116">S$106+IF($C116&lt;&gt;0,SUMPRODUCT((S$107:S$108)*TRANSPOSE(($D116:$E116))),0)</f>
        <v>67375.84174174862</v>
      </c>
      <c r="T116" s="31" cm="1">
        <f t="array" ref="T116">T$106+IF($C116&lt;&gt;0,SUMPRODUCT((T$107:T$108)*TRANSPOSE(($D116:$E116))),0)</f>
        <v>80772.674511677906</v>
      </c>
      <c r="U116" s="31" cm="1">
        <f t="array" ref="U116">U$106+IF($C116&lt;&gt;0,SUMPRODUCT((U$107:U$108)*TRANSPOSE(($D116:$E116))),0)</f>
        <v>94127.608890774398</v>
      </c>
      <c r="V116" s="31" cm="1">
        <f t="array" ref="V116">V$106+IF($C116&lt;&gt;0,SUMPRODUCT((V$107:V$108)*TRANSPOSE(($D116:$E116))),0)</f>
        <v>107406.48283947122</v>
      </c>
      <c r="W116" s="31" cm="1">
        <f t="array" ref="W116">W$106+IF($C116&lt;&gt;0,SUMPRODUCT((W$107:W$108)*TRANSPOSE(($D116:$E116))),0)</f>
        <v>120574.29599548489</v>
      </c>
      <c r="X116" s="31" cm="1">
        <f t="array" ref="X116">X$106+IF($C116&lt;&gt;0,SUMPRODUCT((X$107:X$108)*TRANSPOSE(($D116:$E116))),0)</f>
        <v>133595.41685389724</v>
      </c>
      <c r="Y116" s="31" cm="1">
        <f t="array" ref="Y116">Y$106+IF($C116&lt;&gt;0,SUMPRODUCT((Y$107:Y$108)*TRANSPOSE(($D116:$E116))),0)</f>
        <v>146433.80376154676</v>
      </c>
      <c r="Z116" s="31" cm="1">
        <f t="array" ref="Z116">Z$106+IF($C116&lt;&gt;0,SUMPRODUCT((Z$107:Z$108)*TRANSPOSE(($D116:$E116))),0)</f>
        <v>159053.23844545937</v>
      </c>
      <c r="AA116" s="31" cm="1">
        <f t="array" ref="AA116">AA$106+IF($C116&lt;&gt;0,SUMPRODUCT((AA$107:AA$108)*TRANSPOSE(($D116:$E116))),0)</f>
        <v>171417.57032539995</v>
      </c>
      <c r="AB116" s="31" cm="1">
        <f t="array" ref="AB116">AB$106+IF($C116&lt;&gt;0,SUMPRODUCT((AB$107:AB$108)*TRANSPOSE(($D116:$E116))),0)</f>
        <v>183490.96937629636</v>
      </c>
      <c r="AC116" s="31" cm="1">
        <f t="array" ref="AC116">AC$106+IF($C116&lt;&gt;0,SUMPRODUCT((AC$107:AC$108)*TRANSPOSE(($D116:$E116))),0)</f>
        <v>195238.18481880685</v>
      </c>
      <c r="AD116" s="31" cm="1">
        <f t="array" ref="AD116">AD$106+IF($C116&lt;&gt;0,SUMPRODUCT((AD$107:AD$108)*TRANSPOSE(($D116:$E116))),0)</f>
        <v>206624.80644006221</v>
      </c>
      <c r="AE116" s="31" cm="1">
        <f t="array" ref="AE116">AE$106+IF($C116&lt;&gt;0,SUMPRODUCT((AE$107:AE$108)*TRANSPOSE(($D116:$E116))),0)</f>
        <v>217617.52489874765</v>
      </c>
      <c r="AF116" s="31" cm="1">
        <f t="array" ref="AF116">AF$106+IF($C116&lt;&gt;0,SUMPRODUCT((AF$107:AF$108)*TRANSPOSE(($D116:$E116))),0)</f>
        <v>228184.38696883092</v>
      </c>
      <c r="AG116" s="31" cm="1">
        <f t="array" ref="AG116">AG$106+IF($C116&lt;&gt;0,SUMPRODUCT((AG$107:AG$108)*TRANSPOSE(($D116:$E116))),0)</f>
        <v>238295.04134595502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150018.03224036147</v>
      </c>
      <c r="O117" s="31" cm="1">
        <f t="array" ref="O117">O$106+IF($C117&lt;&gt;0,SUMPRODUCT((O$107:O$108)*TRANSPOSE(($D117:$E117))),0)</f>
        <v>12364.81160801716</v>
      </c>
      <c r="P117" s="31" cm="1">
        <f t="array" ref="P117">P$106+IF($C117&lt;&gt;0,SUMPRODUCT((P$107:P$108)*TRANSPOSE(($D117:$E117))),0)</f>
        <v>26333.184712218121</v>
      </c>
      <c r="Q117" s="31" cm="1">
        <f t="array" ref="Q117">Q$106+IF($C117&lt;&gt;0,SUMPRODUCT((Q$107:Q$108)*TRANSPOSE(($D117:$E117))),0)</f>
        <v>39979.351423640765</v>
      </c>
      <c r="R117" s="31" cm="1">
        <f t="array" ref="R117">R$106+IF($C117&lt;&gt;0,SUMPRODUCT((R$107:R$108)*TRANSPOSE(($D117:$E117))),0)</f>
        <v>53516.804876327107</v>
      </c>
      <c r="S117" s="31" cm="1">
        <f t="array" ref="S117">S$106+IF($C117&lt;&gt;0,SUMPRODUCT((S$107:S$108)*TRANSPOSE(($D117:$E117))),0)</f>
        <v>67375.84174174862</v>
      </c>
      <c r="T117" s="31" cm="1">
        <f t="array" ref="T117">T$106+IF($C117&lt;&gt;0,SUMPRODUCT((T$107:T$108)*TRANSPOSE(($D117:$E117))),0)</f>
        <v>80772.674511677906</v>
      </c>
      <c r="U117" s="31" cm="1">
        <f t="array" ref="U117">U$106+IF($C117&lt;&gt;0,SUMPRODUCT((U$107:U$108)*TRANSPOSE(($D117:$E117))),0)</f>
        <v>94127.608890774398</v>
      </c>
      <c r="V117" s="31" cm="1">
        <f t="array" ref="V117">V$106+IF($C117&lt;&gt;0,SUMPRODUCT((V$107:V$108)*TRANSPOSE(($D117:$E117))),0)</f>
        <v>107406.48283947122</v>
      </c>
      <c r="W117" s="31" cm="1">
        <f t="array" ref="W117">W$106+IF($C117&lt;&gt;0,SUMPRODUCT((W$107:W$108)*TRANSPOSE(($D117:$E117))),0)</f>
        <v>120574.29599548489</v>
      </c>
      <c r="X117" s="31" cm="1">
        <f t="array" ref="X117">X$106+IF($C117&lt;&gt;0,SUMPRODUCT((X$107:X$108)*TRANSPOSE(($D117:$E117))),0)</f>
        <v>133595.41685389724</v>
      </c>
      <c r="Y117" s="31" cm="1">
        <f t="array" ref="Y117">Y$106+IF($C117&lt;&gt;0,SUMPRODUCT((Y$107:Y$108)*TRANSPOSE(($D117:$E117))),0)</f>
        <v>146433.80376154676</v>
      </c>
      <c r="Z117" s="31" cm="1">
        <f t="array" ref="Z117">Z$106+IF($C117&lt;&gt;0,SUMPRODUCT((Z$107:Z$108)*TRANSPOSE(($D117:$E117))),0)</f>
        <v>159053.23844545937</v>
      </c>
      <c r="AA117" s="31" cm="1">
        <f t="array" ref="AA117">AA$106+IF($C117&lt;&gt;0,SUMPRODUCT((AA$107:AA$108)*TRANSPOSE(($D117:$E117))),0)</f>
        <v>171417.57032539995</v>
      </c>
      <c r="AB117" s="31" cm="1">
        <f t="array" ref="AB117">AB$106+IF($C117&lt;&gt;0,SUMPRODUCT((AB$107:AB$108)*TRANSPOSE(($D117:$E117))),0)</f>
        <v>183490.96937629636</v>
      </c>
      <c r="AC117" s="31" cm="1">
        <f t="array" ref="AC117">AC$106+IF($C117&lt;&gt;0,SUMPRODUCT((AC$107:AC$108)*TRANSPOSE(($D117:$E117))),0)</f>
        <v>195238.18481880685</v>
      </c>
      <c r="AD117" s="31" cm="1">
        <f t="array" ref="AD117">AD$106+IF($C117&lt;&gt;0,SUMPRODUCT((AD$107:AD$108)*TRANSPOSE(($D117:$E117))),0)</f>
        <v>206624.80644006221</v>
      </c>
      <c r="AE117" s="31" cm="1">
        <f t="array" ref="AE117">AE$106+IF($C117&lt;&gt;0,SUMPRODUCT((AE$107:AE$108)*TRANSPOSE(($D117:$E117))),0)</f>
        <v>217617.52489874765</v>
      </c>
      <c r="AF117" s="31" cm="1">
        <f t="array" ref="AF117">AF$106+IF($C117&lt;&gt;0,SUMPRODUCT((AF$107:AF$108)*TRANSPOSE(($D117:$E117))),0)</f>
        <v>228184.38696883092</v>
      </c>
      <c r="AG117" s="31" cm="1">
        <f t="array" ref="AG117">AG$106+IF($C117&lt;&gt;0,SUMPRODUCT((AG$107:AG$108)*TRANSPOSE(($D117:$E117))),0)</f>
        <v>238295.04134595502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FTN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39182.484183455374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B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&lt; Enter description &gt;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  <c r="AH77"/>
    </row>
    <row r="78" spans="1:34" x14ac:dyDescent="0.2">
      <c r="A78" s="8"/>
      <c r="B78" s="8"/>
      <c r="C78" s="4" t="str">
        <f>$C$76&amp;" - "&amp;C15</f>
        <v>Annualised capex - &lt; Enter description &gt;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>Annualised capex - &lt; Enter description &gt;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FTN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39182.484183455374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FTN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39182.484183455374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38560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862.60284529259377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0.34750851315331577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0.34750851315331577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FTN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193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194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1</v>
      </c>
      <c r="AE7" s="101" t="b">
        <f t="shared" si="1"/>
        <v>1</v>
      </c>
      <c r="AF7" s="101" t="b">
        <f t="shared" si="1"/>
        <v>1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1424044.2768887444</v>
      </c>
      <c r="G14" s="271">
        <f>output_dollars</f>
        <v>46203</v>
      </c>
      <c r="H14" s="272"/>
      <c r="I14" s="31">
        <f>'Option1 (base case)'!I$28*conv_2026</f>
        <v>37308.627571663375</v>
      </c>
      <c r="J14" s="31">
        <f>'Option1 (base case)'!J$28*conv_2026</f>
        <v>40975.822614166995</v>
      </c>
      <c r="K14" s="31">
        <f>'Option1 (base case)'!K$28*conv_2026</f>
        <v>44929.357700912034</v>
      </c>
      <c r="L14" s="31">
        <f>'Option1 (base case)'!L$28*conv_2026</f>
        <v>48941.307756488604</v>
      </c>
      <c r="M14" s="31">
        <f>'Option1 (base case)'!M$28*conv_2026</f>
        <v>52995.718358087994</v>
      </c>
      <c r="N14" s="31">
        <f>'Option1 (base case)'!N$28*conv_2026</f>
        <v>57303.246674163398</v>
      </c>
      <c r="O14" s="31">
        <f>'Option1 (base case)'!O$28*conv_2026</f>
        <v>62059.578039675478</v>
      </c>
      <c r="P14" s="31">
        <f>'Option1 (base case)'!P$28*conv_2026</f>
        <v>67403.512509562672</v>
      </c>
      <c r="Q14" s="31">
        <f>'Option1 (base case)'!Q$28*conv_2026</f>
        <v>72417.991774501119</v>
      </c>
      <c r="R14" s="31">
        <f>'Option1 (base case)'!R$28*conv_2026</f>
        <v>77363.912528469446</v>
      </c>
      <c r="S14" s="31">
        <f>'Option1 (base case)'!S$28*conv_2026</f>
        <v>82759.43672483202</v>
      </c>
      <c r="T14" s="31">
        <f>'Option1 (base case)'!T$28*conv_2026</f>
        <v>87730.445015476289</v>
      </c>
      <c r="U14" s="31">
        <f>'Option1 (base case)'!U$28*conv_2026</f>
        <v>92783.795950452433</v>
      </c>
      <c r="V14" s="31">
        <f>'Option1 (base case)'!V$28*conv_2026</f>
        <v>97907.765962021818</v>
      </c>
      <c r="W14" s="31">
        <f>'Option1 (base case)'!W$28*conv_2026</f>
        <v>103089.76621441802</v>
      </c>
      <c r="X14" s="31">
        <f>'Option1 (base case)'!X$28*conv_2026</f>
        <v>108316.35460036382</v>
      </c>
      <c r="Y14" s="31">
        <f>'Option1 (base case)'!Y$28*conv_2026</f>
        <v>113573.25650005364</v>
      </c>
      <c r="Z14" s="31">
        <f>'Option1 (base case)'!Z$28*conv_2026</f>
        <v>118845.39479913069</v>
      </c>
      <c r="AA14" s="31">
        <f>'Option1 (base case)'!AA$28*conv_2026</f>
        <v>124116.92957905783</v>
      </c>
      <c r="AB14" s="31">
        <f>'Option1 (base case)'!AB$28*conv_2026</f>
        <v>129371.30779531744</v>
      </c>
      <c r="AC14" s="31">
        <f>'Option1 (base case)'!AC$28*conv_2026</f>
        <v>134591.32314654716</v>
      </c>
      <c r="AD14" s="31">
        <f>'Option1 (base case)'!AD$28*conv_2026</f>
        <v>139759.18621186377</v>
      </c>
      <c r="AE14" s="31">
        <f>'Option1 (base case)'!AE$28*conv_2026</f>
        <v>144856.60479544793</v>
      </c>
      <c r="AF14" s="31">
        <f>'Option1 (base case)'!AF$28*conv_2026</f>
        <v>149864.87426856815</v>
      </c>
      <c r="AG14" s="31">
        <f>'Option1 (base case)'!AG$28*conv_2026</f>
        <v>154764.97754159902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4906530.1776171271</v>
      </c>
      <c r="G16" s="225">
        <f>output_dollars</f>
        <v>46203</v>
      </c>
      <c r="H16" s="31"/>
      <c r="I16" s="31">
        <f>'Option1 (base case)'!I$36*conv_2026</f>
        <v>153676.68510275436</v>
      </c>
      <c r="J16" s="31">
        <f>'Option1 (base case)'!J$36*conv_2026</f>
        <v>166505.77693461205</v>
      </c>
      <c r="K16" s="31">
        <f>'Option1 (base case)'!K$36*conv_2026</f>
        <v>179931.76628449952</v>
      </c>
      <c r="L16" s="31">
        <f>'Option1 (base case)'!L$36*conv_2026</f>
        <v>193710.09044464075</v>
      </c>
      <c r="M16" s="31">
        <f>'Option1 (base case)'!M$36*conv_2026</f>
        <v>207806.90872538922</v>
      </c>
      <c r="N16" s="31">
        <f>'Option1 (base case)'!N$36*conv_2026</f>
        <v>217977.54305580913</v>
      </c>
      <c r="O16" s="31">
        <f>'Option1 (base case)'!O$36*conv_2026</f>
        <v>233269.66861111953</v>
      </c>
      <c r="P16" s="31">
        <f>'Option1 (base case)'!P$36*conv_2026</f>
        <v>249364.24720442833</v>
      </c>
      <c r="Q16" s="31">
        <f>'Option1 (base case)'!Q$36*conv_2026</f>
        <v>265321.34349246277</v>
      </c>
      <c r="R16" s="31">
        <f>'Option1 (base case)'!R$36*conv_2026</f>
        <v>281377.76842456689</v>
      </c>
      <c r="S16" s="31">
        <f>'Option1 (base case)'!S$36*conv_2026</f>
        <v>298026.42145243014</v>
      </c>
      <c r="T16" s="31">
        <f>'Option1 (base case)'!T$36*conv_2026</f>
        <v>314366.78457519878</v>
      </c>
      <c r="U16" s="31">
        <f>'Option1 (base case)'!U$36*conv_2026</f>
        <v>330878.23099603952</v>
      </c>
      <c r="V16" s="31">
        <f>'Option1 (base case)'!V$36*conv_2026</f>
        <v>347520.52356022218</v>
      </c>
      <c r="W16" s="31">
        <f>'Option1 (base case)'!W$36*conv_2026</f>
        <v>364251.59914446564</v>
      </c>
      <c r="X16" s="31">
        <f>'Option1 (base case)'!X$36*conv_2026</f>
        <v>381027.65730427008</v>
      </c>
      <c r="Y16" s="31">
        <f>'Option1 (base case)'!Y$36*conv_2026</f>
        <v>397803.26675311942</v>
      </c>
      <c r="Z16" s="31">
        <f>'Option1 (base case)'!Z$36*conv_2026</f>
        <v>414531.49005634891</v>
      </c>
      <c r="AA16" s="31">
        <f>'Option1 (base case)'!AA$36*conv_2026</f>
        <v>431164.0267635131</v>
      </c>
      <c r="AB16" s="31">
        <f>'Option1 (base case)'!AB$36*conv_2026</f>
        <v>447651.37502587272</v>
      </c>
      <c r="AC16" s="31">
        <f>'Option1 (base case)'!AC$36*conv_2026</f>
        <v>463943.01155124325</v>
      </c>
      <c r="AD16" s="31">
        <f>'Option1 (base case)'!AD$36*conv_2026</f>
        <v>479987.58953843755</v>
      </c>
      <c r="AE16" s="31">
        <f>'Option1 (base case)'!AE$36*conv_2026</f>
        <v>495733.1540098507</v>
      </c>
      <c r="AF16" s="31">
        <f>'Option1 (base case)'!AF$36*conv_2026</f>
        <v>511127.37372584356</v>
      </c>
      <c r="AG16" s="31">
        <f>'Option1 (base case)'!AG$36*conv_2026</f>
        <v>526117.78862136835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188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189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318752.49177831784</v>
      </c>
      <c r="G28" s="271">
        <f>output_dollars</f>
        <v>46203</v>
      </c>
      <c r="H28" s="272"/>
      <c r="I28" s="31">
        <f>Option2!I$28*conv_2026</f>
        <v>37308.627571663375</v>
      </c>
      <c r="J28" s="31">
        <f>Option2!J$28*conv_2026</f>
        <v>40975.822614166995</v>
      </c>
      <c r="K28" s="31">
        <f>Option2!K$28*conv_2026</f>
        <v>44929.357700912034</v>
      </c>
      <c r="L28" s="31">
        <f>Option2!L$28*conv_2026</f>
        <v>48941.307756488604</v>
      </c>
      <c r="M28" s="31">
        <f>Option2!M$28*conv_2026</f>
        <v>52995.718358087994</v>
      </c>
      <c r="N28" s="31">
        <f>Option2!N$28*conv_2026</f>
        <v>75.69311156947704</v>
      </c>
      <c r="O28" s="31">
        <f>Option2!O$28*conv_2026</f>
        <v>305.3358239295469</v>
      </c>
      <c r="P28" s="31">
        <f>Option2!P$28*conv_2026</f>
        <v>696.90422860429067</v>
      </c>
      <c r="Q28" s="31">
        <f>Option2!Q$28*conv_2026</f>
        <v>1246.7234672058248</v>
      </c>
      <c r="R28" s="31">
        <f>Option2!R$28*conv_2026</f>
        <v>1954.2080163017351</v>
      </c>
      <c r="S28" s="31">
        <f>Option2!S$28*conv_2026</f>
        <v>2833.7206962186092</v>
      </c>
      <c r="T28" s="31">
        <f>Option2!T$28*conv_2026</f>
        <v>3857.5578744865238</v>
      </c>
      <c r="U28" s="31">
        <f>Option2!U$28*conv_2026</f>
        <v>5038.0753832673581</v>
      </c>
      <c r="V28" s="31">
        <f>Option2!V$28*conv_2026</f>
        <v>6374.0569002298344</v>
      </c>
      <c r="W28" s="31">
        <f>Option2!W$28*conv_2026</f>
        <v>7863.6835277902292</v>
      </c>
      <c r="X28" s="31">
        <f>Option2!X$28*conv_2026</f>
        <v>9504.425164668377</v>
      </c>
      <c r="Y28" s="31">
        <f>Option2!Y$28*conv_2026</f>
        <v>11292.932026205997</v>
      </c>
      <c r="Z28" s="31">
        <f>Option2!Z$28*conv_2026</f>
        <v>13224.927577565781</v>
      </c>
      <c r="AA28" s="31">
        <f>Option2!AA$28*conv_2026</f>
        <v>15295.104468831625</v>
      </c>
      <c r="AB28" s="31">
        <f>Option2!AB$28*conv_2026</f>
        <v>17497.025393780048</v>
      </c>
      <c r="AC28" s="31">
        <f>Option2!AC$28*conv_2026</f>
        <v>19823.031124755984</v>
      </c>
      <c r="AD28" s="31">
        <f>Option2!AD$28*conv_2026</f>
        <v>22264.158291979707</v>
      </c>
      <c r="AE28" s="31">
        <f>Option2!AE$28*conv_2026</f>
        <v>24810.069761378742</v>
      </c>
      <c r="AF28" s="31">
        <f>Option2!AF$28*conv_2026</f>
        <v>27449.000702918747</v>
      </c>
      <c r="AG28" s="31">
        <f>Option2!AG$28*conv_2026</f>
        <v>30167.723611706093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-2887338.7861790969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-692899.41365897318</v>
      </c>
      <c r="N29" s="31">
        <f>SUM(Option2!N$67:N$69)*conv_2026*N$7</f>
        <v>-2771597.6546358927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1067773.6166738793</v>
      </c>
      <c r="G30" s="225">
        <f>output_dollars</f>
        <v>46203</v>
      </c>
      <c r="H30" s="31"/>
      <c r="I30" s="31">
        <f>Option2!I$36*conv_2026*I$7</f>
        <v>153676.68510275436</v>
      </c>
      <c r="J30" s="31">
        <f>Option2!J$36*conv_2026*J$7</f>
        <v>166505.77693461205</v>
      </c>
      <c r="K30" s="31">
        <f>Option2!K$36*conv_2026*K$7</f>
        <v>179931.76628449952</v>
      </c>
      <c r="L30" s="31">
        <f>Option2!L$36*conv_2026*L$7</f>
        <v>193710.09044464075</v>
      </c>
      <c r="M30" s="31">
        <f>Option2!M$36*conv_2026*M$7</f>
        <v>207806.90872538922</v>
      </c>
      <c r="N30" s="31">
        <f>Option2!N$36*conv_2026*N$7</f>
        <v>8979.5742243420373</v>
      </c>
      <c r="O30" s="31">
        <f>Option2!O$36*conv_2026*O$7</f>
        <v>9303.6955988182472</v>
      </c>
      <c r="P30" s="31">
        <f>Option2!P$36*conv_2026*P$7</f>
        <v>9852.6951145963321</v>
      </c>
      <c r="Q30" s="31">
        <f>Option2!Q$36*conv_2026*Q$7</f>
        <v>10622.799894379334</v>
      </c>
      <c r="R30" s="31">
        <f>Option2!R$36*conv_2026*R$7</f>
        <v>11613.221678712785</v>
      </c>
      <c r="S30" s="31">
        <f>Option2!S$36*conv_2026*S$7</f>
        <v>12837.97731189465</v>
      </c>
      <c r="T30" s="31">
        <f>Option2!T$36*conv_2026*T$7</f>
        <v>14268.835823080704</v>
      </c>
      <c r="U30" s="31">
        <f>Option2!U$36*conv_2026*U$7</f>
        <v>15917.406881361128</v>
      </c>
      <c r="V30" s="31">
        <f>Option2!V$36*conv_2026*V$7</f>
        <v>17781.472697867215</v>
      </c>
      <c r="W30" s="31">
        <f>Option2!W$36*conv_2026*W$7</f>
        <v>19857.922495132243</v>
      </c>
      <c r="X30" s="31">
        <f>Option2!X$36*conv_2026*X$7</f>
        <v>22142.610581090648</v>
      </c>
      <c r="Y30" s="31">
        <f>Option2!Y$36*conv_2026*Y$7</f>
        <v>24630.216880827564</v>
      </c>
      <c r="Z30" s="31">
        <f>Option2!Z$36*conv_2026*Z$7</f>
        <v>27314.111733702503</v>
      </c>
      <c r="AA30" s="31">
        <f>Option2!AA$36*conv_2026*AA$7</f>
        <v>30186.227127188944</v>
      </c>
      <c r="AB30" s="31">
        <f>Option2!AB$36*conv_2026*AB$7</f>
        <v>33236.936900571825</v>
      </c>
      <c r="AC30" s="31">
        <f>Option2!AC$36*conv_2026*AC$7</f>
        <v>36454.948799792059</v>
      </c>
      <c r="AD30" s="31">
        <f>Option2!AD$36*conv_2026*AD$7</f>
        <v>39827.211584730569</v>
      </c>
      <c r="AE30" s="31">
        <f>Option2!AE$36*conv_2026*AE$7</f>
        <v>43338.840664975556</v>
      </c>
      <c r="AF30" s="31">
        <f>Option2!AF$36*conv_2026*AF$7</f>
        <v>46973.065950232893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-2329385.7210217351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0</v>
      </c>
      <c r="M32" s="31">
        <f>Option2!M$82*conv_2026*M$7</f>
        <v>0</v>
      </c>
      <c r="N32" s="31">
        <f>Option2!N$82*conv_2026*N$7</f>
        <v>-42041.003560636047</v>
      </c>
      <c r="O32" s="31">
        <f>Option2!O$82*conv_2026*O$7</f>
        <v>-210205.01780318024</v>
      </c>
      <c r="P32" s="31">
        <f>Option2!P$82*conv_2026*P$7</f>
        <v>-210205.01780318024</v>
      </c>
      <c r="Q32" s="31">
        <f>Option2!Q$82*conv_2026*Q$7</f>
        <v>-210205.01780318024</v>
      </c>
      <c r="R32" s="31">
        <f>Option2!R$82*conv_2026*R$7</f>
        <v>-210205.01780318024</v>
      </c>
      <c r="S32" s="31">
        <f>Option2!S$82*conv_2026*S$7</f>
        <v>-210205.01780318024</v>
      </c>
      <c r="T32" s="31">
        <f>Option2!T$82*conv_2026*T$7</f>
        <v>-210205.01780318024</v>
      </c>
      <c r="U32" s="31">
        <f>Option2!U$82*conv_2026*U$7</f>
        <v>-210205.01780318024</v>
      </c>
      <c r="V32" s="31">
        <f>Option2!V$82*conv_2026*V$7</f>
        <v>-210205.01780318024</v>
      </c>
      <c r="W32" s="31">
        <f>Option2!W$82*conv_2026*W$7</f>
        <v>-210205.01780318024</v>
      </c>
      <c r="X32" s="31">
        <f>Option2!X$82*conv_2026*X$7</f>
        <v>-210205.01780318024</v>
      </c>
      <c r="Y32" s="31">
        <f>Option2!Y$82*conv_2026*Y$7</f>
        <v>-210205.01780318024</v>
      </c>
      <c r="Z32" s="31">
        <f>Option2!Z$82*conv_2026*Z$7</f>
        <v>-210205.01780318024</v>
      </c>
      <c r="AA32" s="31">
        <f>Option2!AA$82*conv_2026*AA$7</f>
        <v>-210205.01780318024</v>
      </c>
      <c r="AB32" s="31">
        <f>Option2!AB$82*conv_2026*AB$7</f>
        <v>-210205.01780318024</v>
      </c>
      <c r="AC32" s="31">
        <f>Option2!AC$82*conv_2026*AC$7</f>
        <v>-210205.01780318024</v>
      </c>
      <c r="AD32" s="31">
        <f>Option2!AD$82*conv_2026*AD$7</f>
        <v>-210205.01780318024</v>
      </c>
      <c r="AE32" s="31">
        <f>Option2!AE$82*conv_2026*AE$7</f>
        <v>-210205.01780318024</v>
      </c>
      <c r="AF32" s="31">
        <f>Option2!AF$82*conv_2026*AF$7</f>
        <v>-210205.01780318024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3838756.5609432473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208997.96883146709</v>
      </c>
      <c r="O34" s="31">
        <f>Option2!O$84*conv_2026*O$7</f>
        <v>223965.97301230129</v>
      </c>
      <c r="P34" s="31">
        <f>Option2!P$84*conv_2026*P$7</f>
        <v>239511.552089832</v>
      </c>
      <c r="Q34" s="31">
        <f>Option2!Q$84*conv_2026*Q$7</f>
        <v>254698.54359808343</v>
      </c>
      <c r="R34" s="31">
        <f>Option2!R$84*conv_2026*R$7</f>
        <v>269764.54674585408</v>
      </c>
      <c r="S34" s="31">
        <f>Option2!S$84*conv_2026*S$7</f>
        <v>285188.44414053549</v>
      </c>
      <c r="T34" s="31">
        <f>Option2!T$84*conv_2026*T$7</f>
        <v>300097.9487521181</v>
      </c>
      <c r="U34" s="31">
        <f>Option2!U$84*conv_2026*U$7</f>
        <v>314960.82411467837</v>
      </c>
      <c r="V34" s="31">
        <f>Option2!V$84*conv_2026*V$7</f>
        <v>329739.05086235498</v>
      </c>
      <c r="W34" s="31">
        <f>Option2!W$84*conv_2026*W$7</f>
        <v>344393.67664933339</v>
      </c>
      <c r="X34" s="31">
        <f>Option2!X$84*conv_2026*X$7</f>
        <v>358885.04672317946</v>
      </c>
      <c r="Y34" s="31">
        <f>Option2!Y$84*conv_2026*Y$7</f>
        <v>373173.04987229186</v>
      </c>
      <c r="Z34" s="31">
        <f>Option2!Z$84*conv_2026*Z$7</f>
        <v>387217.37832264643</v>
      </c>
      <c r="AA34" s="31">
        <f>Option2!AA$84*conv_2026*AA$7</f>
        <v>400977.79963632423</v>
      </c>
      <c r="AB34" s="31">
        <f>Option2!AB$84*conv_2026*AB$7</f>
        <v>414414.43812530098</v>
      </c>
      <c r="AC34" s="31">
        <f>Option2!AC$84*conv_2026*AC$7</f>
        <v>427488.06275145122</v>
      </c>
      <c r="AD34" s="31">
        <f>Option2!AD$84*conv_2026*AD$7</f>
        <v>440160.37795370695</v>
      </c>
      <c r="AE34" s="31">
        <f>Option2!AE$84*conv_2026*AE$7</f>
        <v>452394.31334487518</v>
      </c>
      <c r="AF34" s="31">
        <f>Option2!AF$84*conv_2026*AF$7</f>
        <v>464154.30777561065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0</v>
      </c>
      <c r="M36" s="52">
        <f t="shared" si="9"/>
        <v>0</v>
      </c>
      <c r="N36" s="52">
        <f t="shared" si="9"/>
        <v>166956.96527083105</v>
      </c>
      <c r="O36" s="52">
        <f t="shared" si="9"/>
        <v>13760.95520912105</v>
      </c>
      <c r="P36" s="52">
        <f t="shared" si="9"/>
        <v>29306.53428665176</v>
      </c>
      <c r="Q36" s="52">
        <f t="shared" si="9"/>
        <v>44493.525794903195</v>
      </c>
      <c r="R36" s="52">
        <f t="shared" si="9"/>
        <v>59559.528942673845</v>
      </c>
      <c r="S36" s="52">
        <f t="shared" si="9"/>
        <v>74983.426337355253</v>
      </c>
      <c r="T36" s="52">
        <f t="shared" si="9"/>
        <v>89892.930948937865</v>
      </c>
      <c r="U36" s="52">
        <f t="shared" si="9"/>
        <v>104755.80631149813</v>
      </c>
      <c r="V36" s="52">
        <f t="shared" si="9"/>
        <v>119534.03305917475</v>
      </c>
      <c r="W36" s="52">
        <f t="shared" si="9"/>
        <v>134188.65884615315</v>
      </c>
      <c r="X36" s="52">
        <f t="shared" si="9"/>
        <v>148680.02891999923</v>
      </c>
      <c r="Y36" s="52">
        <f t="shared" si="9"/>
        <v>162968.03206911162</v>
      </c>
      <c r="Z36" s="52">
        <f t="shared" si="9"/>
        <v>177012.36051946619</v>
      </c>
      <c r="AA36" s="52">
        <f t="shared" si="9"/>
        <v>190772.78183314399</v>
      </c>
      <c r="AB36" s="52">
        <f t="shared" si="9"/>
        <v>204209.42032212074</v>
      </c>
      <c r="AC36" s="52">
        <f t="shared" si="9"/>
        <v>217283.04494827098</v>
      </c>
      <c r="AD36" s="52">
        <f t="shared" si="9"/>
        <v>229955.36015052671</v>
      </c>
      <c r="AE36" s="52">
        <f t="shared" si="9"/>
        <v>242189.29554169494</v>
      </c>
      <c r="AF36" s="52">
        <f t="shared" si="9"/>
        <v>253949.28997243042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1509370.8399215124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188</v>
      </c>
      <c r="D38" s="38" t="str">
        <f t="shared" si="6"/>
        <v>Option 2PV of costs</v>
      </c>
      <c r="E38" s="1"/>
      <c r="F38" s="108">
        <f>SUM(F32:F33)</f>
        <v>-2329385.7210217351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189</v>
      </c>
      <c r="D39" s="38" t="str">
        <f t="shared" si="6"/>
        <v>Option 2PV of benefits</v>
      </c>
      <c r="E39" s="1"/>
      <c r="F39" s="108">
        <f>SUM(F34:F35)</f>
        <v>3838756.5609432473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0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0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0</v>
      </c>
      <c r="N46" s="31">
        <f>Option3!N$82*conv_2026*N$7</f>
        <v>0</v>
      </c>
      <c r="O46" s="31">
        <f>Option3!O$82*conv_2026*O$7</f>
        <v>0</v>
      </c>
      <c r="P46" s="31">
        <f>Option3!P$82*conv_2026*P$7</f>
        <v>0</v>
      </c>
      <c r="Q46" s="31">
        <f>Option3!Q$82*conv_2026*Q$7</f>
        <v>0</v>
      </c>
      <c r="R46" s="31">
        <f>Option3!R$82*conv_2026*R$7</f>
        <v>0</v>
      </c>
      <c r="S46" s="31">
        <f>Option3!S$82*conv_2026*S$7</f>
        <v>0</v>
      </c>
      <c r="T46" s="31">
        <f>Option3!T$82*conv_2026*T$7</f>
        <v>0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0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0</v>
      </c>
      <c r="O48" s="31">
        <f>Option3!O$84*conv_2026*O$7</f>
        <v>0</v>
      </c>
      <c r="P48" s="31">
        <f>Option3!P$84*conv_2026*P$7</f>
        <v>0</v>
      </c>
      <c r="Q48" s="31">
        <f>Option3!Q$84*conv_2026*Q$7</f>
        <v>0</v>
      </c>
      <c r="R48" s="31">
        <f>Option3!R$84*conv_2026*R$7</f>
        <v>0</v>
      </c>
      <c r="S48" s="31">
        <f>Option3!S$84*conv_2026*S$7</f>
        <v>0</v>
      </c>
      <c r="T48" s="31">
        <f>Option3!T$84*conv_2026*T$7</f>
        <v>0</v>
      </c>
      <c r="U48" s="31">
        <f>Option3!U$84*conv_2026*U$7</f>
        <v>0</v>
      </c>
      <c r="V48" s="31">
        <f>Option3!V$84*conv_2026*V$7</f>
        <v>0</v>
      </c>
      <c r="W48" s="31">
        <f>Option3!W$84*conv_2026*W$7</f>
        <v>0</v>
      </c>
      <c r="X48" s="31">
        <f>Option3!X$84*conv_2026*X$7</f>
        <v>0</v>
      </c>
      <c r="Y48" s="31">
        <f>Option3!Y$84*conv_2026*Y$7</f>
        <v>0</v>
      </c>
      <c r="Z48" s="31">
        <f>Option3!Z$84*conv_2026*Z$7</f>
        <v>0</v>
      </c>
      <c r="AA48" s="31">
        <f>Option3!AA$84*conv_2026*AA$7</f>
        <v>0</v>
      </c>
      <c r="AB48" s="31">
        <f>Option3!AB$84*conv_2026*AB$7</f>
        <v>0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0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188</v>
      </c>
      <c r="D52" s="38" t="str">
        <f t="shared" si="11"/>
        <v>Option 3PV of costs</v>
      </c>
      <c r="E52" s="1"/>
      <c r="F52" s="108">
        <f>SUM(F46:F47)</f>
        <v>0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189</v>
      </c>
      <c r="D53" s="38" t="str">
        <f t="shared" si="11"/>
        <v>Option 3PV of benefits</v>
      </c>
      <c r="E53" s="1"/>
      <c r="F53" s="108">
        <f>SUM(F48:F49)</f>
        <v>0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188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189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188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189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201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0.21020501780318024</v>
      </c>
      <c r="J91" s="297" cm="1">
        <f t="array" ref="J91">MAX($D91*INDEX(J$15:X$81, MATCH($A91&amp;$C91, $D$15:$D$81,0),))/mill_conv</f>
        <v>0.21020501780318024</v>
      </c>
      <c r="K91" s="297" cm="1">
        <f t="array" ref="K91">MAX($D91*INDEX(K$15:Y$81, MATCH($A91&amp;$C91, $D$15:$D$81,0),))/mill_conv</f>
        <v>0.21020501780318024</v>
      </c>
      <c r="L91" s="297" cm="1">
        <f t="array" ref="L91">MAX($D91*INDEX(L$15:Z$81, MATCH($A91&amp;$C91, $D$15:$D$81,0),))/mill_conv</f>
        <v>0.21020501780318024</v>
      </c>
      <c r="M91" s="297" cm="1">
        <f t="array" ref="M91">MAX($D91*INDEX(M$15:AA$81, MATCH($A91&amp;$C91, $D$15:$D$81,0),))/mill_conv</f>
        <v>0.21020501780318024</v>
      </c>
      <c r="N91" s="297" cm="1">
        <f t="array" ref="N91">MAX($D91*INDEX(N$15:AB$81, MATCH($A91&amp;$C91, $D$15:$D$81,0),))/mill_conv</f>
        <v>0.21020501780318024</v>
      </c>
      <c r="O91" s="297" cm="1">
        <f t="array" ref="O91">MAX($D91*INDEX(O$15:AC$81, MATCH($A91&amp;$C91, $D$15:$D$81,0),))/mill_conv</f>
        <v>0.21020501780318024</v>
      </c>
      <c r="P91" s="297" cm="1">
        <f t="array" ref="P91">MAX($D91*INDEX(P$15:AD$81, MATCH($A91&amp;$C91, $D$15:$D$81,0),))/mill_conv</f>
        <v>0.21020501780318024</v>
      </c>
      <c r="Q91" s="297" cm="1">
        <f t="array" ref="Q91">MAX($D91*INDEX(Q$15:AE$81, MATCH($A91&amp;$C91, $D$15:$D$81,0),))/mill_conv</f>
        <v>0.21020501780318024</v>
      </c>
      <c r="R91" s="297" cm="1">
        <f t="array" ref="R91">MAX($D91*INDEX(R$15:AF$81, MATCH($A91&amp;$C91, $D$15:$D$81,0),))/mill_conv</f>
        <v>0.21020501780318024</v>
      </c>
      <c r="S91" s="297" cm="1">
        <f t="array" ref="S91">MAX($D91*INDEX(S$15:AG$81, MATCH($A91&amp;$C91, $D$15:$D$81,0),))/mill_conv</f>
        <v>0.21020501780318024</v>
      </c>
      <c r="T91" s="297" cm="1">
        <f t="array" ref="T91">MAX($D91*INDEX(T$15:AH$81, MATCH($A91&amp;$C91, $D$15:$D$81,0),))/mill_conv</f>
        <v>0.21020501780318024</v>
      </c>
      <c r="U91" s="297" cm="1">
        <f t="array" ref="U91">MAX($D91*INDEX(U$15:AI$81, MATCH($A91&amp;$C91, $D$15:$D$81,0),))/mill_conv</f>
        <v>0.21020501780318024</v>
      </c>
      <c r="V91" s="297" cm="1">
        <f t="array" ref="V91">MAX($D91*INDEX(V$15:AJ$81, MATCH($A91&amp;$C91, $D$15:$D$81,0),))/mill_conv</f>
        <v>0.21020501780318024</v>
      </c>
      <c r="W91" s="297" cm="1">
        <f t="array" ref="W91">MAX($D91*INDEX(W$15:AK$81, MATCH($A91&amp;$C91, $D$15:$D$81,0),))/mill_conv</f>
        <v>0.21020501780318024</v>
      </c>
      <c r="X91" s="297" cm="1">
        <f t="array" ref="X91">MAX($D91*INDEX(X$15:AL$81, MATCH($A91&amp;$C91, $D$15:$D$81,0),))/mill_conv</f>
        <v>0.21020501780318024</v>
      </c>
      <c r="Y91" s="297" cm="1">
        <f t="array" ref="Y91">MAX($D91*INDEX(Y$15:AM$81, MATCH($A91&amp;$C91, $D$15:$D$81,0),))/mill_conv</f>
        <v>0.21020501780318024</v>
      </c>
      <c r="Z91" s="297" cm="1">
        <f t="array" ref="Z91">MAX($D91*INDEX(Z$15:AN$81, MATCH($A91&amp;$C91, $D$15:$D$81,0),))/mill_conv</f>
        <v>0.21020501780318024</v>
      </c>
      <c r="AA91" s="297" cm="1">
        <f t="array" ref="AA91">MAX($D91*INDEX(AA$15:AO$81, MATCH($A91&amp;$C91, $D$15:$D$81,0),))/mill_conv</f>
        <v>0.21020501780318024</v>
      </c>
      <c r="AB91" s="297" cm="1">
        <f t="array" ref="AB91">MAX($D91*INDEX(AB$15:AP$81, MATCH($A91&amp;$C91, $D$15:$D$81,0),))/mill_conv</f>
        <v>0.21020501780318024</v>
      </c>
      <c r="AC91" s="297" cm="1">
        <f t="array" ref="AC91">MAX($D91*INDEX(AC$15:AQ$81, MATCH($A91&amp;$C91, $D$15:$D$81,0),))/mill_conv</f>
        <v>0.21020501780318024</v>
      </c>
      <c r="AD91" s="297" cm="1">
        <f t="array" ref="AD91">MAX($D91*INDEX(AD$15:AR$81, MATCH($A91&amp;$C91, $D$15:$D$81,0),))/mill_conv</f>
        <v>0.21020501780318024</v>
      </c>
      <c r="AE91" s="297" cm="1">
        <f t="array" ref="AE91">MAX($D91*INDEX(AE$15:AS$81, MATCH($A91&amp;$C91, $D$15:$D$81,0),))/mill_conv</f>
        <v>0.21020501780318024</v>
      </c>
      <c r="AF91" s="297" cm="1">
        <f t="array" ref="AF91">MAX($D91*INDEX(AF$15:AT$81, MATCH($A91&amp;$C91, $D$15:$D$81,0),))/mill_conv</f>
        <v>0.21020501780318024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171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0.15367668510275437</v>
      </c>
      <c r="J92" s="297">
        <f t="shared" si="23"/>
        <v>0.16650577693461205</v>
      </c>
      <c r="K92" s="297">
        <f t="shared" si="23"/>
        <v>0.17993176628449953</v>
      </c>
      <c r="L92" s="297">
        <f t="shared" si="23"/>
        <v>0.19371009044464074</v>
      </c>
      <c r="M92" s="297">
        <f t="shared" si="23"/>
        <v>0.20780690872538923</v>
      </c>
      <c r="N92" s="297">
        <f t="shared" si="23"/>
        <v>0.21797754305580913</v>
      </c>
      <c r="O92" s="297">
        <f t="shared" si="23"/>
        <v>0.23326966861111953</v>
      </c>
      <c r="P92" s="297">
        <f t="shared" si="23"/>
        <v>0.24936424720442835</v>
      </c>
      <c r="Q92" s="297">
        <f t="shared" si="23"/>
        <v>0.26532134349246278</v>
      </c>
      <c r="R92" s="297">
        <f t="shared" si="23"/>
        <v>0.28137776842456691</v>
      </c>
      <c r="S92" s="297">
        <f t="shared" ref="S92:AG92" si="24">$D92*INDEX(S$15:S$81, MATCH($A92&amp;$C92, $D$15:$D$81,0))/mill_conv</f>
        <v>0.29802642145243013</v>
      </c>
      <c r="T92" s="297">
        <f t="shared" si="24"/>
        <v>0.31436678457519879</v>
      </c>
      <c r="U92" s="297">
        <f t="shared" si="24"/>
        <v>0.33087823099603952</v>
      </c>
      <c r="V92" s="297">
        <f t="shared" si="24"/>
        <v>0.34752052356022217</v>
      </c>
      <c r="W92" s="297">
        <f t="shared" si="24"/>
        <v>0.36425159914446564</v>
      </c>
      <c r="X92" s="297">
        <f t="shared" si="24"/>
        <v>0.38102765730427007</v>
      </c>
      <c r="Y92" s="297">
        <f t="shared" si="24"/>
        <v>0.39780326675311939</v>
      </c>
      <c r="Z92" s="297">
        <f t="shared" si="24"/>
        <v>0.41453149005634893</v>
      </c>
      <c r="AA92" s="297">
        <f t="shared" si="24"/>
        <v>0.43116402676351312</v>
      </c>
      <c r="AB92" s="297">
        <f t="shared" si="24"/>
        <v>0.44765137502587271</v>
      </c>
      <c r="AC92" s="297">
        <f t="shared" si="24"/>
        <v>0.46394301155124323</v>
      </c>
      <c r="AD92" s="297">
        <f t="shared" si="24"/>
        <v>0.47998758953843756</v>
      </c>
      <c r="AE92" s="297">
        <f t="shared" si="24"/>
        <v>0.49573315400985069</v>
      </c>
      <c r="AF92" s="297">
        <f t="shared" si="24"/>
        <v>0.5111273737258436</v>
      </c>
      <c r="AG92" s="297">
        <f t="shared" si="24"/>
        <v>0.52611778862136838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234</v>
      </c>
      <c r="B98" s="139"/>
      <c r="C98" s="196" t="s">
        <v>123</v>
      </c>
      <c r="D98" s="190">
        <f>MAX(H98:AG98)</f>
        <v>3.5491115089473402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0.85557134179165073</v>
      </c>
      <c r="J98" s="119">
        <f>INDEX('Option1 (base case)'!J$14:J$87, MATCH($C98, 'Option1 (base case)'!$C$14:$C$87,0))</f>
        <v>0.93966843105337261</v>
      </c>
      <c r="K98" s="119">
        <f>INDEX('Option1 (base case)'!K$14:K$87, MATCH($C98, 'Option1 (base case)'!$C$14:$C$87,0))</f>
        <v>1.0303319461475573</v>
      </c>
      <c r="L98" s="119">
        <f>INDEX('Option1 (base case)'!L$14:L$87, MATCH($C98, 'Option1 (base case)'!$C$14:$C$87,0))</f>
        <v>1.1223350487987467</v>
      </c>
      <c r="M98" s="119">
        <f>INDEX('Option1 (base case)'!M$14:M$87, MATCH($C98, 'Option1 (base case)'!$C$14:$C$87,0))</f>
        <v>1.2153118679519479</v>
      </c>
      <c r="N98" s="119">
        <f>INDEX('Option1 (base case)'!N$14:N$87, MATCH($C98, 'Option1 (base case)'!$C$14:$C$87,0))</f>
        <v>1.3140932496608075</v>
      </c>
      <c r="O98" s="119">
        <f>INDEX('Option1 (base case)'!O$14:O$87, MATCH($C98, 'Option1 (base case)'!$C$14:$C$87,0))</f>
        <v>1.4231667019227625</v>
      </c>
      <c r="P98" s="119">
        <f>INDEX('Option1 (base case)'!P$14:P$87, MATCH($C98, 'Option1 (base case)'!$C$14:$C$87,0))</f>
        <v>1.5457152244076973</v>
      </c>
      <c r="Q98" s="119">
        <f>INDEX('Option1 (base case)'!Q$14:Q$87, MATCH($C98, 'Option1 (base case)'!$C$14:$C$87,0))</f>
        <v>1.6607085927606065</v>
      </c>
      <c r="R98" s="119">
        <f>INDEX('Option1 (base case)'!R$14:R$87, MATCH($C98, 'Option1 (base case)'!$C$14:$C$87,0))</f>
        <v>1.7741297591581029</v>
      </c>
      <c r="S98" s="119">
        <f>INDEX('Option1 (base case)'!S$14:S$87, MATCH($C98, 'Option1 (base case)'!$C$14:$C$87,0))</f>
        <v>1.8978613509322635</v>
      </c>
      <c r="T98" s="119">
        <f>INDEX('Option1 (base case)'!T$14:T$87, MATCH($C98, 'Option1 (base case)'!$C$14:$C$87,0))</f>
        <v>2.0118578313740745</v>
      </c>
      <c r="U98" s="119">
        <f>INDEX('Option1 (base case)'!U$14:U$87, MATCH($C98, 'Option1 (base case)'!$C$14:$C$87,0))</f>
        <v>2.1277426151731285</v>
      </c>
      <c r="V98" s="119">
        <f>INDEX('Option1 (base case)'!V$14:V$87, MATCH($C98, 'Option1 (base case)'!$C$14:$C$87,0))</f>
        <v>2.2452468543649307</v>
      </c>
      <c r="W98" s="119">
        <f>INDEX('Option1 (base case)'!W$14:W$87, MATCH($C98, 'Option1 (base case)'!$C$14:$C$87,0))</f>
        <v>2.3640818584291026</v>
      </c>
      <c r="X98" s="119">
        <f>INDEX('Option1 (base case)'!X$14:X$87, MATCH($C98, 'Option1 (base case)'!$C$14:$C$87,0))</f>
        <v>2.4839393693966905</v>
      </c>
      <c r="Y98" s="119">
        <f>INDEX('Option1 (base case)'!Y$14:Y$87, MATCH($C98, 'Option1 (base case)'!$C$14:$C$87,0))</f>
        <v>2.6044920379006578</v>
      </c>
      <c r="Z98" s="119">
        <f>INDEX('Option1 (base case)'!Z$14:Z$87, MATCH($C98, 'Option1 (base case)'!$C$14:$C$87,0))</f>
        <v>2.7253941115560942</v>
      </c>
      <c r="AA98" s="119">
        <f>INDEX('Option1 (base case)'!AA$14:AA$87, MATCH($C98, 'Option1 (base case)'!$C$14:$C$87,0))</f>
        <v>2.846282345150331</v>
      </c>
      <c r="AB98" s="119">
        <f>INDEX('Option1 (base case)'!AB$14:AB$87, MATCH($C98, 'Option1 (base case)'!$C$14:$C$87,0))</f>
        <v>2.9667771398765908</v>
      </c>
      <c r="AC98" s="119">
        <f>INDEX('Option1 (base case)'!AC$14:AC$87, MATCH($C98, 'Option1 (base case)'!$C$14:$C$87,0))</f>
        <v>3.0864839162688886</v>
      </c>
      <c r="AD98" s="119">
        <f>INDEX('Option1 (base case)'!AD$14:AD$87, MATCH($C98, 'Option1 (base case)'!$C$14:$C$87,0))</f>
        <v>3.2049947226097428</v>
      </c>
      <c r="AE98" s="119">
        <f>INDEX('Option1 (base case)'!AE$14:AE$87, MATCH($C98, 'Option1 (base case)'!$C$14:$C$87,0))</f>
        <v>3.321890077413499</v>
      </c>
      <c r="AF98" s="119">
        <f>INDEX('Option1 (base case)'!AF$14:AF$87, MATCH($C98, 'Option1 (base case)'!$C$14:$C$87,0))</f>
        <v>3.4367410411735841</v>
      </c>
      <c r="AG98" s="119">
        <f>INDEX('Option1 (base case)'!AG$14:AG$87, MATCH($C98, 'Option1 (base case)'!$C$14:$C$87,0))</f>
        <v>3.5491115089473402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0.1390630055646486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3.3523410567569044E-2</v>
      </c>
      <c r="J99" s="119">
        <f>INDEX('Option1 (base case)'!J$14:J$87, MATCH($C99, 'Option1 (base case)'!$C$14:$C$87,0))/10^6</f>
        <v>3.6818543437441099E-2</v>
      </c>
      <c r="K99" s="119">
        <f>INDEX('Option1 (base case)'!K$14:K$87, MATCH($C99, 'Option1 (base case)'!$C$14:$C$87,0))/10^6</f>
        <v>4.0370965183635463E-2</v>
      </c>
      <c r="L99" s="119">
        <f>INDEX('Option1 (base case)'!L$14:L$87, MATCH($C99, 'Option1 (base case)'!$C$14:$C$87,0))/10^6</f>
        <v>4.3975875298094505E-2</v>
      </c>
      <c r="M99" s="119">
        <f>INDEX('Option1 (base case)'!M$14:M$87, MATCH($C99, 'Option1 (base case)'!$C$14:$C$87,0))/10^6</f>
        <v>4.7618938043992809E-2</v>
      </c>
      <c r="N99" s="119">
        <f>INDEX('Option1 (base case)'!N$14:N$87, MATCH($C99, 'Option1 (base case)'!$C$14:$C$87,0))/10^6</f>
        <v>5.1489437970420063E-2</v>
      </c>
      <c r="O99" s="119">
        <f>INDEX('Option1 (base case)'!O$14:O$87, MATCH($C99, 'Option1 (base case)'!$C$14:$C$87,0))/10^6</f>
        <v>5.576320678850899E-2</v>
      </c>
      <c r="P99" s="119">
        <f>INDEX('Option1 (base case)'!P$14:P$87, MATCH($C99, 'Option1 (base case)'!$C$14:$C$87,0))/10^6</f>
        <v>6.0564962332480772E-2</v>
      </c>
      <c r="Q99" s="119">
        <f>INDEX('Option1 (base case)'!Q$14:Q$87, MATCH($C99, 'Option1 (base case)'!$C$14:$C$87,0))/10^6</f>
        <v>6.5070688169170887E-2</v>
      </c>
      <c r="R99" s="119">
        <f>INDEX('Option1 (base case)'!R$14:R$87, MATCH($C99, 'Option1 (base case)'!$C$14:$C$87,0))/10^6</f>
        <v>6.9514811227609857E-2</v>
      </c>
      <c r="S99" s="119">
        <f>INDEX('Option1 (base case)'!S$14:S$87, MATCH($C99, 'Option1 (base case)'!$C$14:$C$87,0))/10^6</f>
        <v>7.4362922365294667E-2</v>
      </c>
      <c r="T99" s="119">
        <f>INDEX('Option1 (base case)'!T$14:T$87, MATCH($C99, 'Option1 (base case)'!$C$14:$C$87,0))/10^6</f>
        <v>7.8829587657175501E-2</v>
      </c>
      <c r="U99" s="119">
        <f>INDEX('Option1 (base case)'!U$14:U$87, MATCH($C99, 'Option1 (base case)'!$C$14:$C$87,0))/10^6</f>
        <v>8.3370241365485084E-2</v>
      </c>
      <c r="V99" s="119">
        <f>INDEX('Option1 (base case)'!V$14:V$87, MATCH($C99, 'Option1 (base case)'!$C$14:$C$87,0))/10^6</f>
        <v>8.7974349359106821E-2</v>
      </c>
      <c r="W99" s="119">
        <f>INDEX('Option1 (base case)'!W$14:W$87, MATCH($C99, 'Option1 (base case)'!$C$14:$C$87,0))/10^6</f>
        <v>9.2630600026292101E-2</v>
      </c>
      <c r="X99" s="119">
        <f>INDEX('Option1 (base case)'!X$14:X$87, MATCH($C99, 'Option1 (base case)'!$C$14:$C$87,0))/10^6</f>
        <v>9.7326915054047947E-2</v>
      </c>
      <c r="Y99" s="119">
        <f>INDEX('Option1 (base case)'!Y$14:Y$87, MATCH($C99, 'Option1 (base case)'!$C$14:$C$87,0))/10^6</f>
        <v>0.10205046808097798</v>
      </c>
      <c r="Z99" s="119">
        <f>INDEX('Option1 (base case)'!Z$14:Z$87, MATCH($C99, 'Option1 (base case)'!$C$14:$C$87,0))/10^6</f>
        <v>0.10678771166972907</v>
      </c>
      <c r="AA99" s="119">
        <f>INDEX('Option1 (base case)'!AA$14:AA$87, MATCH($C99, 'Option1 (base case)'!$C$14:$C$87,0))/10^6</f>
        <v>0.11152441297050111</v>
      </c>
      <c r="AB99" s="119">
        <f>INDEX('Option1 (base case)'!AB$14:AB$87, MATCH($C99, 'Option1 (base case)'!$C$14:$C$87,0))/10^6</f>
        <v>0.11624569835905149</v>
      </c>
      <c r="AC99" s="119">
        <f>INDEX('Option1 (base case)'!AC$14:AC$87, MATCH($C99, 'Option1 (base case)'!$C$14:$C$87,0))/10^6</f>
        <v>0.12093610723169514</v>
      </c>
      <c r="AD99" s="119">
        <f>INDEX('Option1 (base case)'!AD$14:AD$87, MATCH($C99, 'Option1 (base case)'!$C$14:$C$87,0))/10^6</f>
        <v>0.1255796550267142</v>
      </c>
      <c r="AE99" s="119">
        <f>INDEX('Option1 (base case)'!AE$14:AE$87, MATCH($C99, 'Option1 (base case)'!$C$14:$C$87,0))/10^6</f>
        <v>0.13015990541743178</v>
      </c>
      <c r="AF99" s="119">
        <f>INDEX('Option1 (base case)'!AF$14:AF$87, MATCH($C99, 'Option1 (base case)'!$C$14:$C$87,0))/10^6</f>
        <v>0.13466005148841592</v>
      </c>
      <c r="AG99" s="119">
        <f>INDEX('Option1 (base case)'!AG$14:AG$87, MATCH($C99, 'Option1 (base case)'!$C$14:$C$87,0))/10^6</f>
        <v>0.1390630055646486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FTN relay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193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194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1</v>
      </c>
      <c r="AE7" s="255" t="b">
        <f>Consol!AE7</f>
        <v>1</v>
      </c>
      <c r="AF7" s="255" t="b">
        <f>Consol!AF7</f>
        <v>1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190772.78183314399</v>
      </c>
      <c r="AA12" s="31">
        <f>Consol!AB36</f>
        <v>204209.42032212074</v>
      </c>
      <c r="AB12" s="31">
        <f>Consol!AC36</f>
        <v>217283.04494827098</v>
      </c>
      <c r="AC12" s="31">
        <f>Consol!AD36</f>
        <v>229955.36015052671</v>
      </c>
      <c r="AD12" s="31">
        <f>Consol!AE36</f>
        <v>242189.29554169494</v>
      </c>
      <c r="AE12" s="31">
        <f>Consol!AF36</f>
        <v>253949.28997243042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187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187</v>
      </c>
      <c r="D28" s="253" t="str">
        <f>A28&amp;B28</f>
        <v>Option 2NPV</v>
      </c>
      <c r="E28" s="254"/>
      <c r="F28" s="31">
        <f>SUMPRODUCT($H28:$AG28, $H$5:$AG$5)</f>
        <v>1509370.8399215122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0</v>
      </c>
      <c r="M28" s="31">
        <f>(INDEX(Option2!M$106:M$117, MATCH($D28, Option2!$G$106:$G$117,0)))*conv_2026*M$7</f>
        <v>0</v>
      </c>
      <c r="N28" s="31">
        <f>(INDEX(Option2!N$106:N$117, MATCH($D28, Option2!$G$106:$G$117,0)))*conv_2026*N$7</f>
        <v>166956.96527083102</v>
      </c>
      <c r="O28" s="31">
        <f>(INDEX(Option2!O$106:O$117, MATCH($D28, Option2!$G$106:$G$117,0)))*conv_2026*O$7</f>
        <v>13760.955209121033</v>
      </c>
      <c r="P28" s="31">
        <f>(INDEX(Option2!P$106:P$117, MATCH($D28, Option2!$G$106:$G$117,0)))*conv_2026*P$7</f>
        <v>29306.534286651739</v>
      </c>
      <c r="Q28" s="31">
        <f>(INDEX(Option2!Q$106:Q$117, MATCH($D28, Option2!$G$106:$G$117,0)))*conv_2026*Q$7</f>
        <v>44493.52579490318</v>
      </c>
      <c r="R28" s="31">
        <f>(INDEX(Option2!R$106:R$117, MATCH($D28, Option2!$G$106:$G$117,0)))*conv_2026*R$7</f>
        <v>59559.528942673831</v>
      </c>
      <c r="S28" s="31">
        <f>(INDEX(Option2!S$106:S$117, MATCH($D28, Option2!$G$106:$G$117,0)))*conv_2026*S$7</f>
        <v>74983.426337355268</v>
      </c>
      <c r="T28" s="31">
        <f>(INDEX(Option2!T$106:T$117, MATCH($D28, Option2!$G$106:$G$117,0)))*conv_2026*T$7</f>
        <v>89892.93094893785</v>
      </c>
      <c r="U28" s="31">
        <f>(INDEX(Option2!U$106:U$117, MATCH($D28, Option2!$G$106:$G$117,0)))*conv_2026*U$7</f>
        <v>104755.80631149812</v>
      </c>
      <c r="V28" s="31">
        <f>(INDEX(Option2!V$106:V$117, MATCH($D28, Option2!$G$106:$G$117,0)))*conv_2026*V$7</f>
        <v>119534.03305917472</v>
      </c>
      <c r="W28" s="31">
        <f>(INDEX(Option2!W$106:W$117, MATCH($D28, Option2!$G$106:$G$117,0)))*conv_2026*W$7</f>
        <v>134188.65884615315</v>
      </c>
      <c r="X28" s="31">
        <f>(INDEX(Option2!X$106:X$117, MATCH($D28, Option2!$G$106:$G$117,0)))*conv_2026*X$7</f>
        <v>148680.0289199992</v>
      </c>
      <c r="Y28" s="31">
        <f>(INDEX(Option2!Y$106:Y$117, MATCH($D28, Option2!$G$106:$G$117,0)))*conv_2026*Y$7</f>
        <v>162968.03206911162</v>
      </c>
      <c r="Z28" s="31">
        <f>(INDEX(Option2!Z$106:Z$117, MATCH($D28, Option2!$G$106:$G$117,0)))*conv_2026*Z$7</f>
        <v>177012.36051946619</v>
      </c>
      <c r="AA28" s="31">
        <f>(INDEX(Option2!AA$106:AA$117, MATCH($D28, Option2!$G$106:$G$117,0)))*conv_2026*AA$7</f>
        <v>190772.78183314396</v>
      </c>
      <c r="AB28" s="31">
        <f>(INDEX(Option2!AB$106:AB$117, MATCH($D28, Option2!$G$106:$G$117,0)))*conv_2026*AB$7</f>
        <v>204209.42032212071</v>
      </c>
      <c r="AC28" s="31">
        <f>(INDEX(Option2!AC$106:AC$117, MATCH($D28, Option2!$G$106:$G$117,0)))*conv_2026*AC$7</f>
        <v>217283.04494827098</v>
      </c>
      <c r="AD28" s="31">
        <f>(INDEX(Option2!AD$106:AD$117, MATCH($D28, Option2!$G$106:$G$117,0)))*conv_2026*AD$7</f>
        <v>229955.36015052671</v>
      </c>
      <c r="AE28" s="31">
        <f>(INDEX(Option2!AE$106:AE$117, MATCH($D28, Option2!$G$106:$G$117,0)))*conv_2026*AE$7</f>
        <v>242189.29554169491</v>
      </c>
      <c r="AF28" s="31">
        <f>(INDEX(Option2!AF$106:AF$117, MATCH($D28, Option2!$G$106:$G$117,0)))*conv_2026*AF$7</f>
        <v>253949.28997243042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1276432.2678193389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0</v>
      </c>
      <c r="M30" s="31">
        <f>IF($B30=0,0, (INDEX(Option2!M$106:M$117, MATCH($D30, Option2!$G$106:$G$117,0)))*conv_2026*M$7)</f>
        <v>0</v>
      </c>
      <c r="N30" s="31">
        <f>IF($B30=0,0, (INDEX(Option2!N$106:N$117, MATCH($D30, Option2!$G$106:$G$117,0)))*conv_2026*N$7)</f>
        <v>162752.86491476742</v>
      </c>
      <c r="O30" s="31">
        <f>IF($B30=0,0, (INDEX(Option2!O$106:O$117, MATCH($D30, Option2!$G$106:$G$117,0)))*conv_2026*O$7)</f>
        <v>-7259.54657119699</v>
      </c>
      <c r="P30" s="31">
        <f>IF($B30=0,0, (INDEX(Option2!P$106:P$117, MATCH($D30, Option2!$G$106:$G$117,0)))*conv_2026*P$7)</f>
        <v>8286.032506333715</v>
      </c>
      <c r="Q30" s="31">
        <f>IF($B30=0,0, (INDEX(Option2!Q$106:Q$117, MATCH($D30, Option2!$G$106:$G$117,0)))*conv_2026*Q$7)</f>
        <v>23473.024014585157</v>
      </c>
      <c r="R30" s="31">
        <f>IF($B30=0,0, (INDEX(Option2!R$106:R$117, MATCH($D30, Option2!$G$106:$G$117,0)))*conv_2026*R$7)</f>
        <v>38539.027162355807</v>
      </c>
      <c r="S30" s="31">
        <f>IF($B30=0,0, (INDEX(Option2!S$106:S$117, MATCH($D30, Option2!$G$106:$G$117,0)))*conv_2026*S$7)</f>
        <v>53962.924557037237</v>
      </c>
      <c r="T30" s="31">
        <f>IF($B30=0,0, (INDEX(Option2!T$106:T$117, MATCH($D30, Option2!$G$106:$G$117,0)))*conv_2026*T$7)</f>
        <v>68872.429168619827</v>
      </c>
      <c r="U30" s="31">
        <f>IF($B30=0,0, (INDEX(Option2!U$106:U$117, MATCH($D30, Option2!$G$106:$G$117,0)))*conv_2026*U$7)</f>
        <v>83735.304531180096</v>
      </c>
      <c r="V30" s="31">
        <f>IF($B30=0,0, (INDEX(Option2!V$106:V$117, MATCH($D30, Option2!$G$106:$G$117,0)))*conv_2026*V$7)</f>
        <v>98513.531278856681</v>
      </c>
      <c r="W30" s="31">
        <f>IF($B30=0,0, (INDEX(Option2!W$106:W$117, MATCH($D30, Option2!$G$106:$G$117,0)))*conv_2026*W$7)</f>
        <v>113168.15706583514</v>
      </c>
      <c r="X30" s="31">
        <f>IF($B30=0,0, (INDEX(Option2!X$106:X$117, MATCH($D30, Option2!$G$106:$G$117,0)))*conv_2026*X$7)</f>
        <v>127659.52713968117</v>
      </c>
      <c r="Y30" s="31">
        <f>IF($B30=0,0, (INDEX(Option2!Y$106:Y$117, MATCH($D30, Option2!$G$106:$G$117,0)))*conv_2026*Y$7)</f>
        <v>141947.53028879358</v>
      </c>
      <c r="Z30" s="31">
        <f>IF($B30=0,0, (INDEX(Option2!Z$106:Z$117, MATCH($D30, Option2!$G$106:$G$117,0)))*conv_2026*Z$7)</f>
        <v>155991.85873914816</v>
      </c>
      <c r="AA30" s="31">
        <f>IF($B30=0,0, (INDEX(Option2!AA$106:AA$117, MATCH($D30, Option2!$G$106:$G$117,0)))*conv_2026*AA$7)</f>
        <v>169752.28005282592</v>
      </c>
      <c r="AB30" s="31">
        <f>IF($B30=0,0, (INDEX(Option2!AB$106:AB$117, MATCH($D30, Option2!$G$106:$G$117,0)))*conv_2026*AB$7)</f>
        <v>183188.91854180268</v>
      </c>
      <c r="AC30" s="31">
        <f>IF($B30=0,0, (INDEX(Option2!AC$106:AC$117, MATCH($D30, Option2!$G$106:$G$117,0)))*conv_2026*AC$7)</f>
        <v>196262.54316795294</v>
      </c>
      <c r="AD30" s="31">
        <f>IF($B30=0,0, (INDEX(Option2!AD$106:AD$117, MATCH($D30, Option2!$G$106:$G$117,0)))*conv_2026*AD$7)</f>
        <v>208934.85837020868</v>
      </c>
      <c r="AE30" s="31">
        <f>IF($B30=0,0, (INDEX(Option2!AE$106:AE$117, MATCH($D30, Option2!$G$106:$G$117,0)))*conv_2026*AE$7)</f>
        <v>221168.79376137687</v>
      </c>
      <c r="AF30" s="31">
        <f>IF($B30=0,0, (INDEX(Option2!AF$106:AF$117, MATCH($D30, Option2!$G$106:$G$117,0)))*conv_2026*AF$7)</f>
        <v>232928.78819211241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1742309.4120236859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0</v>
      </c>
      <c r="M31" s="31">
        <f>IF($B31=0,0, (INDEX(Option2!M$106:M$117, MATCH($D31, Option2!$G$106:$G$117,0)))*conv_2026*M$7)</f>
        <v>0</v>
      </c>
      <c r="N31" s="31">
        <f>IF($B31=0,0, (INDEX(Option2!N$106:N$117, MATCH($D31, Option2!$G$106:$G$117,0)))*conv_2026*N$7)</f>
        <v>171161.06562689465</v>
      </c>
      <c r="O31" s="31">
        <f>IF($B31=0,0, (INDEX(Option2!O$106:O$117, MATCH($D31, Option2!$G$106:$G$117,0)))*conv_2026*O$7)</f>
        <v>34781.456989439059</v>
      </c>
      <c r="P31" s="31">
        <f>IF($B31=0,0, (INDEX(Option2!P$106:P$117, MATCH($D31, Option2!$G$106:$G$117,0)))*conv_2026*P$7)</f>
        <v>50327.036066969769</v>
      </c>
      <c r="Q31" s="31">
        <f>IF($B31=0,0, (INDEX(Option2!Q$106:Q$117, MATCH($D31, Option2!$G$106:$G$117,0)))*conv_2026*Q$7)</f>
        <v>65514.027575221211</v>
      </c>
      <c r="R31" s="31">
        <f>IF($B31=0,0, (INDEX(Option2!R$106:R$117, MATCH($D31, Option2!$G$106:$G$117,0)))*conv_2026*R$7)</f>
        <v>80580.030722991869</v>
      </c>
      <c r="S31" s="31">
        <f>IF($B31=0,0, (INDEX(Option2!S$106:S$117, MATCH($D31, Option2!$G$106:$G$117,0)))*conv_2026*S$7)</f>
        <v>96003.928117673291</v>
      </c>
      <c r="T31" s="31">
        <f>IF($B31=0,0, (INDEX(Option2!T$106:T$117, MATCH($D31, Option2!$G$106:$G$117,0)))*conv_2026*T$7)</f>
        <v>110913.43272925589</v>
      </c>
      <c r="U31" s="31">
        <f>IF($B31=0,0, (INDEX(Option2!U$106:U$117, MATCH($D31, Option2!$G$106:$G$117,0)))*conv_2026*U$7)</f>
        <v>125776.30809181616</v>
      </c>
      <c r="V31" s="31">
        <f>IF($B31=0,0, (INDEX(Option2!V$106:V$117, MATCH($D31, Option2!$G$106:$G$117,0)))*conv_2026*V$7)</f>
        <v>140554.53483949273</v>
      </c>
      <c r="W31" s="31">
        <f>IF($B31=0,0, (INDEX(Option2!W$106:W$117, MATCH($D31, Option2!$G$106:$G$117,0)))*conv_2026*W$7)</f>
        <v>155209.16062647119</v>
      </c>
      <c r="X31" s="31">
        <f>IF($B31=0,0, (INDEX(Option2!X$106:X$117, MATCH($D31, Option2!$G$106:$G$117,0)))*conv_2026*X$7)</f>
        <v>169700.53070031723</v>
      </c>
      <c r="Y31" s="31">
        <f>IF($B31=0,0, (INDEX(Option2!Y$106:Y$117, MATCH($D31, Option2!$G$106:$G$117,0)))*conv_2026*Y$7)</f>
        <v>183988.53384942963</v>
      </c>
      <c r="Z31" s="31">
        <f>IF($B31=0,0, (INDEX(Option2!Z$106:Z$117, MATCH($D31, Option2!$G$106:$G$117,0)))*conv_2026*Z$7)</f>
        <v>198032.8622997842</v>
      </c>
      <c r="AA31" s="31">
        <f>IF($B31=0,0, (INDEX(Option2!AA$106:AA$117, MATCH($D31, Option2!$G$106:$G$117,0)))*conv_2026*AA$7)</f>
        <v>211793.28361346197</v>
      </c>
      <c r="AB31" s="31">
        <f>IF($B31=0,0, (INDEX(Option2!AB$106:AB$117, MATCH($D31, Option2!$G$106:$G$117,0)))*conv_2026*AB$7)</f>
        <v>225229.92210243872</v>
      </c>
      <c r="AC31" s="31">
        <f>IF($B31=0,0, (INDEX(Option2!AC$106:AC$117, MATCH($D31, Option2!$G$106:$G$117,0)))*conv_2026*AC$7)</f>
        <v>238303.54672858899</v>
      </c>
      <c r="AD31" s="31">
        <f>IF($B31=0,0, (INDEX(Option2!AD$106:AD$117, MATCH($D31, Option2!$G$106:$G$117,0)))*conv_2026*AD$7)</f>
        <v>250975.86193084475</v>
      </c>
      <c r="AE31" s="31">
        <f>IF($B31=0,0, (INDEX(Option2!AE$106:AE$117, MATCH($D31, Option2!$G$106:$G$117,0)))*conv_2026*AE$7)</f>
        <v>263209.79732201295</v>
      </c>
      <c r="AF31" s="31">
        <f>IF($B31=0,0, (INDEX(Option2!AF$106:AF$117, MATCH($D31, Option2!$G$106:$G$117,0)))*conv_2026*AF$7)</f>
        <v>274969.79175274848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1893246.496015837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0</v>
      </c>
      <c r="M32" s="31">
        <f>IF($B32=0,0, (INDEX(Option2!M$106:M$117, MATCH($D32, Option2!$G$106:$G$117,0)))*conv_2026*M$7)</f>
        <v>0</v>
      </c>
      <c r="N32" s="31">
        <f>IF($B32=0,0, (INDEX(Option2!N$106:N$117, MATCH($D32, Option2!$G$106:$G$117,0)))*conv_2026*N$7)</f>
        <v>187856.76215397773</v>
      </c>
      <c r="O32" s="31">
        <f>IF($B32=0,0, (INDEX(Option2!O$106:O$117, MATCH($D32, Option2!$G$106:$G$117,0)))*conv_2026*O$7)</f>
        <v>36157.552510351161</v>
      </c>
      <c r="P32" s="31">
        <f>IF($B32=0,0, (INDEX(Option2!P$106:P$117, MATCH($D32, Option2!$G$106:$G$117,0)))*conv_2026*P$7)</f>
        <v>53257.689495634935</v>
      </c>
      <c r="Q32" s="31">
        <f>IF($B32=0,0, (INDEX(Option2!Q$106:Q$117, MATCH($D32, Option2!$G$106:$G$117,0)))*conv_2026*Q$7)</f>
        <v>69963.380154711529</v>
      </c>
      <c r="R32" s="31">
        <f>IF($B32=0,0, (INDEX(Option2!R$106:R$117, MATCH($D32, Option2!$G$106:$G$117,0)))*conv_2026*R$7)</f>
        <v>86535.983617259248</v>
      </c>
      <c r="S32" s="31">
        <f>IF($B32=0,0, (INDEX(Option2!S$106:S$117, MATCH($D32, Option2!$G$106:$G$117,0)))*conv_2026*S$7)</f>
        <v>103502.27075140881</v>
      </c>
      <c r="T32" s="31">
        <f>IF($B32=0,0, (INDEX(Option2!T$106:T$117, MATCH($D32, Option2!$G$106:$G$117,0)))*conv_2026*T$7)</f>
        <v>119902.72582414967</v>
      </c>
      <c r="U32" s="31">
        <f>IF($B32=0,0, (INDEX(Option2!U$106:U$117, MATCH($D32, Option2!$G$106:$G$117,0)))*conv_2026*U$7)</f>
        <v>136251.88872296596</v>
      </c>
      <c r="V32" s="31">
        <f>IF($B32=0,0, (INDEX(Option2!V$106:V$117, MATCH($D32, Option2!$G$106:$G$117,0)))*conv_2026*V$7)</f>
        <v>152507.93814541021</v>
      </c>
      <c r="W32" s="31">
        <f>IF($B32=0,0, (INDEX(Option2!W$106:W$117, MATCH($D32, Option2!$G$106:$G$117,0)))*conv_2026*W$7)</f>
        <v>168628.0265110865</v>
      </c>
      <c r="X32" s="31">
        <f>IF($B32=0,0, (INDEX(Option2!X$106:X$117, MATCH($D32, Option2!$G$106:$G$117,0)))*conv_2026*X$7)</f>
        <v>184568.53359231717</v>
      </c>
      <c r="Y32" s="31">
        <f>IF($B32=0,0, (INDEX(Option2!Y$106:Y$117, MATCH($D32, Option2!$G$106:$G$117,0)))*conv_2026*Y$7)</f>
        <v>200285.3370563408</v>
      </c>
      <c r="Z32" s="31">
        <f>IF($B32=0,0, (INDEX(Option2!Z$106:Z$117, MATCH($D32, Option2!$G$106:$G$117,0)))*conv_2026*Z$7)</f>
        <v>215734.09835173082</v>
      </c>
      <c r="AA32" s="31">
        <f>IF($B32=0,0, (INDEX(Option2!AA$106:AA$117, MATCH($D32, Option2!$G$106:$G$117,0)))*conv_2026*AA$7)</f>
        <v>230870.56179677637</v>
      </c>
      <c r="AB32" s="31">
        <f>IF($B32=0,0, (INDEX(Option2!AB$106:AB$117, MATCH($D32, Option2!$G$106:$G$117,0)))*conv_2026*AB$7)</f>
        <v>245650.86413465079</v>
      </c>
      <c r="AC32" s="31">
        <f>IF($B32=0,0, (INDEX(Option2!AC$106:AC$117, MATCH($D32, Option2!$G$106:$G$117,0)))*conv_2026*AC$7)</f>
        <v>260031.8512234161</v>
      </c>
      <c r="AD32" s="31">
        <f>IF($B32=0,0, (INDEX(Option2!AD$106:AD$117, MATCH($D32, Option2!$G$106:$G$117,0)))*conv_2026*AD$7)</f>
        <v>273971.39794589742</v>
      </c>
      <c r="AE32" s="31">
        <f>IF($B32=0,0, (INDEX(Option2!AE$106:AE$117, MATCH($D32, Option2!$G$106:$G$117,0)))*conv_2026*AE$7)</f>
        <v>287428.72687618242</v>
      </c>
      <c r="AF32" s="31">
        <f>IF($B32=0,0, (INDEX(Option2!AF$106:AF$117, MATCH($D32, Option2!$G$106:$G$117,0)))*conv_2026*AF$7)</f>
        <v>300364.72074999148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1125495.1838271874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0</v>
      </c>
      <c r="M33" s="31">
        <f>IF($B33=0,0, (INDEX(Option2!M$106:M$117, MATCH($D33, Option2!$G$106:$G$117,0)))*conv_2026*M$7)</f>
        <v>0</v>
      </c>
      <c r="N33" s="31">
        <f>IF($B33=0,0, (INDEX(Option2!N$106:N$117, MATCH($D33, Option2!$G$106:$G$117,0)))*conv_2026*N$7)</f>
        <v>146057.16838768433</v>
      </c>
      <c r="O33" s="31">
        <f>IF($B33=0,0, (INDEX(Option2!O$106:O$117, MATCH($D33, Option2!$G$106:$G$117,0)))*conv_2026*O$7)</f>
        <v>-8635.6420921090976</v>
      </c>
      <c r="P33" s="31">
        <f>IF($B33=0,0, (INDEX(Option2!P$106:P$117, MATCH($D33, Option2!$G$106:$G$117,0)))*conv_2026*P$7)</f>
        <v>5355.3790776685391</v>
      </c>
      <c r="Q33" s="31">
        <f>IF($B33=0,0, (INDEX(Option2!Q$106:Q$117, MATCH($D33, Option2!$G$106:$G$117,0)))*conv_2026*Q$7)</f>
        <v>19023.671435094835</v>
      </c>
      <c r="R33" s="31">
        <f>IF($B33=0,0, (INDEX(Option2!R$106:R$117, MATCH($D33, Option2!$G$106:$G$117,0)))*conv_2026*R$7)</f>
        <v>32583.074268088425</v>
      </c>
      <c r="S33" s="31">
        <f>IF($B33=0,0, (INDEX(Option2!S$106:S$117, MATCH($D33, Option2!$G$106:$G$117,0)))*conv_2026*S$7)</f>
        <v>46464.581923301717</v>
      </c>
      <c r="T33" s="31">
        <f>IF($B33=0,0, (INDEX(Option2!T$106:T$117, MATCH($D33, Option2!$G$106:$G$117,0)))*conv_2026*T$7)</f>
        <v>59883.13607372604</v>
      </c>
      <c r="U33" s="31">
        <f>IF($B33=0,0, (INDEX(Option2!U$106:U$117, MATCH($D33, Option2!$G$106:$G$117,0)))*conv_2026*U$7)</f>
        <v>73259.72390003028</v>
      </c>
      <c r="V33" s="31">
        <f>IF($B33=0,0, (INDEX(Option2!V$106:V$117, MATCH($D33, Option2!$G$106:$G$117,0)))*conv_2026*V$7)</f>
        <v>86560.127972939226</v>
      </c>
      <c r="W33" s="31">
        <f>IF($B33=0,0, (INDEX(Option2!W$106:W$117, MATCH($D33, Option2!$G$106:$G$117,0)))*conv_2026*W$7)</f>
        <v>99749.291181219829</v>
      </c>
      <c r="X33" s="31">
        <f>IF($B33=0,0, (INDEX(Option2!X$106:X$117, MATCH($D33, Option2!$G$106:$G$117,0)))*conv_2026*X$7)</f>
        <v>112791.52424768126</v>
      </c>
      <c r="Y33" s="31">
        <f>IF($B33=0,0, (INDEX(Option2!Y$106:Y$117, MATCH($D33, Option2!$G$106:$G$117,0)))*conv_2026*Y$7)</f>
        <v>125650.72708188243</v>
      </c>
      <c r="Z33" s="31">
        <f>IF($B33=0,0, (INDEX(Option2!Z$106:Z$117, MATCH($D33, Option2!$G$106:$G$117,0)))*conv_2026*Z$7)</f>
        <v>138290.62268720154</v>
      </c>
      <c r="AA33" s="31">
        <f>IF($B33=0,0, (INDEX(Option2!AA$106:AA$117, MATCH($D33, Option2!$G$106:$G$117,0)))*conv_2026*AA$7)</f>
        <v>150675.00186951153</v>
      </c>
      <c r="AB33" s="31">
        <f>IF($B33=0,0, (INDEX(Option2!AB$106:AB$117, MATCH($D33, Option2!$G$106:$G$117,0)))*conv_2026*AB$7)</f>
        <v>162767.9765095906</v>
      </c>
      <c r="AC33" s="31">
        <f>IF($B33=0,0, (INDEX(Option2!AC$106:AC$117, MATCH($D33, Option2!$G$106:$G$117,0)))*conv_2026*AC$7)</f>
        <v>174534.23867312586</v>
      </c>
      <c r="AD33" s="31">
        <f>IF($B33=0,0, (INDEX(Option2!AD$106:AD$117, MATCH($D33, Option2!$G$106:$G$117,0)))*conv_2026*AD$7)</f>
        <v>185939.32235515601</v>
      </c>
      <c r="AE33" s="31">
        <f>IF($B33=0,0, (INDEX(Option2!AE$106:AE$117, MATCH($D33, Option2!$G$106:$G$117,0)))*conv_2026*AE$7)</f>
        <v>196949.86420720737</v>
      </c>
      <c r="AF33" s="31">
        <f>IF($B33=0,0, (INDEX(Option2!AF$106:AF$117, MATCH($D33, Option2!$G$106:$G$117,0)))*conv_2026*AF$7)</f>
        <v>207533.85919486935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892556.61172501405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0</v>
      </c>
      <c r="M34" s="31">
        <f>IF($B34=0,0, (INDEX(Option2!M$106:M$117, MATCH($D34, Option2!$G$106:$G$117,0)))*conv_2026*M$7)</f>
        <v>0</v>
      </c>
      <c r="N34" s="31">
        <f>IF($B34=0,0, (INDEX(Option2!N$106:N$117, MATCH($D34, Option2!$G$106:$G$117,0)))*conv_2026*N$7)</f>
        <v>141853.06803162073</v>
      </c>
      <c r="O34" s="31">
        <f>IF($B34=0,0, (INDEX(Option2!O$106:O$117, MATCH($D34, Option2!$G$106:$G$117,0)))*conv_2026*O$7)</f>
        <v>-29656.143872427121</v>
      </c>
      <c r="P34" s="31">
        <f>IF($B34=0,0, (INDEX(Option2!P$106:P$117, MATCH($D34, Option2!$G$106:$G$117,0)))*conv_2026*P$7)</f>
        <v>-15665.122702649485</v>
      </c>
      <c r="Q34" s="31">
        <f>IF($B34=0,0, (INDEX(Option2!Q$106:Q$117, MATCH($D34, Option2!$G$106:$G$117,0)))*conv_2026*Q$7)</f>
        <v>-1996.8303452231933</v>
      </c>
      <c r="R34" s="31">
        <f>IF($B34=0,0, (INDEX(Option2!R$106:R$117, MATCH($D34, Option2!$G$106:$G$117,0)))*conv_2026*R$7)</f>
        <v>11562.572487770398</v>
      </c>
      <c r="S34" s="31">
        <f>IF($B34=0,0, (INDEX(Option2!S$106:S$117, MATCH($D34, Option2!$G$106:$G$117,0)))*conv_2026*S$7)</f>
        <v>25444.080142983687</v>
      </c>
      <c r="T34" s="31">
        <f>IF($B34=0,0, (INDEX(Option2!T$106:T$117, MATCH($D34, Option2!$G$106:$G$117,0)))*conv_2026*T$7)</f>
        <v>38862.634293408017</v>
      </c>
      <c r="U34" s="31">
        <f>IF($B34=0,0, (INDEX(Option2!U$106:U$117, MATCH($D34, Option2!$G$106:$G$117,0)))*conv_2026*U$7)</f>
        <v>52239.222119712256</v>
      </c>
      <c r="V34" s="31">
        <f>IF($B34=0,0, (INDEX(Option2!V$106:V$117, MATCH($D34, Option2!$G$106:$G$117,0)))*conv_2026*V$7)</f>
        <v>65539.626192621188</v>
      </c>
      <c r="W34" s="31">
        <f>IF($B34=0,0, (INDEX(Option2!W$106:W$117, MATCH($D34, Option2!$G$106:$G$117,0)))*conv_2026*W$7)</f>
        <v>78728.789400901791</v>
      </c>
      <c r="X34" s="31">
        <f>IF($B34=0,0, (INDEX(Option2!X$106:X$117, MATCH($D34, Option2!$G$106:$G$117,0)))*conv_2026*X$7)</f>
        <v>91771.022467363233</v>
      </c>
      <c r="Y34" s="31">
        <f>IF($B34=0,0, (INDEX(Option2!Y$106:Y$117, MATCH($D34, Option2!$G$106:$G$117,0)))*conv_2026*Y$7)</f>
        <v>104630.22530156441</v>
      </c>
      <c r="Z34" s="31">
        <f>IF($B34=0,0, (INDEX(Option2!Z$106:Z$117, MATCH($D34, Option2!$G$106:$G$117,0)))*conv_2026*Z$7)</f>
        <v>117270.12090688352</v>
      </c>
      <c r="AA34" s="31">
        <f>IF($B34=0,0, (INDEX(Option2!AA$106:AA$117, MATCH($D34, Option2!$G$106:$G$117,0)))*conv_2026*AA$7)</f>
        <v>129654.50008919352</v>
      </c>
      <c r="AB34" s="31">
        <f>IF($B34=0,0, (INDEX(Option2!AB$106:AB$117, MATCH($D34, Option2!$G$106:$G$117,0)))*conv_2026*AB$7)</f>
        <v>141747.4747292726</v>
      </c>
      <c r="AC34" s="31">
        <f>IF($B34=0,0, (INDEX(Option2!AC$106:AC$117, MATCH($D34, Option2!$G$106:$G$117,0)))*conv_2026*AC$7)</f>
        <v>153513.73689280782</v>
      </c>
      <c r="AD34" s="31">
        <f>IF($B34=0,0, (INDEX(Option2!AD$106:AD$117, MATCH($D34, Option2!$G$106:$G$117,0)))*conv_2026*AD$7)</f>
        <v>164918.82057483797</v>
      </c>
      <c r="AE34" s="31">
        <f>IF($B34=0,0, (INDEX(Option2!AE$106:AE$117, MATCH($D34, Option2!$G$106:$G$117,0)))*conv_2026*AE$7)</f>
        <v>175929.36242688936</v>
      </c>
      <c r="AF34" s="31">
        <f>IF($B34=0,0, (INDEX(Option2!AF$106:AF$117, MATCH($D34, Option2!$G$106:$G$117,0)))*conv_2026*AF$7)</f>
        <v>186513.35741455134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1509370.8399215122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0</v>
      </c>
      <c r="M35" s="31">
        <f>IF($B35=0,0, (INDEX(Option2!M$106:M$117, MATCH($D35, Option2!$G$106:$G$117,0)))*conv_2026*M$7)</f>
        <v>0</v>
      </c>
      <c r="N35" s="31">
        <f>IF($B35=0,0, (INDEX(Option2!N$106:N$117, MATCH($D35, Option2!$G$106:$G$117,0)))*conv_2026*N$7)</f>
        <v>166956.96527083102</v>
      </c>
      <c r="O35" s="31">
        <f>IF($B35=0,0, (INDEX(Option2!O$106:O$117, MATCH($D35, Option2!$G$106:$G$117,0)))*conv_2026*O$7)</f>
        <v>13760.955209121033</v>
      </c>
      <c r="P35" s="31">
        <f>IF($B35=0,0, (INDEX(Option2!P$106:P$117, MATCH($D35, Option2!$G$106:$G$117,0)))*conv_2026*P$7)</f>
        <v>29306.534286651739</v>
      </c>
      <c r="Q35" s="31">
        <f>IF($B35=0,0, (INDEX(Option2!Q$106:Q$117, MATCH($D35, Option2!$G$106:$G$117,0)))*conv_2026*Q$7)</f>
        <v>44493.52579490318</v>
      </c>
      <c r="R35" s="31">
        <f>IF($B35=0,0, (INDEX(Option2!R$106:R$117, MATCH($D35, Option2!$G$106:$G$117,0)))*conv_2026*R$7)</f>
        <v>59559.528942673831</v>
      </c>
      <c r="S35" s="31">
        <f>IF($B35=0,0, (INDEX(Option2!S$106:S$117, MATCH($D35, Option2!$G$106:$G$117,0)))*conv_2026*S$7)</f>
        <v>74983.426337355268</v>
      </c>
      <c r="T35" s="31">
        <f>IF($B35=0,0, (INDEX(Option2!T$106:T$117, MATCH($D35, Option2!$G$106:$G$117,0)))*conv_2026*T$7)</f>
        <v>89892.93094893785</v>
      </c>
      <c r="U35" s="31">
        <f>IF($B35=0,0, (INDEX(Option2!U$106:U$117, MATCH($D35, Option2!$G$106:$G$117,0)))*conv_2026*U$7)</f>
        <v>104755.80631149812</v>
      </c>
      <c r="V35" s="31">
        <f>IF($B35=0,0, (INDEX(Option2!V$106:V$117, MATCH($D35, Option2!$G$106:$G$117,0)))*conv_2026*V$7)</f>
        <v>119534.03305917472</v>
      </c>
      <c r="W35" s="31">
        <f>IF($B35=0,0, (INDEX(Option2!W$106:W$117, MATCH($D35, Option2!$G$106:$G$117,0)))*conv_2026*W$7)</f>
        <v>134188.65884615315</v>
      </c>
      <c r="X35" s="31">
        <f>IF($B35=0,0, (INDEX(Option2!X$106:X$117, MATCH($D35, Option2!$G$106:$G$117,0)))*conv_2026*X$7)</f>
        <v>148680.0289199992</v>
      </c>
      <c r="Y35" s="31">
        <f>IF($B35=0,0, (INDEX(Option2!Y$106:Y$117, MATCH($D35, Option2!$G$106:$G$117,0)))*conv_2026*Y$7)</f>
        <v>162968.03206911162</v>
      </c>
      <c r="Z35" s="31">
        <f>IF($B35=0,0, (INDEX(Option2!Z$106:Z$117, MATCH($D35, Option2!$G$106:$G$117,0)))*conv_2026*Z$7)</f>
        <v>177012.36051946619</v>
      </c>
      <c r="AA35" s="31">
        <f>IF($B35=0,0, (INDEX(Option2!AA$106:AA$117, MATCH($D35, Option2!$G$106:$G$117,0)))*conv_2026*AA$7)</f>
        <v>190772.78183314396</v>
      </c>
      <c r="AB35" s="31">
        <f>IF($B35=0,0, (INDEX(Option2!AB$106:AB$117, MATCH($D35, Option2!$G$106:$G$117,0)))*conv_2026*AB$7)</f>
        <v>204209.42032212071</v>
      </c>
      <c r="AC35" s="31">
        <f>IF($B35=0,0, (INDEX(Option2!AC$106:AC$117, MATCH($D35, Option2!$G$106:$G$117,0)))*conv_2026*AC$7)</f>
        <v>217283.04494827098</v>
      </c>
      <c r="AD35" s="31">
        <f>IF($B35=0,0, (INDEX(Option2!AD$106:AD$117, MATCH($D35, Option2!$G$106:$G$117,0)))*conv_2026*AD$7)</f>
        <v>229955.36015052671</v>
      </c>
      <c r="AE35" s="31">
        <f>IF($B35=0,0, (INDEX(Option2!AE$106:AE$117, MATCH($D35, Option2!$G$106:$G$117,0)))*conv_2026*AE$7)</f>
        <v>242189.29554169491</v>
      </c>
      <c r="AF35" s="31">
        <f>IF($B35=0,0, (INDEX(Option2!AF$106:AF$117, MATCH($D35, Option2!$G$106:$G$117,0)))*conv_2026*AF$7)</f>
        <v>253949.28997243042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1509370.8399215122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0</v>
      </c>
      <c r="M36" s="31">
        <f>IF($B36=0,0, (INDEX(Option2!M$106:M$117, MATCH($D36, Option2!$G$106:$G$117,0)))*conv_2026*M$7)</f>
        <v>0</v>
      </c>
      <c r="N36" s="31">
        <f>IF($B36=0,0, (INDEX(Option2!N$106:N$117, MATCH($D36, Option2!$G$106:$G$117,0)))*conv_2026*N$7)</f>
        <v>166956.96527083102</v>
      </c>
      <c r="O36" s="31">
        <f>IF($B36=0,0, (INDEX(Option2!O$106:O$117, MATCH($D36, Option2!$G$106:$G$117,0)))*conv_2026*O$7)</f>
        <v>13760.955209121033</v>
      </c>
      <c r="P36" s="31">
        <f>IF($B36=0,0, (INDEX(Option2!P$106:P$117, MATCH($D36, Option2!$G$106:$G$117,0)))*conv_2026*P$7)</f>
        <v>29306.534286651739</v>
      </c>
      <c r="Q36" s="31">
        <f>IF($B36=0,0, (INDEX(Option2!Q$106:Q$117, MATCH($D36, Option2!$G$106:$G$117,0)))*conv_2026*Q$7)</f>
        <v>44493.52579490318</v>
      </c>
      <c r="R36" s="31">
        <f>IF($B36=0,0, (INDEX(Option2!R$106:R$117, MATCH($D36, Option2!$G$106:$G$117,0)))*conv_2026*R$7)</f>
        <v>59559.528942673831</v>
      </c>
      <c r="S36" s="31">
        <f>IF($B36=0,0, (INDEX(Option2!S$106:S$117, MATCH($D36, Option2!$G$106:$G$117,0)))*conv_2026*S$7)</f>
        <v>74983.426337355268</v>
      </c>
      <c r="T36" s="31">
        <f>IF($B36=0,0, (INDEX(Option2!T$106:T$117, MATCH($D36, Option2!$G$106:$G$117,0)))*conv_2026*T$7)</f>
        <v>89892.93094893785</v>
      </c>
      <c r="U36" s="31">
        <f>IF($B36=0,0, (INDEX(Option2!U$106:U$117, MATCH($D36, Option2!$G$106:$G$117,0)))*conv_2026*U$7)</f>
        <v>104755.80631149812</v>
      </c>
      <c r="V36" s="31">
        <f>IF($B36=0,0, (INDEX(Option2!V$106:V$117, MATCH($D36, Option2!$G$106:$G$117,0)))*conv_2026*V$7)</f>
        <v>119534.03305917472</v>
      </c>
      <c r="W36" s="31">
        <f>IF($B36=0,0, (INDEX(Option2!W$106:W$117, MATCH($D36, Option2!$G$106:$G$117,0)))*conv_2026*W$7)</f>
        <v>134188.65884615315</v>
      </c>
      <c r="X36" s="31">
        <f>IF($B36=0,0, (INDEX(Option2!X$106:X$117, MATCH($D36, Option2!$G$106:$G$117,0)))*conv_2026*X$7)</f>
        <v>148680.0289199992</v>
      </c>
      <c r="Y36" s="31">
        <f>IF($B36=0,0, (INDEX(Option2!Y$106:Y$117, MATCH($D36, Option2!$G$106:$G$117,0)))*conv_2026*Y$7)</f>
        <v>162968.03206911162</v>
      </c>
      <c r="Z36" s="31">
        <f>IF($B36=0,0, (INDEX(Option2!Z$106:Z$117, MATCH($D36, Option2!$G$106:$G$117,0)))*conv_2026*Z$7)</f>
        <v>177012.36051946619</v>
      </c>
      <c r="AA36" s="31">
        <f>IF($B36=0,0, (INDEX(Option2!AA$106:AA$117, MATCH($D36, Option2!$G$106:$G$117,0)))*conv_2026*AA$7)</f>
        <v>190772.78183314396</v>
      </c>
      <c r="AB36" s="31">
        <f>IF($B36=0,0, (INDEX(Option2!AB$106:AB$117, MATCH($D36, Option2!$G$106:$G$117,0)))*conv_2026*AB$7)</f>
        <v>204209.42032212071</v>
      </c>
      <c r="AC36" s="31">
        <f>IF($B36=0,0, (INDEX(Option2!AC$106:AC$117, MATCH($D36, Option2!$G$106:$G$117,0)))*conv_2026*AC$7)</f>
        <v>217283.04494827098</v>
      </c>
      <c r="AD36" s="31">
        <f>IF($B36=0,0, (INDEX(Option2!AD$106:AD$117, MATCH($D36, Option2!$G$106:$G$117,0)))*conv_2026*AD$7)</f>
        <v>229955.36015052671</v>
      </c>
      <c r="AE36" s="31">
        <f>IF($B36=0,0, (INDEX(Option2!AE$106:AE$117, MATCH($D36, Option2!$G$106:$G$117,0)))*conv_2026*AE$7)</f>
        <v>242189.29554169491</v>
      </c>
      <c r="AF36" s="31">
        <f>IF($B36=0,0, (INDEX(Option2!AF$106:AF$117, MATCH($D36, Option2!$G$106:$G$117,0)))*conv_2026*AF$7)</f>
        <v>253949.28997243042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1509370.8399215122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0</v>
      </c>
      <c r="M37" s="31">
        <f>IF($B37=0,0, (INDEX(Option2!M$106:M$117, MATCH($D37, Option2!$G$106:$G$117,0)))*conv_2026*M$7)</f>
        <v>0</v>
      </c>
      <c r="N37" s="31">
        <f>IF($B37=0,0, (INDEX(Option2!N$106:N$117, MATCH($D37, Option2!$G$106:$G$117,0)))*conv_2026*N$7)</f>
        <v>166956.96527083102</v>
      </c>
      <c r="O37" s="31">
        <f>IF($B37=0,0, (INDEX(Option2!O$106:O$117, MATCH($D37, Option2!$G$106:$G$117,0)))*conv_2026*O$7)</f>
        <v>13760.955209121033</v>
      </c>
      <c r="P37" s="31">
        <f>IF($B37=0,0, (INDEX(Option2!P$106:P$117, MATCH($D37, Option2!$G$106:$G$117,0)))*conv_2026*P$7)</f>
        <v>29306.534286651739</v>
      </c>
      <c r="Q37" s="31">
        <f>IF($B37=0,0, (INDEX(Option2!Q$106:Q$117, MATCH($D37, Option2!$G$106:$G$117,0)))*conv_2026*Q$7)</f>
        <v>44493.52579490318</v>
      </c>
      <c r="R37" s="31">
        <f>IF($B37=0,0, (INDEX(Option2!R$106:R$117, MATCH($D37, Option2!$G$106:$G$117,0)))*conv_2026*R$7)</f>
        <v>59559.528942673831</v>
      </c>
      <c r="S37" s="31">
        <f>IF($B37=0,0, (INDEX(Option2!S$106:S$117, MATCH($D37, Option2!$G$106:$G$117,0)))*conv_2026*S$7)</f>
        <v>74983.426337355268</v>
      </c>
      <c r="T37" s="31">
        <f>IF($B37=0,0, (INDEX(Option2!T$106:T$117, MATCH($D37, Option2!$G$106:$G$117,0)))*conv_2026*T$7)</f>
        <v>89892.93094893785</v>
      </c>
      <c r="U37" s="31">
        <f>IF($B37=0,0, (INDEX(Option2!U$106:U$117, MATCH($D37, Option2!$G$106:$G$117,0)))*conv_2026*U$7)</f>
        <v>104755.80631149812</v>
      </c>
      <c r="V37" s="31">
        <f>IF($B37=0,0, (INDEX(Option2!V$106:V$117, MATCH($D37, Option2!$G$106:$G$117,0)))*conv_2026*V$7)</f>
        <v>119534.03305917472</v>
      </c>
      <c r="W37" s="31">
        <f>IF($B37=0,0, (INDEX(Option2!W$106:W$117, MATCH($D37, Option2!$G$106:$G$117,0)))*conv_2026*W$7)</f>
        <v>134188.65884615315</v>
      </c>
      <c r="X37" s="31">
        <f>IF($B37=0,0, (INDEX(Option2!X$106:X$117, MATCH($D37, Option2!$G$106:$G$117,0)))*conv_2026*X$7)</f>
        <v>148680.0289199992</v>
      </c>
      <c r="Y37" s="31">
        <f>IF($B37=0,0, (INDEX(Option2!Y$106:Y$117, MATCH($D37, Option2!$G$106:$G$117,0)))*conv_2026*Y$7)</f>
        <v>162968.03206911162</v>
      </c>
      <c r="Z37" s="31">
        <f>IF($B37=0,0, (INDEX(Option2!Z$106:Z$117, MATCH($D37, Option2!$G$106:$G$117,0)))*conv_2026*Z$7)</f>
        <v>177012.36051946619</v>
      </c>
      <c r="AA37" s="31">
        <f>IF($B37=0,0, (INDEX(Option2!AA$106:AA$117, MATCH($D37, Option2!$G$106:$G$117,0)))*conv_2026*AA$7)</f>
        <v>190772.78183314396</v>
      </c>
      <c r="AB37" s="31">
        <f>IF($B37=0,0, (INDEX(Option2!AB$106:AB$117, MATCH($D37, Option2!$G$106:$G$117,0)))*conv_2026*AB$7)</f>
        <v>204209.42032212071</v>
      </c>
      <c r="AC37" s="31">
        <f>IF($B37=0,0, (INDEX(Option2!AC$106:AC$117, MATCH($D37, Option2!$G$106:$G$117,0)))*conv_2026*AC$7)</f>
        <v>217283.04494827098</v>
      </c>
      <c r="AD37" s="31">
        <f>IF($B37=0,0, (INDEX(Option2!AD$106:AD$117, MATCH($D37, Option2!$G$106:$G$117,0)))*conv_2026*AD$7)</f>
        <v>229955.36015052671</v>
      </c>
      <c r="AE37" s="31">
        <f>IF($B37=0,0, (INDEX(Option2!AE$106:AE$117, MATCH($D37, Option2!$G$106:$G$117,0)))*conv_2026*AE$7)</f>
        <v>242189.29554169491</v>
      </c>
      <c r="AF37" s="31">
        <f>IF($B37=0,0, (INDEX(Option2!AF$106:AF$117, MATCH($D37, Option2!$G$106:$G$117,0)))*conv_2026*AF$7)</f>
        <v>253949.28997243042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0</v>
      </c>
      <c r="N40" s="31">
        <f>Consol!N50</f>
        <v>0</v>
      </c>
      <c r="O40" s="31">
        <f>Consol!O50</f>
        <v>0</v>
      </c>
      <c r="P40" s="31">
        <f>Consol!P50</f>
        <v>0</v>
      </c>
      <c r="Q40" s="31">
        <f>Consol!Q50</f>
        <v>0</v>
      </c>
      <c r="R40" s="31">
        <f>Consol!R50</f>
        <v>0</v>
      </c>
      <c r="S40" s="31">
        <f>Consol!S50</f>
        <v>0</v>
      </c>
      <c r="T40" s="31">
        <f>Consol!T50</f>
        <v>0</v>
      </c>
      <c r="U40" s="31">
        <f>Consol!U50</f>
        <v>0</v>
      </c>
      <c r="V40" s="31">
        <f>Consol!V50</f>
        <v>0</v>
      </c>
      <c r="W40" s="31">
        <f>Consol!W50</f>
        <v>0</v>
      </c>
      <c r="X40" s="31">
        <f>Consol!X50</f>
        <v>0</v>
      </c>
      <c r="Y40" s="31">
        <f>Consol!Y50</f>
        <v>0</v>
      </c>
      <c r="Z40" s="31">
        <f>Consol!Z50</f>
        <v>0</v>
      </c>
      <c r="AA40" s="31">
        <f>Consol!AA50</f>
        <v>0</v>
      </c>
      <c r="AB40" s="31">
        <f>Consol!AB50</f>
        <v>0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187</v>
      </c>
      <c r="D42" s="253" t="str">
        <f>A42&amp;B42</f>
        <v>Option 3NPV</v>
      </c>
      <c r="E42" s="254"/>
      <c r="F42" s="31">
        <f t="shared" ref="F42:F51" si="4">SUMPRODUCT($H42:$AG42, $H$5:$AG$5)</f>
        <v>0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0</v>
      </c>
      <c r="N42" s="31">
        <f>(INDEX(Option3!N$106:N$117, MATCH($D42, Option3!$G$106:$G$117,0)))*conv_2026*N$7</f>
        <v>0</v>
      </c>
      <c r="O42" s="31">
        <f>(INDEX(Option3!O$106:O$117, MATCH($D42, Option3!$G$106:$G$117,0)))*conv_2026*O$7</f>
        <v>0</v>
      </c>
      <c r="P42" s="31">
        <f>(INDEX(Option3!P$106:P$117, MATCH($D42, Option3!$G$106:$G$117,0)))*conv_2026*P$7</f>
        <v>0</v>
      </c>
      <c r="Q42" s="31">
        <f>(INDEX(Option3!Q$106:Q$117, MATCH($D42, Option3!$G$106:$G$117,0)))*conv_2026*Q$7</f>
        <v>0</v>
      </c>
      <c r="R42" s="31">
        <f>(INDEX(Option3!R$106:R$117, MATCH($D42, Option3!$G$106:$G$117,0)))*conv_2026*R$7</f>
        <v>0</v>
      </c>
      <c r="S42" s="31">
        <f>(INDEX(Option3!S$106:S$117, MATCH($D42, Option3!$G$106:$G$117,0)))*conv_2026*S$7</f>
        <v>0</v>
      </c>
      <c r="T42" s="31">
        <f>(INDEX(Option3!T$106:T$117, MATCH($D42, Option3!$G$106:$G$117,0)))*conv_2026*T$7</f>
        <v>0</v>
      </c>
      <c r="U42" s="31">
        <f>(INDEX(Option3!U$106:U$117, MATCH($D42, Option3!$G$106:$G$117,0)))*conv_2026*U$7</f>
        <v>0</v>
      </c>
      <c r="V42" s="31">
        <f>(INDEX(Option3!V$106:V$117, MATCH($D42, Option3!$G$106:$G$117,0)))*conv_2026*V$7</f>
        <v>0</v>
      </c>
      <c r="W42" s="31">
        <f>(INDEX(Option3!W$106:W$117, MATCH($D42, Option3!$G$106:$G$117,0)))*conv_2026*W$7</f>
        <v>0</v>
      </c>
      <c r="X42" s="31">
        <f>(INDEX(Option3!X$106:X$117, MATCH($D42, Option3!$G$106:$G$117,0)))*conv_2026*X$7</f>
        <v>0</v>
      </c>
      <c r="Y42" s="31">
        <f>(INDEX(Option3!Y$106:Y$117, MATCH($D42, Option3!$G$106:$G$117,0)))*conv_2026*Y$7</f>
        <v>0</v>
      </c>
      <c r="Z42" s="31">
        <f>(INDEX(Option3!Z$106:Z$117, MATCH($D42, Option3!$G$106:$G$117,0)))*conv_2026*Z$7</f>
        <v>0</v>
      </c>
      <c r="AA42" s="31">
        <f>(INDEX(Option3!AA$106:AA$117, MATCH($D42, Option3!$G$106:$G$117,0)))*conv_2026*AA$7</f>
        <v>0</v>
      </c>
      <c r="AB42" s="31">
        <f>(INDEX(Option3!AB$106:AB$117, MATCH($D42, Option3!$G$106:$G$117,0)))*conv_2026*AB$7</f>
        <v>0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0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0</v>
      </c>
      <c r="N44" s="31">
        <f>(INDEX(Option3!N$106:N$117, MATCH($D44, Option3!$G$106:$G$117,0)))*conv_2026*N$7</f>
        <v>0</v>
      </c>
      <c r="O44" s="31">
        <f>(INDEX(Option3!O$106:O$117, MATCH($D44, Option3!$G$106:$G$117,0)))*conv_2026*O$7</f>
        <v>0</v>
      </c>
      <c r="P44" s="31">
        <f>(INDEX(Option3!P$106:P$117, MATCH($D44, Option3!$G$106:$G$117,0)))*conv_2026*P$7</f>
        <v>0</v>
      </c>
      <c r="Q44" s="31">
        <f>(INDEX(Option3!Q$106:Q$117, MATCH($D44, Option3!$G$106:$G$117,0)))*conv_2026*Q$7</f>
        <v>0</v>
      </c>
      <c r="R44" s="31">
        <f>(INDEX(Option3!R$106:R$117, MATCH($D44, Option3!$G$106:$G$117,0)))*conv_2026*R$7</f>
        <v>0</v>
      </c>
      <c r="S44" s="31">
        <f>(INDEX(Option3!S$106:S$117, MATCH($D44, Option3!$G$106:$G$117,0)))*conv_2026*S$7</f>
        <v>0</v>
      </c>
      <c r="T44" s="31">
        <f>(INDEX(Option3!T$106:T$117, MATCH($D44, Option3!$G$106:$G$117,0)))*conv_2026*T$7</f>
        <v>0</v>
      </c>
      <c r="U44" s="31">
        <f>(INDEX(Option3!U$106:U$117, MATCH($D44, Option3!$G$106:$G$117,0)))*conv_2026*U$7</f>
        <v>0</v>
      </c>
      <c r="V44" s="31">
        <f>(INDEX(Option3!V$106:V$117, MATCH($D44, Option3!$G$106:$G$117,0)))*conv_2026*V$7</f>
        <v>0</v>
      </c>
      <c r="W44" s="31">
        <f>(INDEX(Option3!W$106:W$117, MATCH($D44, Option3!$G$106:$G$117,0)))*conv_2026*W$7</f>
        <v>0</v>
      </c>
      <c r="X44" s="31">
        <f>(INDEX(Option3!X$106:X$117, MATCH($D44, Option3!$G$106:$G$117,0)))*conv_2026*X$7</f>
        <v>0</v>
      </c>
      <c r="Y44" s="31">
        <f>(INDEX(Option3!Y$106:Y$117, MATCH($D44, Option3!$G$106:$G$117,0)))*conv_2026*Y$7</f>
        <v>0</v>
      </c>
      <c r="Z44" s="31">
        <f>(INDEX(Option3!Z$106:Z$117, MATCH($D44, Option3!$G$106:$G$117,0)))*conv_2026*Z$7</f>
        <v>0</v>
      </c>
      <c r="AA44" s="31">
        <f>(INDEX(Option3!AA$106:AA$117, MATCH($D44, Option3!$G$106:$G$117,0)))*conv_2026*AA$7</f>
        <v>0</v>
      </c>
      <c r="AB44" s="31">
        <f>(INDEX(Option3!AB$106:AB$117, MATCH($D44, Option3!$G$106:$G$117,0)))*conv_2026*AB$7</f>
        <v>0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0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0</v>
      </c>
      <c r="N45" s="31">
        <f>(INDEX(Option3!N$106:N$117, MATCH($D45, Option3!$G$106:$G$117,0)))*conv_2026*N$7</f>
        <v>0</v>
      </c>
      <c r="O45" s="31">
        <f>(INDEX(Option3!O$106:O$117, MATCH($D45, Option3!$G$106:$G$117,0)))*conv_2026*O$7</f>
        <v>0</v>
      </c>
      <c r="P45" s="31">
        <f>(INDEX(Option3!P$106:P$117, MATCH($D45, Option3!$G$106:$G$117,0)))*conv_2026*P$7</f>
        <v>0</v>
      </c>
      <c r="Q45" s="31">
        <f>(INDEX(Option3!Q$106:Q$117, MATCH($D45, Option3!$G$106:$G$117,0)))*conv_2026*Q$7</f>
        <v>0</v>
      </c>
      <c r="R45" s="31">
        <f>(INDEX(Option3!R$106:R$117, MATCH($D45, Option3!$G$106:$G$117,0)))*conv_2026*R$7</f>
        <v>0</v>
      </c>
      <c r="S45" s="31">
        <f>(INDEX(Option3!S$106:S$117, MATCH($D45, Option3!$G$106:$G$117,0)))*conv_2026*S$7</f>
        <v>0</v>
      </c>
      <c r="T45" s="31">
        <f>(INDEX(Option3!T$106:T$117, MATCH($D45, Option3!$G$106:$G$117,0)))*conv_2026*T$7</f>
        <v>0</v>
      </c>
      <c r="U45" s="31">
        <f>(INDEX(Option3!U$106:U$117, MATCH($D45, Option3!$G$106:$G$117,0)))*conv_2026*U$7</f>
        <v>0</v>
      </c>
      <c r="V45" s="31">
        <f>(INDEX(Option3!V$106:V$117, MATCH($D45, Option3!$G$106:$G$117,0)))*conv_2026*V$7</f>
        <v>0</v>
      </c>
      <c r="W45" s="31">
        <f>(INDEX(Option3!W$106:W$117, MATCH($D45, Option3!$G$106:$G$117,0)))*conv_2026*W$7</f>
        <v>0</v>
      </c>
      <c r="X45" s="31">
        <f>(INDEX(Option3!X$106:X$117, MATCH($D45, Option3!$G$106:$G$117,0)))*conv_2026*X$7</f>
        <v>0</v>
      </c>
      <c r="Y45" s="31">
        <f>(INDEX(Option3!Y$106:Y$117, MATCH($D45, Option3!$G$106:$G$117,0)))*conv_2026*Y$7</f>
        <v>0</v>
      </c>
      <c r="Z45" s="31">
        <f>(INDEX(Option3!Z$106:Z$117, MATCH($D45, Option3!$G$106:$G$117,0)))*conv_2026*Z$7</f>
        <v>0</v>
      </c>
      <c r="AA45" s="31">
        <f>(INDEX(Option3!AA$106:AA$117, MATCH($D45, Option3!$G$106:$G$117,0)))*conv_2026*AA$7</f>
        <v>0</v>
      </c>
      <c r="AB45" s="31">
        <f>(INDEX(Option3!AB$106:AB$117, MATCH($D45, Option3!$G$106:$G$117,0)))*conv_2026*AB$7</f>
        <v>0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0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0</v>
      </c>
      <c r="N46" s="31">
        <f>(INDEX(Option3!N$106:N$117, MATCH($D46, Option3!$G$106:$G$117,0)))*conv_2026*N$7</f>
        <v>0</v>
      </c>
      <c r="O46" s="31">
        <f>(INDEX(Option3!O$106:O$117, MATCH($D46, Option3!$G$106:$G$117,0)))*conv_2026*O$7</f>
        <v>0</v>
      </c>
      <c r="P46" s="31">
        <f>(INDEX(Option3!P$106:P$117, MATCH($D46, Option3!$G$106:$G$117,0)))*conv_2026*P$7</f>
        <v>0</v>
      </c>
      <c r="Q46" s="31">
        <f>(INDEX(Option3!Q$106:Q$117, MATCH($D46, Option3!$G$106:$G$117,0)))*conv_2026*Q$7</f>
        <v>0</v>
      </c>
      <c r="R46" s="31">
        <f>(INDEX(Option3!R$106:R$117, MATCH($D46, Option3!$G$106:$G$117,0)))*conv_2026*R$7</f>
        <v>0</v>
      </c>
      <c r="S46" s="31">
        <f>(INDEX(Option3!S$106:S$117, MATCH($D46, Option3!$G$106:$G$117,0)))*conv_2026*S$7</f>
        <v>0</v>
      </c>
      <c r="T46" s="31">
        <f>(INDEX(Option3!T$106:T$117, MATCH($D46, Option3!$G$106:$G$117,0)))*conv_2026*T$7</f>
        <v>0</v>
      </c>
      <c r="U46" s="31">
        <f>(INDEX(Option3!U$106:U$117, MATCH($D46, Option3!$G$106:$G$117,0)))*conv_2026*U$7</f>
        <v>0</v>
      </c>
      <c r="V46" s="31">
        <f>(INDEX(Option3!V$106:V$117, MATCH($D46, Option3!$G$106:$G$117,0)))*conv_2026*V$7</f>
        <v>0</v>
      </c>
      <c r="W46" s="31">
        <f>(INDEX(Option3!W$106:W$117, MATCH($D46, Option3!$G$106:$G$117,0)))*conv_2026*W$7</f>
        <v>0</v>
      </c>
      <c r="X46" s="31">
        <f>(INDEX(Option3!X$106:X$117, MATCH($D46, Option3!$G$106:$G$117,0)))*conv_2026*X$7</f>
        <v>0</v>
      </c>
      <c r="Y46" s="31">
        <f>(INDEX(Option3!Y$106:Y$117, MATCH($D46, Option3!$G$106:$G$117,0)))*conv_2026*Y$7</f>
        <v>0</v>
      </c>
      <c r="Z46" s="31">
        <f>(INDEX(Option3!Z$106:Z$117, MATCH($D46, Option3!$G$106:$G$117,0)))*conv_2026*Z$7</f>
        <v>0</v>
      </c>
      <c r="AA46" s="31">
        <f>(INDEX(Option3!AA$106:AA$117, MATCH($D46, Option3!$G$106:$G$117,0)))*conv_2026*AA$7</f>
        <v>0</v>
      </c>
      <c r="AB46" s="31">
        <f>(INDEX(Option3!AB$106:AB$117, MATCH($D46, Option3!$G$106:$G$117,0)))*conv_2026*AB$7</f>
        <v>0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0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0</v>
      </c>
      <c r="N47" s="31">
        <f>(INDEX(Option3!N$106:N$117, MATCH($D47, Option3!$G$106:$G$117,0)))*conv_2026*N$7</f>
        <v>0</v>
      </c>
      <c r="O47" s="31">
        <f>(INDEX(Option3!O$106:O$117, MATCH($D47, Option3!$G$106:$G$117,0)))*conv_2026*O$7</f>
        <v>0</v>
      </c>
      <c r="P47" s="31">
        <f>(INDEX(Option3!P$106:P$117, MATCH($D47, Option3!$G$106:$G$117,0)))*conv_2026*P$7</f>
        <v>0</v>
      </c>
      <c r="Q47" s="31">
        <f>(INDEX(Option3!Q$106:Q$117, MATCH($D47, Option3!$G$106:$G$117,0)))*conv_2026*Q$7</f>
        <v>0</v>
      </c>
      <c r="R47" s="31">
        <f>(INDEX(Option3!R$106:R$117, MATCH($D47, Option3!$G$106:$G$117,0)))*conv_2026*R$7</f>
        <v>0</v>
      </c>
      <c r="S47" s="31">
        <f>(INDEX(Option3!S$106:S$117, MATCH($D47, Option3!$G$106:$G$117,0)))*conv_2026*S$7</f>
        <v>0</v>
      </c>
      <c r="T47" s="31">
        <f>(INDEX(Option3!T$106:T$117, MATCH($D47, Option3!$G$106:$G$117,0)))*conv_2026*T$7</f>
        <v>0</v>
      </c>
      <c r="U47" s="31">
        <f>(INDEX(Option3!U$106:U$117, MATCH($D47, Option3!$G$106:$G$117,0)))*conv_2026*U$7</f>
        <v>0</v>
      </c>
      <c r="V47" s="31">
        <f>(INDEX(Option3!V$106:V$117, MATCH($D47, Option3!$G$106:$G$117,0)))*conv_2026*V$7</f>
        <v>0</v>
      </c>
      <c r="W47" s="31">
        <f>(INDEX(Option3!W$106:W$117, MATCH($D47, Option3!$G$106:$G$117,0)))*conv_2026*W$7</f>
        <v>0</v>
      </c>
      <c r="X47" s="31">
        <f>(INDEX(Option3!X$106:X$117, MATCH($D47, Option3!$G$106:$G$117,0)))*conv_2026*X$7</f>
        <v>0</v>
      </c>
      <c r="Y47" s="31">
        <f>(INDEX(Option3!Y$106:Y$117, MATCH($D47, Option3!$G$106:$G$117,0)))*conv_2026*Y$7</f>
        <v>0</v>
      </c>
      <c r="Z47" s="31">
        <f>(INDEX(Option3!Z$106:Z$117, MATCH($D47, Option3!$G$106:$G$117,0)))*conv_2026*Z$7</f>
        <v>0</v>
      </c>
      <c r="AA47" s="31">
        <f>(INDEX(Option3!AA$106:AA$117, MATCH($D47, Option3!$G$106:$G$117,0)))*conv_2026*AA$7</f>
        <v>0</v>
      </c>
      <c r="AB47" s="31">
        <f>(INDEX(Option3!AB$106:AB$117, MATCH($D47, Option3!$G$106:$G$117,0)))*conv_2026*AB$7</f>
        <v>0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0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0</v>
      </c>
      <c r="N48" s="31">
        <f>(INDEX(Option3!N$106:N$117, MATCH($D48, Option3!$G$106:$G$117,0)))*conv_2026*N$7</f>
        <v>0</v>
      </c>
      <c r="O48" s="31">
        <f>(INDEX(Option3!O$106:O$117, MATCH($D48, Option3!$G$106:$G$117,0)))*conv_2026*O$7</f>
        <v>0</v>
      </c>
      <c r="P48" s="31">
        <f>(INDEX(Option3!P$106:P$117, MATCH($D48, Option3!$G$106:$G$117,0)))*conv_2026*P$7</f>
        <v>0</v>
      </c>
      <c r="Q48" s="31">
        <f>(INDEX(Option3!Q$106:Q$117, MATCH($D48, Option3!$G$106:$G$117,0)))*conv_2026*Q$7</f>
        <v>0</v>
      </c>
      <c r="R48" s="31">
        <f>(INDEX(Option3!R$106:R$117, MATCH($D48, Option3!$G$106:$G$117,0)))*conv_2026*R$7</f>
        <v>0</v>
      </c>
      <c r="S48" s="31">
        <f>(INDEX(Option3!S$106:S$117, MATCH($D48, Option3!$G$106:$G$117,0)))*conv_2026*S$7</f>
        <v>0</v>
      </c>
      <c r="T48" s="31">
        <f>(INDEX(Option3!T$106:T$117, MATCH($D48, Option3!$G$106:$G$117,0)))*conv_2026*T$7</f>
        <v>0</v>
      </c>
      <c r="U48" s="31">
        <f>(INDEX(Option3!U$106:U$117, MATCH($D48, Option3!$G$106:$G$117,0)))*conv_2026*U$7</f>
        <v>0</v>
      </c>
      <c r="V48" s="31">
        <f>(INDEX(Option3!V$106:V$117, MATCH($D48, Option3!$G$106:$G$117,0)))*conv_2026*V$7</f>
        <v>0</v>
      </c>
      <c r="W48" s="31">
        <f>(INDEX(Option3!W$106:W$117, MATCH($D48, Option3!$G$106:$G$117,0)))*conv_2026*W$7</f>
        <v>0</v>
      </c>
      <c r="X48" s="31">
        <f>(INDEX(Option3!X$106:X$117, MATCH($D48, Option3!$G$106:$G$117,0)))*conv_2026*X$7</f>
        <v>0</v>
      </c>
      <c r="Y48" s="31">
        <f>(INDEX(Option3!Y$106:Y$117, MATCH($D48, Option3!$G$106:$G$117,0)))*conv_2026*Y$7</f>
        <v>0</v>
      </c>
      <c r="Z48" s="31">
        <f>(INDEX(Option3!Z$106:Z$117, MATCH($D48, Option3!$G$106:$G$117,0)))*conv_2026*Z$7</f>
        <v>0</v>
      </c>
      <c r="AA48" s="31">
        <f>(INDEX(Option3!AA$106:AA$117, MATCH($D48, Option3!$G$106:$G$117,0)))*conv_2026*AA$7</f>
        <v>0</v>
      </c>
      <c r="AB48" s="31">
        <f>(INDEX(Option3!AB$106:AB$117, MATCH($D48, Option3!$G$106:$G$117,0)))*conv_2026*AB$7</f>
        <v>0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0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0</v>
      </c>
      <c r="N49" s="31">
        <f>(INDEX(Option3!N$106:N$117, MATCH($D49, Option3!$G$106:$G$117,0)))*conv_2026*N$7</f>
        <v>0</v>
      </c>
      <c r="O49" s="31">
        <f>(INDEX(Option3!O$106:O$117, MATCH($D49, Option3!$G$106:$G$117,0)))*conv_2026*O$7</f>
        <v>0</v>
      </c>
      <c r="P49" s="31">
        <f>(INDEX(Option3!P$106:P$117, MATCH($D49, Option3!$G$106:$G$117,0)))*conv_2026*P$7</f>
        <v>0</v>
      </c>
      <c r="Q49" s="31">
        <f>(INDEX(Option3!Q$106:Q$117, MATCH($D49, Option3!$G$106:$G$117,0)))*conv_2026*Q$7</f>
        <v>0</v>
      </c>
      <c r="R49" s="31">
        <f>(INDEX(Option3!R$106:R$117, MATCH($D49, Option3!$G$106:$G$117,0)))*conv_2026*R$7</f>
        <v>0</v>
      </c>
      <c r="S49" s="31">
        <f>(INDEX(Option3!S$106:S$117, MATCH($D49, Option3!$G$106:$G$117,0)))*conv_2026*S$7</f>
        <v>0</v>
      </c>
      <c r="T49" s="31">
        <f>(INDEX(Option3!T$106:T$117, MATCH($D49, Option3!$G$106:$G$117,0)))*conv_2026*T$7</f>
        <v>0</v>
      </c>
      <c r="U49" s="31">
        <f>(INDEX(Option3!U$106:U$117, MATCH($D49, Option3!$G$106:$G$117,0)))*conv_2026*U$7</f>
        <v>0</v>
      </c>
      <c r="V49" s="31">
        <f>(INDEX(Option3!V$106:V$117, MATCH($D49, Option3!$G$106:$G$117,0)))*conv_2026*V$7</f>
        <v>0</v>
      </c>
      <c r="W49" s="31">
        <f>(INDEX(Option3!W$106:W$117, MATCH($D49, Option3!$G$106:$G$117,0)))*conv_2026*W$7</f>
        <v>0</v>
      </c>
      <c r="X49" s="31">
        <f>(INDEX(Option3!X$106:X$117, MATCH($D49, Option3!$G$106:$G$117,0)))*conv_2026*X$7</f>
        <v>0</v>
      </c>
      <c r="Y49" s="31">
        <f>(INDEX(Option3!Y$106:Y$117, MATCH($D49, Option3!$G$106:$G$117,0)))*conv_2026*Y$7</f>
        <v>0</v>
      </c>
      <c r="Z49" s="31">
        <f>(INDEX(Option3!Z$106:Z$117, MATCH($D49, Option3!$G$106:$G$117,0)))*conv_2026*Z$7</f>
        <v>0</v>
      </c>
      <c r="AA49" s="31">
        <f>(INDEX(Option3!AA$106:AA$117, MATCH($D49, Option3!$G$106:$G$117,0)))*conv_2026*AA$7</f>
        <v>0</v>
      </c>
      <c r="AB49" s="31">
        <f>(INDEX(Option3!AB$106:AB$117, MATCH($D49, Option3!$G$106:$G$117,0)))*conv_2026*AB$7</f>
        <v>0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0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0</v>
      </c>
      <c r="N50" s="31">
        <f>(INDEX(Option3!N$106:N$117, MATCH($D50, Option3!$G$106:$G$117,0)))*conv_2026*N$7</f>
        <v>0</v>
      </c>
      <c r="O50" s="31">
        <f>(INDEX(Option3!O$106:O$117, MATCH($D50, Option3!$G$106:$G$117,0)))*conv_2026*O$7</f>
        <v>0</v>
      </c>
      <c r="P50" s="31">
        <f>(INDEX(Option3!P$106:P$117, MATCH($D50, Option3!$G$106:$G$117,0)))*conv_2026*P$7</f>
        <v>0</v>
      </c>
      <c r="Q50" s="31">
        <f>(INDEX(Option3!Q$106:Q$117, MATCH($D50, Option3!$G$106:$G$117,0)))*conv_2026*Q$7</f>
        <v>0</v>
      </c>
      <c r="R50" s="31">
        <f>(INDEX(Option3!R$106:R$117, MATCH($D50, Option3!$G$106:$G$117,0)))*conv_2026*R$7</f>
        <v>0</v>
      </c>
      <c r="S50" s="31">
        <f>(INDEX(Option3!S$106:S$117, MATCH($D50, Option3!$G$106:$G$117,0)))*conv_2026*S$7</f>
        <v>0</v>
      </c>
      <c r="T50" s="31">
        <f>(INDEX(Option3!T$106:T$117, MATCH($D50, Option3!$G$106:$G$117,0)))*conv_2026*T$7</f>
        <v>0</v>
      </c>
      <c r="U50" s="31">
        <f>(INDEX(Option3!U$106:U$117, MATCH($D50, Option3!$G$106:$G$117,0)))*conv_2026*U$7</f>
        <v>0</v>
      </c>
      <c r="V50" s="31">
        <f>(INDEX(Option3!V$106:V$117, MATCH($D50, Option3!$G$106:$G$117,0)))*conv_2026*V$7</f>
        <v>0</v>
      </c>
      <c r="W50" s="31">
        <f>(INDEX(Option3!W$106:W$117, MATCH($D50, Option3!$G$106:$G$117,0)))*conv_2026*W$7</f>
        <v>0</v>
      </c>
      <c r="X50" s="31">
        <f>(INDEX(Option3!X$106:X$117, MATCH($D50, Option3!$G$106:$G$117,0)))*conv_2026*X$7</f>
        <v>0</v>
      </c>
      <c r="Y50" s="31">
        <f>(INDEX(Option3!Y$106:Y$117, MATCH($D50, Option3!$G$106:$G$117,0)))*conv_2026*Y$7</f>
        <v>0</v>
      </c>
      <c r="Z50" s="31">
        <f>(INDEX(Option3!Z$106:Z$117, MATCH($D50, Option3!$G$106:$G$117,0)))*conv_2026*Z$7</f>
        <v>0</v>
      </c>
      <c r="AA50" s="31">
        <f>(INDEX(Option3!AA$106:AA$117, MATCH($D50, Option3!$G$106:$G$117,0)))*conv_2026*AA$7</f>
        <v>0</v>
      </c>
      <c r="AB50" s="31">
        <f>(INDEX(Option3!AB$106:AB$117, MATCH($D50, Option3!$G$106:$G$117,0)))*conv_2026*AB$7</f>
        <v>0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0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0</v>
      </c>
      <c r="N51" s="31">
        <f>(INDEX(Option3!N$106:N$117, MATCH($D51, Option3!$G$106:$G$117,0)))*conv_2026*N$7</f>
        <v>0</v>
      </c>
      <c r="O51" s="31">
        <f>(INDEX(Option3!O$106:O$117, MATCH($D51, Option3!$G$106:$G$117,0)))*conv_2026*O$7</f>
        <v>0</v>
      </c>
      <c r="P51" s="31">
        <f>(INDEX(Option3!P$106:P$117, MATCH($D51, Option3!$G$106:$G$117,0)))*conv_2026*P$7</f>
        <v>0</v>
      </c>
      <c r="Q51" s="31">
        <f>(INDEX(Option3!Q$106:Q$117, MATCH($D51, Option3!$G$106:$G$117,0)))*conv_2026*Q$7</f>
        <v>0</v>
      </c>
      <c r="R51" s="31">
        <f>(INDEX(Option3!R$106:R$117, MATCH($D51, Option3!$G$106:$G$117,0)))*conv_2026*R$7</f>
        <v>0</v>
      </c>
      <c r="S51" s="31">
        <f>(INDEX(Option3!S$106:S$117, MATCH($D51, Option3!$G$106:$G$117,0)))*conv_2026*S$7</f>
        <v>0</v>
      </c>
      <c r="T51" s="31">
        <f>(INDEX(Option3!T$106:T$117, MATCH($D51, Option3!$G$106:$G$117,0)))*conv_2026*T$7</f>
        <v>0</v>
      </c>
      <c r="U51" s="31">
        <f>(INDEX(Option3!U$106:U$117, MATCH($D51, Option3!$G$106:$G$117,0)))*conv_2026*U$7</f>
        <v>0</v>
      </c>
      <c r="V51" s="31">
        <f>(INDEX(Option3!V$106:V$117, MATCH($D51, Option3!$G$106:$G$117,0)))*conv_2026*V$7</f>
        <v>0</v>
      </c>
      <c r="W51" s="31">
        <f>(INDEX(Option3!W$106:W$117, MATCH($D51, Option3!$G$106:$G$117,0)))*conv_2026*W$7</f>
        <v>0</v>
      </c>
      <c r="X51" s="31">
        <f>(INDEX(Option3!X$106:X$117, MATCH($D51, Option3!$G$106:$G$117,0)))*conv_2026*X$7</f>
        <v>0</v>
      </c>
      <c r="Y51" s="31">
        <f>(INDEX(Option3!Y$106:Y$117, MATCH($D51, Option3!$G$106:$G$117,0)))*conv_2026*Y$7</f>
        <v>0</v>
      </c>
      <c r="Z51" s="31">
        <f>(INDEX(Option3!Z$106:Z$117, MATCH($D51, Option3!$G$106:$G$117,0)))*conv_2026*Z$7</f>
        <v>0</v>
      </c>
      <c r="AA51" s="31">
        <f>(INDEX(Option3!AA$106:AA$117, MATCH($D51, Option3!$G$106:$G$117,0)))*conv_2026*AA$7</f>
        <v>0</v>
      </c>
      <c r="AB51" s="31">
        <f>(INDEX(Option3!AB$106:AB$117, MATCH($D51, Option3!$G$106:$G$117,0)))*conv_2026*AB$7</f>
        <v>0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187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187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158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1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228</v>
      </c>
      <c r="K89" s="283" t="s">
        <v>229</v>
      </c>
    </row>
    <row r="90" spans="1:34" s="8" customFormat="1" x14ac:dyDescent="0.2">
      <c r="A90" s="261" t="s">
        <v>119</v>
      </c>
      <c r="B90" s="261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1.5093708399215122</v>
      </c>
      <c r="E90" s="105" t="str">
        <f t="shared" si="10"/>
        <v/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1.5093708399215122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1.2764322678193389</v>
      </c>
      <c r="E91" s="105" t="str">
        <f t="shared" si="10"/>
        <v/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1.2764322678193389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1.7423094120236859</v>
      </c>
      <c r="E92" s="105" t="str">
        <f t="shared" si="10"/>
        <v/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1.7423094120236859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1.8932464960158371</v>
      </c>
      <c r="E93" s="105" t="str">
        <f t="shared" si="10"/>
        <v/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1.8932464960158371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1.1254951838271874</v>
      </c>
      <c r="E94" s="105" t="str">
        <f t="shared" si="10"/>
        <v/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1.1254951838271874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0.8925566117250141</v>
      </c>
      <c r="E95" s="105" t="str">
        <f t="shared" si="10"/>
        <v/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0.8925566117250141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03F5-CD1A-4644-8DFC-D18E9CCB6E0E}">
  <sheetPr codeName="Sheet4">
    <tabColor rgb="FFFFFF00"/>
  </sheetPr>
  <dimension ref="A1:AD10"/>
  <sheetViews>
    <sheetView showGridLines="0" workbookViewId="0">
      <selection activeCell="M9" sqref="M9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8" width="2.375" style="1" customWidth="1"/>
    <col min="9" max="28" width="8.625" style="1" customWidth="1"/>
    <col min="29" max="16384" width="8" style="1"/>
  </cols>
  <sheetData>
    <row r="1" spans="1:30" ht="18.75" x14ac:dyDescent="0.3">
      <c r="A1" s="15" t="str">
        <f>bus</f>
        <v>United Energy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30" ht="18.75" x14ac:dyDescent="0.3">
      <c r="A2" s="56" t="str">
        <f>proj</f>
        <v>FTN relay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30" ht="18.75" x14ac:dyDescent="0.3">
      <c r="A3" s="5" t="s">
        <v>248</v>
      </c>
      <c r="B3" s="323"/>
      <c r="C3" s="5"/>
      <c r="D3" s="5"/>
    </row>
    <row r="5" spans="1:30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</row>
    <row r="6" spans="1:30" x14ac:dyDescent="0.2">
      <c r="C6" s="3"/>
      <c r="D6" s="3"/>
    </row>
    <row r="8" spans="1:30" x14ac:dyDescent="0.2">
      <c r="C8" s="1" t="s">
        <v>30</v>
      </c>
    </row>
    <row r="9" spans="1:30" x14ac:dyDescent="0.2">
      <c r="C9" s="30"/>
      <c r="D9" s="30"/>
      <c r="E9" s="30"/>
      <c r="F9" s="30"/>
      <c r="G9" s="30"/>
      <c r="H9" s="30"/>
      <c r="I9" s="70" t="s">
        <v>19</v>
      </c>
      <c r="J9" s="70" t="s">
        <v>21</v>
      </c>
      <c r="K9" s="70" t="s">
        <v>20</v>
      </c>
      <c r="L9" s="70" t="s">
        <v>22</v>
      </c>
      <c r="M9" s="70" t="s">
        <v>93</v>
      </c>
      <c r="N9" s="70" t="s">
        <v>94</v>
      </c>
      <c r="O9" s="70" t="s">
        <v>260</v>
      </c>
      <c r="P9" s="70" t="s">
        <v>261</v>
      </c>
      <c r="Q9" s="70" t="s">
        <v>262</v>
      </c>
      <c r="R9" s="70" t="s">
        <v>263</v>
      </c>
      <c r="S9" s="70" t="s">
        <v>264</v>
      </c>
      <c r="T9" s="70" t="s">
        <v>265</v>
      </c>
      <c r="U9" s="70" t="s">
        <v>266</v>
      </c>
      <c r="V9" s="70" t="s">
        <v>267</v>
      </c>
      <c r="W9" s="70" t="s">
        <v>268</v>
      </c>
      <c r="X9" s="70" t="s">
        <v>269</v>
      </c>
      <c r="Y9" s="70" t="s">
        <v>270</v>
      </c>
      <c r="Z9" s="70" t="s">
        <v>271</v>
      </c>
      <c r="AA9" s="70" t="s">
        <v>272</v>
      </c>
      <c r="AB9" s="70" t="s">
        <v>273</v>
      </c>
      <c r="AC9" s="70" t="s">
        <v>274</v>
      </c>
      <c r="AD9" s="70" t="s">
        <v>275</v>
      </c>
    </row>
    <row r="10" spans="1:30" x14ac:dyDescent="0.2">
      <c r="C10" s="1" t="s">
        <v>280</v>
      </c>
      <c r="I10" s="332">
        <v>0</v>
      </c>
      <c r="J10" s="332">
        <v>0</v>
      </c>
      <c r="K10" s="332">
        <v>0</v>
      </c>
      <c r="L10" s="332">
        <v>0</v>
      </c>
      <c r="M10" s="343">
        <v>622600</v>
      </c>
      <c r="N10" s="332">
        <v>0</v>
      </c>
      <c r="O10" s="332">
        <v>0</v>
      </c>
      <c r="P10" s="332">
        <v>0</v>
      </c>
      <c r="Q10" s="332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32">
        <v>0</v>
      </c>
      <c r="X10" s="332">
        <v>0</v>
      </c>
      <c r="Y10" s="332">
        <v>0</v>
      </c>
      <c r="Z10" s="332">
        <v>0</v>
      </c>
      <c r="AA10" s="332">
        <v>0</v>
      </c>
      <c r="AB10" s="332">
        <v>0</v>
      </c>
      <c r="AC10" s="332">
        <v>0</v>
      </c>
      <c r="AD10" s="332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94DF-4BA3-4282-8C08-1C9DB42D834F}">
  <sheetPr codeName="Sheet10">
    <tabColor rgb="FFFFFF00"/>
  </sheetPr>
  <dimension ref="A1:AK25"/>
  <sheetViews>
    <sheetView showGridLines="0" zoomScale="85" zoomScaleNormal="85" workbookViewId="0">
      <selection activeCell="J17" sqref="J17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24.125" style="1" customWidth="1"/>
    <col min="4" max="4" width="19.25" style="1" customWidth="1"/>
    <col min="5" max="8" width="4.25" style="1" customWidth="1"/>
    <col min="9" max="10" width="10.25" style="1" customWidth="1"/>
    <col min="11" max="30" width="8.625" style="1" customWidth="1"/>
    <col min="31" max="37" width="8.375" style="1" bestFit="1" customWidth="1"/>
    <col min="38" max="16384" width="8" style="1"/>
  </cols>
  <sheetData>
    <row r="1" spans="1:37" ht="18.75" x14ac:dyDescent="0.3">
      <c r="A1" s="15" t="str">
        <f>bus</f>
        <v>United Energy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7" ht="18.75" x14ac:dyDescent="0.3">
      <c r="A2" s="56" t="str">
        <f>proj</f>
        <v>FTN relay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7" ht="18.75" x14ac:dyDescent="0.3">
      <c r="A3" s="5" t="s">
        <v>245</v>
      </c>
      <c r="B3" s="323"/>
      <c r="C3" s="5"/>
      <c r="D3" s="5"/>
      <c r="E3" s="5"/>
      <c r="F3" s="5"/>
      <c r="G3" s="5"/>
    </row>
    <row r="5" spans="1:37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</row>
    <row r="6" spans="1:37" x14ac:dyDescent="0.2">
      <c r="C6" s="3"/>
      <c r="D6" s="3"/>
      <c r="E6" s="3"/>
      <c r="F6" s="3"/>
      <c r="G6" s="3"/>
    </row>
    <row r="7" spans="1:37" x14ac:dyDescent="0.2">
      <c r="B7"/>
      <c r="C7"/>
      <c r="D7"/>
      <c r="E7"/>
      <c r="F7" s="333"/>
      <c r="G7" s="333"/>
      <c r="H7" s="333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/>
      <c r="AI7"/>
      <c r="AJ7"/>
      <c r="AK7"/>
    </row>
    <row r="8" spans="1:37" x14ac:dyDescent="0.2">
      <c r="C8" s="342" t="s">
        <v>279</v>
      </c>
      <c r="D8" s="342" t="s">
        <v>252</v>
      </c>
      <c r="E8" s="342"/>
      <c r="F8" s="342"/>
      <c r="G8" s="342"/>
      <c r="H8" s="342"/>
      <c r="I8" s="342" t="s">
        <v>19</v>
      </c>
      <c r="J8" s="342" t="s">
        <v>21</v>
      </c>
      <c r="K8" s="342" t="s">
        <v>20</v>
      </c>
      <c r="L8" s="342" t="s">
        <v>22</v>
      </c>
      <c r="M8" s="342" t="s">
        <v>93</v>
      </c>
      <c r="N8" s="342" t="s">
        <v>94</v>
      </c>
      <c r="O8" s="342" t="s">
        <v>260</v>
      </c>
      <c r="P8" s="342" t="s">
        <v>261</v>
      </c>
      <c r="Q8" s="342" t="s">
        <v>262</v>
      </c>
      <c r="R8" s="342" t="s">
        <v>263</v>
      </c>
      <c r="S8" s="342" t="s">
        <v>264</v>
      </c>
      <c r="T8" s="342" t="s">
        <v>265</v>
      </c>
      <c r="U8" s="342" t="s">
        <v>266</v>
      </c>
      <c r="V8" s="342" t="s">
        <v>267</v>
      </c>
      <c r="W8" s="342" t="s">
        <v>268</v>
      </c>
      <c r="X8" s="342" t="s">
        <v>269</v>
      </c>
      <c r="Y8" s="342" t="s">
        <v>270</v>
      </c>
      <c r="Z8" s="342" t="s">
        <v>271</v>
      </c>
      <c r="AA8" s="342" t="s">
        <v>272</v>
      </c>
      <c r="AB8" s="342" t="s">
        <v>273</v>
      </c>
      <c r="AC8" s="342" t="s">
        <v>274</v>
      </c>
      <c r="AD8" s="342" t="s">
        <v>275</v>
      </c>
      <c r="AE8" s="342" t="s">
        <v>276</v>
      </c>
      <c r="AF8" s="342" t="s">
        <v>277</v>
      </c>
      <c r="AG8" s="342" t="s">
        <v>278</v>
      </c>
      <c r="AH8"/>
      <c r="AI8"/>
      <c r="AJ8"/>
      <c r="AK8"/>
    </row>
    <row r="9" spans="1:37" x14ac:dyDescent="0.2">
      <c r="C9" s="355" t="s">
        <v>253</v>
      </c>
      <c r="D9" s="64" t="s">
        <v>254</v>
      </c>
      <c r="E9" s="64"/>
      <c r="F9" s="64"/>
      <c r="G9" s="64"/>
      <c r="H9" s="336"/>
      <c r="I9" s="337">
        <v>0.85557134179165073</v>
      </c>
      <c r="J9" s="337">
        <v>0.93966843105337261</v>
      </c>
      <c r="K9" s="337">
        <v>1.0303319461475573</v>
      </c>
      <c r="L9" s="337">
        <v>1.1223350487987467</v>
      </c>
      <c r="M9" s="337">
        <v>1.2153118679519479</v>
      </c>
      <c r="N9" s="337">
        <v>1.3140932496608075</v>
      </c>
      <c r="O9" s="337">
        <v>1.4231667019227625</v>
      </c>
      <c r="P9" s="337">
        <v>1.5457152244076973</v>
      </c>
      <c r="Q9" s="337">
        <v>1.6607085927606065</v>
      </c>
      <c r="R9" s="337">
        <v>1.7741297591581029</v>
      </c>
      <c r="S9" s="337">
        <v>1.8978613509322635</v>
      </c>
      <c r="T9" s="337">
        <v>2.0118578313740745</v>
      </c>
      <c r="U9" s="337">
        <v>2.1277426151731285</v>
      </c>
      <c r="V9" s="337">
        <v>2.2452468543649307</v>
      </c>
      <c r="W9" s="337">
        <v>2.3640818584291026</v>
      </c>
      <c r="X9" s="337">
        <v>2.4839393693966905</v>
      </c>
      <c r="Y9" s="337">
        <v>2.6044920379006578</v>
      </c>
      <c r="Z9" s="337">
        <v>2.7253941115560942</v>
      </c>
      <c r="AA9" s="337">
        <v>2.846282345150331</v>
      </c>
      <c r="AB9" s="337">
        <v>2.9667771398765908</v>
      </c>
      <c r="AC9" s="337">
        <v>3.0864839162688886</v>
      </c>
      <c r="AD9" s="337">
        <v>3.2049947226097428</v>
      </c>
      <c r="AE9" s="337">
        <v>3.321890077413499</v>
      </c>
      <c r="AF9" s="337">
        <v>3.4367410411735841</v>
      </c>
      <c r="AG9" s="337">
        <v>3.5491115089473402</v>
      </c>
      <c r="AH9"/>
      <c r="AI9"/>
      <c r="AJ9"/>
      <c r="AK9"/>
    </row>
    <row r="10" spans="1:37" x14ac:dyDescent="0.2">
      <c r="C10" s="355"/>
      <c r="D10" s="64" t="s">
        <v>255</v>
      </c>
      <c r="E10" s="64"/>
      <c r="F10" s="64"/>
      <c r="G10" s="64"/>
      <c r="H10" s="336"/>
      <c r="I10" s="337">
        <f t="shared" ref="I10:M10" si="0">I9</f>
        <v>0.85557134179165073</v>
      </c>
      <c r="J10" s="337">
        <f t="shared" si="0"/>
        <v>0.93966843105337261</v>
      </c>
      <c r="K10" s="337">
        <f t="shared" si="0"/>
        <v>1.0303319461475573</v>
      </c>
      <c r="L10" s="337">
        <f t="shared" si="0"/>
        <v>1.1223350487987467</v>
      </c>
      <c r="M10" s="337">
        <f t="shared" si="0"/>
        <v>1.2153118679519479</v>
      </c>
      <c r="N10" s="337">
        <v>1.7358145084669296E-3</v>
      </c>
      <c r="O10" s="337">
        <v>7.002042089987677E-3</v>
      </c>
      <c r="P10" s="337">
        <v>1.5981592590666956E-2</v>
      </c>
      <c r="Q10" s="337">
        <v>2.8590193183374461E-2</v>
      </c>
      <c r="R10" s="337">
        <v>4.481441648947615E-2</v>
      </c>
      <c r="S10" s="337">
        <v>6.498363451374832E-2</v>
      </c>
      <c r="T10" s="337">
        <v>8.8462540209335208E-2</v>
      </c>
      <c r="U10" s="337">
        <v>0.11553448079616298</v>
      </c>
      <c r="V10" s="337">
        <v>0.1461715632479598</v>
      </c>
      <c r="W10" s="337">
        <v>0.18033207612296065</v>
      </c>
      <c r="X10" s="337">
        <v>0.21795799846762115</v>
      </c>
      <c r="Y10" s="337">
        <v>0.25897251213178846</v>
      </c>
      <c r="Z10" s="337">
        <v>0.30327754648442823</v>
      </c>
      <c r="AA10" s="337">
        <v>0.35075139196974525</v>
      </c>
      <c r="AB10" s="337">
        <v>0.40124642657423693</v>
      </c>
      <c r="AC10" s="337">
        <v>0.45458700685807568</v>
      </c>
      <c r="AD10" s="337">
        <v>0.51056758244837042</v>
      </c>
      <c r="AE10" s="337">
        <v>0.56895109944514344</v>
      </c>
      <c r="AF10" s="337">
        <v>0.62946776364599233</v>
      </c>
      <c r="AG10" s="337">
        <v>0.6918142384007373</v>
      </c>
      <c r="AH10"/>
      <c r="AI10"/>
      <c r="AJ10"/>
      <c r="AK10"/>
    </row>
    <row r="11" spans="1:37" x14ac:dyDescent="0.2">
      <c r="C11" s="356" t="s">
        <v>256</v>
      </c>
      <c r="D11" s="110" t="s">
        <v>254</v>
      </c>
      <c r="E11" s="110"/>
      <c r="F11" s="110"/>
      <c r="G11" s="110"/>
      <c r="H11" s="339"/>
      <c r="I11" s="334">
        <v>1454.9162876021039</v>
      </c>
      <c r="J11" s="334">
        <v>1584.2570647417215</v>
      </c>
      <c r="K11" s="334">
        <v>1717.9820590287068</v>
      </c>
      <c r="L11" s="334">
        <v>1855.856392866262</v>
      </c>
      <c r="M11" s="334">
        <v>1997.6275613739977</v>
      </c>
      <c r="N11" s="334">
        <v>2143.0253353671114</v>
      </c>
      <c r="O11" s="334">
        <v>2291.7617640371036</v>
      </c>
      <c r="P11" s="334">
        <v>2443.5312826907675</v>
      </c>
      <c r="Q11" s="334">
        <v>2598.010930546332</v>
      </c>
      <c r="R11" s="334">
        <v>2754.860683152458</v>
      </c>
      <c r="S11" s="334">
        <v>2913.7239034858048</v>
      </c>
      <c r="T11" s="334">
        <v>3074.2279151956654</v>
      </c>
      <c r="U11" s="334">
        <v>3235.9847007996818</v>
      </c>
      <c r="V11" s="334">
        <v>3398.591726893982</v>
      </c>
      <c r="W11" s="334">
        <v>3561.6328976263158</v>
      </c>
      <c r="X11" s="334">
        <v>3724.6796367946927</v>
      </c>
      <c r="Y11" s="334">
        <v>3887.2920979810524</v>
      </c>
      <c r="Z11" s="334">
        <v>4049.0205011143807</v>
      </c>
      <c r="AA11" s="334">
        <v>4209.4065927871206</v>
      </c>
      <c r="AB11" s="334">
        <v>4367.9852265299542</v>
      </c>
      <c r="AC11" s="334">
        <v>4524.2860580916877</v>
      </c>
      <c r="AD11" s="334">
        <v>4677.835349582987</v>
      </c>
      <c r="AE11" s="334">
        <v>4828.1578751355719</v>
      </c>
      <c r="AF11" s="334">
        <v>4974.7789195144487</v>
      </c>
      <c r="AG11" s="334">
        <v>5117.2263599124626</v>
      </c>
      <c r="AH11"/>
      <c r="AI11"/>
      <c r="AJ11"/>
      <c r="AK11"/>
    </row>
    <row r="12" spans="1:37" x14ac:dyDescent="0.2">
      <c r="C12" s="357"/>
      <c r="D12" s="171" t="s">
        <v>255</v>
      </c>
      <c r="E12" s="171"/>
      <c r="F12" s="171"/>
      <c r="G12" s="171"/>
      <c r="H12" s="340"/>
      <c r="I12" s="341">
        <f t="shared" ref="I12:M12" si="1">I11</f>
        <v>1454.9162876021039</v>
      </c>
      <c r="J12" s="341">
        <f t="shared" si="1"/>
        <v>1584.2570647417215</v>
      </c>
      <c r="K12" s="341">
        <f t="shared" si="1"/>
        <v>1717.9820590287068</v>
      </c>
      <c r="L12" s="341">
        <f t="shared" si="1"/>
        <v>1855.856392866262</v>
      </c>
      <c r="M12" s="341">
        <f t="shared" si="1"/>
        <v>1997.6275613739977</v>
      </c>
      <c r="N12" s="341">
        <v>3.0255999835620941</v>
      </c>
      <c r="O12" s="341">
        <v>12.102026925291742</v>
      </c>
      <c r="P12" s="341">
        <v>27.226203604765566</v>
      </c>
      <c r="Q12" s="341">
        <v>48.388713488692204</v>
      </c>
      <c r="R12" s="341">
        <v>75.570080023833142</v>
      </c>
      <c r="S12" s="341">
        <v>108.73706579893539</v>
      </c>
      <c r="T12" s="341">
        <v>147.83901018734804</v>
      </c>
      <c r="U12" s="341">
        <v>192.8042303936632</v>
      </c>
      <c r="V12" s="341">
        <v>243.53651699177414</v>
      </c>
      <c r="W12" s="341">
        <v>299.91176097004859</v>
      </c>
      <c r="X12" s="341">
        <v>361.77475488372687</v>
      </c>
      <c r="Y12" s="341">
        <v>428.93621582842195</v>
      </c>
      <c r="Z12" s="341">
        <v>501.17008244849171</v>
      </c>
      <c r="AA12" s="341">
        <v>578.2111419230414</v>
      </c>
      <c r="AB12" s="341">
        <v>659.75304566316822</v>
      </c>
      <c r="AC12" s="341">
        <v>745.44677413372051</v>
      </c>
      <c r="AD12" s="341">
        <v>834.89961160766347</v>
      </c>
      <c r="AE12" s="341">
        <v>927.67469060285771</v>
      </c>
      <c r="AF12" s="341">
        <v>1023.2911630838314</v>
      </c>
      <c r="AG12" s="341">
        <v>1121.2250510987558</v>
      </c>
      <c r="AH12"/>
      <c r="AI12"/>
      <c r="AJ12"/>
      <c r="AK12"/>
    </row>
    <row r="13" spans="1:37" x14ac:dyDescent="0.2">
      <c r="C13" s="356" t="s">
        <v>257</v>
      </c>
      <c r="D13" s="64" t="s">
        <v>254</v>
      </c>
      <c r="E13" s="64"/>
      <c r="F13" s="64"/>
      <c r="G13" s="64"/>
      <c r="H13" s="338"/>
      <c r="I13" s="335">
        <v>91148.4676942355</v>
      </c>
      <c r="J13" s="335">
        <v>99251.4862301596</v>
      </c>
      <c r="K13" s="335">
        <v>107629.16982992737</v>
      </c>
      <c r="L13" s="335">
        <v>116266.80374106379</v>
      </c>
      <c r="M13" s="335">
        <v>125148.56888646536</v>
      </c>
      <c r="N13" s="335">
        <v>134257.53578618128</v>
      </c>
      <c r="O13" s="335">
        <v>143575.66472535659</v>
      </c>
      <c r="P13" s="335">
        <v>153083.81250392925</v>
      </c>
      <c r="Q13" s="335">
        <v>162761.74608125311</v>
      </c>
      <c r="R13" s="335">
        <v>172588.16340168263</v>
      </c>
      <c r="S13" s="335">
        <v>182540.7216552035</v>
      </c>
      <c r="T13" s="335">
        <v>192596.07319040637</v>
      </c>
      <c r="U13" s="335">
        <v>202729.90925547027</v>
      </c>
      <c r="V13" s="335">
        <v>212917.01169642215</v>
      </c>
      <c r="W13" s="335">
        <v>223131.31269089339</v>
      </c>
      <c r="X13" s="335">
        <v>233345.96254008359</v>
      </c>
      <c r="Y13" s="335">
        <v>243533.40548194075</v>
      </c>
      <c r="Z13" s="335">
        <v>253665.46342496783</v>
      </c>
      <c r="AA13" s="335">
        <v>263713.42743500136</v>
      </c>
      <c r="AB13" s="335">
        <v>273648.15673721238</v>
      </c>
      <c r="AC13" s="335">
        <v>283440.18492301751</v>
      </c>
      <c r="AD13" s="335">
        <v>293059.83297715703</v>
      </c>
      <c r="AE13" s="335">
        <v>302477.32866457407</v>
      </c>
      <c r="AF13" s="335">
        <v>311662.93174067209</v>
      </c>
      <c r="AG13" s="335">
        <v>320587.06437282794</v>
      </c>
      <c r="AH13"/>
      <c r="AI13"/>
      <c r="AJ13"/>
      <c r="AK13"/>
    </row>
    <row r="14" spans="1:37" x14ac:dyDescent="0.2">
      <c r="C14" s="357"/>
      <c r="D14" s="64" t="s">
        <v>255</v>
      </c>
      <c r="E14" s="64"/>
      <c r="F14" s="64"/>
      <c r="G14" s="64"/>
      <c r="H14" s="338"/>
      <c r="I14" s="335">
        <f t="shared" ref="I14:M14" si="2">I13</f>
        <v>91148.4676942355</v>
      </c>
      <c r="J14" s="335">
        <f t="shared" si="2"/>
        <v>99251.4862301596</v>
      </c>
      <c r="K14" s="335">
        <f t="shared" si="2"/>
        <v>107629.16982992737</v>
      </c>
      <c r="L14" s="335">
        <f t="shared" si="2"/>
        <v>116266.80374106379</v>
      </c>
      <c r="M14" s="335">
        <f t="shared" si="2"/>
        <v>125148.56888646536</v>
      </c>
      <c r="N14" s="335">
        <v>25.273280184104543</v>
      </c>
      <c r="O14" s="335">
        <v>101.09000493792418</v>
      </c>
      <c r="P14" s="335">
        <v>227.42446978817398</v>
      </c>
      <c r="Q14" s="335">
        <v>404.19801705190571</v>
      </c>
      <c r="R14" s="335">
        <v>631.2479562248584</v>
      </c>
      <c r="S14" s="335">
        <v>908.29665033857771</v>
      </c>
      <c r="T14" s="335">
        <v>1234.9209237523291</v>
      </c>
      <c r="U14" s="335">
        <v>1610.5219995681205</v>
      </c>
      <c r="V14" s="335">
        <v>2034.2962263463826</v>
      </c>
      <c r="W14" s="335">
        <v>2505.206903319865</v>
      </c>
      <c r="X14" s="335">
        <v>3021.9575599506975</v>
      </c>
      <c r="Y14" s="335">
        <v>3582.9670883916333</v>
      </c>
      <c r="Z14" s="335">
        <v>4186.3471650007568</v>
      </c>
      <c r="AA14" s="335">
        <v>4829.8824282077012</v>
      </c>
      <c r="AB14" s="335">
        <v>5511.0139033418518</v>
      </c>
      <c r="AC14" s="335">
        <v>6226.8261790634597</v>
      </c>
      <c r="AD14" s="335">
        <v>6974.0388433365761</v>
      </c>
      <c r="AE14" s="335">
        <v>7749.0026780426715</v>
      </c>
      <c r="AF14" s="335">
        <v>8547.7010890541387</v>
      </c>
      <c r="AG14" s="335">
        <v>9365.7572117296531</v>
      </c>
      <c r="AH14"/>
      <c r="AI14"/>
      <c r="AJ14"/>
      <c r="AK14"/>
    </row>
    <row r="15" spans="1:37" x14ac:dyDescent="0.2">
      <c r="C15" s="356" t="s">
        <v>258</v>
      </c>
      <c r="D15" s="110" t="s">
        <v>254</v>
      </c>
      <c r="E15" s="110"/>
      <c r="F15" s="110"/>
      <c r="G15" s="110"/>
      <c r="H15" s="339"/>
      <c r="I15" s="334">
        <v>11958.333333333334</v>
      </c>
      <c r="J15" s="334">
        <v>11958.333333333334</v>
      </c>
      <c r="K15" s="334">
        <v>11958.333333333334</v>
      </c>
      <c r="L15" s="334">
        <v>11958.333333333334</v>
      </c>
      <c r="M15" s="334">
        <v>11958.333333333334</v>
      </c>
      <c r="N15" s="334">
        <v>11958.333333333334</v>
      </c>
      <c r="O15" s="334">
        <v>11958.333333333334</v>
      </c>
      <c r="P15" s="334">
        <v>11958.333333333334</v>
      </c>
      <c r="Q15" s="334">
        <v>11958.333333333334</v>
      </c>
      <c r="R15" s="334">
        <v>11958.333333333334</v>
      </c>
      <c r="S15" s="334">
        <v>11958.333333333334</v>
      </c>
      <c r="T15" s="334">
        <v>11958.333333333334</v>
      </c>
      <c r="U15" s="334">
        <v>11958.333333333334</v>
      </c>
      <c r="V15" s="334">
        <v>11958.333333333334</v>
      </c>
      <c r="W15" s="334">
        <v>11958.333333333334</v>
      </c>
      <c r="X15" s="334">
        <v>11958.333333333334</v>
      </c>
      <c r="Y15" s="334">
        <v>11958.333333333334</v>
      </c>
      <c r="Z15" s="334">
        <v>11958.333333333334</v>
      </c>
      <c r="AA15" s="334">
        <v>11958.333333333334</v>
      </c>
      <c r="AB15" s="334">
        <v>11958.333333333334</v>
      </c>
      <c r="AC15" s="334">
        <v>11958.333333333334</v>
      </c>
      <c r="AD15" s="334">
        <v>11958.333333333334</v>
      </c>
      <c r="AE15" s="334">
        <v>11958.333333333334</v>
      </c>
      <c r="AF15" s="334">
        <v>11958.333333333334</v>
      </c>
      <c r="AG15" s="334">
        <v>11958.333333333334</v>
      </c>
      <c r="AH15"/>
      <c r="AI15"/>
      <c r="AJ15"/>
      <c r="AK15"/>
    </row>
    <row r="16" spans="1:37" x14ac:dyDescent="0.2">
      <c r="C16" s="357"/>
      <c r="D16" s="171" t="s">
        <v>255</v>
      </c>
      <c r="E16" s="171"/>
      <c r="F16" s="171"/>
      <c r="G16" s="171"/>
      <c r="H16" s="340"/>
      <c r="I16" s="341">
        <f t="shared" ref="I16:M16" si="3">I15</f>
        <v>11958.333333333334</v>
      </c>
      <c r="J16" s="341">
        <f t="shared" si="3"/>
        <v>11958.333333333334</v>
      </c>
      <c r="K16" s="341">
        <f t="shared" si="3"/>
        <v>11958.333333333334</v>
      </c>
      <c r="L16" s="341">
        <f t="shared" si="3"/>
        <v>11958.333333333334</v>
      </c>
      <c r="M16" s="341">
        <f t="shared" si="3"/>
        <v>11958.333333333334</v>
      </c>
      <c r="N16" s="341">
        <v>7972.2222222222226</v>
      </c>
      <c r="O16" s="341">
        <v>7972.2222222222226</v>
      </c>
      <c r="P16" s="341">
        <v>7972.2222222222226</v>
      </c>
      <c r="Q16" s="341">
        <v>7972.2222222222226</v>
      </c>
      <c r="R16" s="341">
        <v>7972.2222222222226</v>
      </c>
      <c r="S16" s="341">
        <v>7972.2222222222226</v>
      </c>
      <c r="T16" s="341">
        <v>7972.2222222222226</v>
      </c>
      <c r="U16" s="341">
        <v>7972.2222222222226</v>
      </c>
      <c r="V16" s="341">
        <v>7972.2222222222226</v>
      </c>
      <c r="W16" s="341">
        <v>7972.2222222222226</v>
      </c>
      <c r="X16" s="341">
        <v>7972.2222222222226</v>
      </c>
      <c r="Y16" s="341">
        <v>7972.2222222222226</v>
      </c>
      <c r="Z16" s="341">
        <v>7972.2222222222226</v>
      </c>
      <c r="AA16" s="341">
        <v>7972.2222222222226</v>
      </c>
      <c r="AB16" s="341">
        <v>7972.2222222222226</v>
      </c>
      <c r="AC16" s="341">
        <v>7972.2222222222226</v>
      </c>
      <c r="AD16" s="341">
        <v>7972.2222222222226</v>
      </c>
      <c r="AE16" s="341">
        <v>7972.2222222222226</v>
      </c>
      <c r="AF16" s="341">
        <v>7972.2222222222226</v>
      </c>
      <c r="AG16" s="341">
        <v>7972.2222222222226</v>
      </c>
      <c r="AH16"/>
      <c r="AI16"/>
      <c r="AJ16"/>
      <c r="AK16"/>
    </row>
    <row r="17" spans="5:37" x14ac:dyDescent="0.2">
      <c r="E17" s="64"/>
      <c r="F17" s="64"/>
      <c r="G17" s="64"/>
      <c r="H17" s="64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/>
      <c r="AI17"/>
      <c r="AJ17"/>
      <c r="AK17"/>
    </row>
    <row r="18" spans="5:37" x14ac:dyDescent="0.2">
      <c r="E18" s="64"/>
      <c r="F18" s="64"/>
      <c r="G18" s="64"/>
      <c r="H18" s="64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/>
      <c r="AI18"/>
      <c r="AJ18"/>
      <c r="AK18"/>
    </row>
    <row r="19" spans="5:37" x14ac:dyDescent="0.2">
      <c r="E19" s="64"/>
      <c r="F19" s="64"/>
      <c r="G19" s="64"/>
      <c r="H19" s="64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/>
      <c r="AI19"/>
      <c r="AJ19"/>
      <c r="AK19"/>
    </row>
    <row r="20" spans="5:37" x14ac:dyDescent="0.2"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</row>
    <row r="21" spans="5:37" x14ac:dyDescent="0.2"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</row>
    <row r="22" spans="5:37" x14ac:dyDescent="0.2"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</row>
    <row r="23" spans="5:37" x14ac:dyDescent="0.2"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</row>
    <row r="24" spans="5:37" x14ac:dyDescent="0.2"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</row>
    <row r="25" spans="5:37" x14ac:dyDescent="0.2"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</row>
  </sheetData>
  <mergeCells count="4">
    <mergeCell ref="C9:C10"/>
    <mergeCell ref="C11:C12"/>
    <mergeCell ref="C13:C14"/>
    <mergeCell ref="C15:C16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A41" sqref="A41"/>
    </sheetView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United Energy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FTN relay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200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185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186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211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212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213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209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192</v>
      </c>
      <c r="D31" s="194" t="s">
        <v>199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5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 t="str">
        <f>Option3!$G$92</f>
        <v>Not used</v>
      </c>
      <c r="D33" s="10" t="b">
        <f>NOT(Data!C11)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192</v>
      </c>
      <c r="C38" s="195" cm="1">
        <f t="array" ref="C38">IF(OR(NOT(Data!$C$10:$C$13)), _xlfn.MINIFS($C$32:$C$35,$D$32:$D$35,TRUE), 0)</f>
        <v>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163</v>
      </c>
      <c r="B70" s="239" t="s">
        <v>210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FTN relay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198</v>
      </c>
      <c r="F8" s="8" t="s">
        <v>227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1</v>
      </c>
      <c r="D11" s="8" t="str">
        <f>IF(C11, $C$8, "")</f>
        <v>Not used</v>
      </c>
      <c r="F11" s="8" t="b">
        <f>C11</f>
        <v>1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187</v>
      </c>
      <c r="C35" s="23">
        <v>1</v>
      </c>
      <c r="T35"/>
      <c r="U35"/>
      <c r="V35"/>
      <c r="W35"/>
    </row>
    <row r="36" spans="1:23" x14ac:dyDescent="0.2">
      <c r="B36" s="23" t="s">
        <v>171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43</v>
      </c>
      <c r="E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38560</v>
      </c>
      <c r="E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862.60284529259377</v>
      </c>
      <c r="E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0.34750851315331577</v>
      </c>
      <c r="E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0.34750851315331577</v>
      </c>
      <c r="E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E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159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160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161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163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163</v>
      </c>
      <c r="C75" s="153" t="s">
        <v>162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190</v>
      </c>
      <c r="C78" s="8" t="s">
        <v>191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177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178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159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solar_demand_correction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2025-01-27T22:39:07Z</dcterms:modified>
</cp:coreProperties>
</file>