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18341A33-DA9C-4600-AB79-DD63E8C7125A}" xr6:coauthVersionLast="47" xr6:coauthVersionMax="47" xr10:uidLastSave="{00000000-0000-0000-0000-000000000000}"/>
  <bookViews>
    <workbookView xWindow="2880" yWindow="705" windowWidth="21810" windowHeight="14310" xr2:uid="{00000000-000D-0000-FFFF-FFFF00000000}"/>
  </bookViews>
  <sheets>
    <sheet name="Cover" sheetId="20" r:id="rId1"/>
    <sheet name="Risk Model" sheetId="3" r:id="rId2"/>
    <sheet name="ZSS Data" sheetId="4" r:id="rId3"/>
    <sheet name="Risk Data" sheetId="7" r:id="rId4"/>
    <sheet name="VCR" sheetId="19" r:id="rId5"/>
    <sheet name="LOAD" sheetId="6" r:id="rId6"/>
    <sheet name="Haz_Fn" sheetId="1" r:id="rId7"/>
  </sheets>
  <definedNames>
    <definedName name="Asset_Life">'Risk Data'!$B$14</definedName>
    <definedName name="Bus_Trip_Duration">'Risk Data'!$B$10</definedName>
    <definedName name="Coc_Safety">'Risk Data'!$B$7</definedName>
    <definedName name="Existing_Unplnd_CAPEX_Unit_Cost">'Risk Data'!$B$19</definedName>
    <definedName name="Fdr_Trip_Duration">'Risk Data'!$B$11</definedName>
    <definedName name="HV_Bus_No.s">'Risk Data'!$B$18</definedName>
    <definedName name="list">list_start:OFFSET(list_start, 0,0,count, 1)</definedName>
    <definedName name="New_Unplnd_CAPEX_Cost">'Risk Data'!$B$23</definedName>
    <definedName name="PoC_Reduction_Inc_Maint">'Risk Data'!$B$15</definedName>
    <definedName name="PoC_RELAY_ANA_BusTrip">'Risk Data'!$B$3</definedName>
    <definedName name="PoC_RELAY_ANA_FdrTrip">'Risk Data'!$C$3</definedName>
    <definedName name="PoC_RELAY_DIG_BusTrip">'Risk Data'!$B$4</definedName>
    <definedName name="PoC_RELAY_DIG_FdrTrip">'Risk Data'!$C$4</definedName>
    <definedName name="PoC_RELAY_ELE_BusTrip">'Risk Data'!$B$2</definedName>
    <definedName name="PoC_RELAY_ELE_FdrTrip">'Risk Data'!$C$2</definedName>
    <definedName name="PoC_Safety">'Risk Data'!$B$6</definedName>
    <definedName name="Proj_Prop_Yr">'Risk Data'!$B$20</definedName>
    <definedName name="RELAY_DIG_PoF_Yr1">Haz_Fn!$D$2</definedName>
    <definedName name="Safety_Disp_Factor">'Risk Data'!$B$8</definedName>
    <definedName name="sheets">Cover!$A$40</definedName>
    <definedName name="Total_Fdr_Relays">'Risk Data'!$B$22</definedName>
    <definedName name="Total_No._RELAY_DIG">'Risk Data'!$B$21</definedName>
    <definedName name="Total_Proj_Cost_k">'Risk Data'!$B$24</definedName>
    <definedName name="VCR">'Risk Data'!$B$12</definedName>
    <definedName name="WACC">'Risk Data'!$B$13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20" l="1"/>
  <c r="B12" i="7"/>
  <c r="Q3" i="6" l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Q4" i="6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AJ4" i="6" s="1"/>
  <c r="AK4" i="6" s="1"/>
  <c r="AL4" i="6" s="1"/>
  <c r="AM4" i="6" s="1"/>
  <c r="AN4" i="6" s="1"/>
  <c r="AO4" i="6" s="1"/>
  <c r="Q5" i="6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Q6" i="6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AN6" i="6" s="1"/>
  <c r="AO6" i="6" s="1"/>
  <c r="Q7" i="6"/>
  <c r="R7" i="6"/>
  <c r="S7" i="6"/>
  <c r="T7" i="6"/>
  <c r="U7" i="6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AJ7" i="6" s="1"/>
  <c r="AK7" i="6" s="1"/>
  <c r="AL7" i="6" s="1"/>
  <c r="AM7" i="6" s="1"/>
  <c r="AN7" i="6" s="1"/>
  <c r="AO7" i="6" s="1"/>
  <c r="Q8" i="6"/>
  <c r="R8" i="6"/>
  <c r="S8" i="6"/>
  <c r="T8" i="6"/>
  <c r="U8" i="6" s="1"/>
  <c r="V8" i="6" s="1"/>
  <c r="W8" i="6" s="1"/>
  <c r="X8" i="6" s="1"/>
  <c r="Y8" i="6" s="1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AJ8" i="6" s="1"/>
  <c r="AK8" i="6" s="1"/>
  <c r="AL8" i="6" s="1"/>
  <c r="AM8" i="6" s="1"/>
  <c r="AN8" i="6" s="1"/>
  <c r="AO8" i="6" s="1"/>
  <c r="Q10" i="6"/>
  <c r="R10" i="6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AJ10" i="6" s="1"/>
  <c r="AK10" i="6" s="1"/>
  <c r="AL10" i="6" s="1"/>
  <c r="AM10" i="6" s="1"/>
  <c r="AN10" i="6" s="1"/>
  <c r="AO10" i="6" s="1"/>
  <c r="P4" i="6"/>
  <c r="P5" i="6"/>
  <c r="P6" i="6"/>
  <c r="P7" i="6"/>
  <c r="P8" i="6"/>
  <c r="P10" i="6"/>
  <c r="P3" i="6"/>
  <c r="B19" i="7"/>
  <c r="B24" i="7" l="1"/>
  <c r="M4" i="4"/>
  <c r="M2" i="4"/>
  <c r="R5" i="4" l="1"/>
  <c r="C9" i="6"/>
  <c r="D9" i="6"/>
  <c r="E9" i="6"/>
  <c r="F9" i="6"/>
  <c r="G9" i="6"/>
  <c r="H9" i="6"/>
  <c r="I9" i="6"/>
  <c r="J9" i="6"/>
  <c r="K9" i="6"/>
  <c r="L9" i="6"/>
  <c r="M9" i="6"/>
  <c r="B9" i="6"/>
  <c r="N9" i="6" l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AM9" i="6" s="1"/>
  <c r="AN9" i="6" s="1"/>
  <c r="AO9" i="6" s="1"/>
  <c r="C2" i="6" l="1"/>
  <c r="D27" i="3"/>
  <c r="B23" i="7"/>
  <c r="B22" i="7"/>
  <c r="B20" i="7"/>
  <c r="B17" i="7"/>
  <c r="B18" i="7"/>
  <c r="D31" i="3" s="1"/>
  <c r="D2" i="6" l="1"/>
  <c r="E2" i="6" s="1"/>
  <c r="F2" i="6" s="1"/>
  <c r="AE4" i="4"/>
  <c r="AE5" i="4"/>
  <c r="AE2" i="4"/>
  <c r="AE3" i="4"/>
  <c r="D58" i="3"/>
  <c r="E58" i="3" s="1"/>
  <c r="F58" i="3" s="1"/>
  <c r="G58" i="3" s="1"/>
  <c r="H58" i="3" s="1"/>
  <c r="I58" i="3" s="1"/>
  <c r="J58" i="3" s="1"/>
  <c r="K58" i="3" s="1"/>
  <c r="L58" i="3" s="1"/>
  <c r="M58" i="3" s="1"/>
  <c r="N58" i="3" s="1"/>
  <c r="O58" i="3" s="1"/>
  <c r="P58" i="3" s="1"/>
  <c r="Q58" i="3" s="1"/>
  <c r="R58" i="3" s="1"/>
  <c r="S58" i="3" s="1"/>
  <c r="T58" i="3" s="1"/>
  <c r="U58" i="3" s="1"/>
  <c r="V58" i="3" s="1"/>
  <c r="W58" i="3" s="1"/>
  <c r="X58" i="3" s="1"/>
  <c r="Y58" i="3" s="1"/>
  <c r="Z58" i="3" s="1"/>
  <c r="AA58" i="3" s="1"/>
  <c r="AB58" i="3" s="1"/>
  <c r="AC58" i="3" s="1"/>
  <c r="AD58" i="3" s="1"/>
  <c r="AE58" i="3" s="1"/>
  <c r="AF58" i="3" s="1"/>
  <c r="AG58" i="3" s="1"/>
  <c r="AH58" i="3" s="1"/>
  <c r="C16" i="3"/>
  <c r="E27" i="3"/>
  <c r="D44" i="3"/>
  <c r="K57" i="3"/>
  <c r="S57" i="3"/>
  <c r="AA57" i="3"/>
  <c r="D57" i="3"/>
  <c r="G57" i="3"/>
  <c r="I57" i="3"/>
  <c r="L57" i="3"/>
  <c r="T57" i="3"/>
  <c r="AB57" i="3"/>
  <c r="W57" i="3"/>
  <c r="E57" i="3"/>
  <c r="M57" i="3"/>
  <c r="U57" i="3"/>
  <c r="AC57" i="3"/>
  <c r="O57" i="3"/>
  <c r="AE57" i="3"/>
  <c r="AG57" i="3"/>
  <c r="AH57" i="3"/>
  <c r="F57" i="3"/>
  <c r="N57" i="3"/>
  <c r="V57" i="3"/>
  <c r="AD57" i="3"/>
  <c r="Y57" i="3"/>
  <c r="J57" i="3"/>
  <c r="R57" i="3"/>
  <c r="Z57" i="3"/>
  <c r="H57" i="3"/>
  <c r="P57" i="3"/>
  <c r="X57" i="3"/>
  <c r="AF57" i="3"/>
  <c r="Q57" i="3"/>
  <c r="D47" i="3" l="1"/>
  <c r="D55" i="3"/>
  <c r="AG3" i="4"/>
  <c r="AF3" i="4"/>
  <c r="G2" i="6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K27" i="3"/>
  <c r="J27" i="3"/>
  <c r="F27" i="3"/>
  <c r="V27" i="3"/>
  <c r="T27" i="3"/>
  <c r="L27" i="3"/>
  <c r="M27" i="3"/>
  <c r="S27" i="3"/>
  <c r="R27" i="3"/>
  <c r="G27" i="3"/>
  <c r="H27" i="3"/>
  <c r="N27" i="3"/>
  <c r="D45" i="3"/>
  <c r="D53" i="3" s="1"/>
  <c r="D46" i="3"/>
  <c r="D54" i="3" s="1"/>
  <c r="C29" i="3"/>
  <c r="D33" i="3"/>
  <c r="D30" i="3"/>
  <c r="W27" i="3" l="1"/>
  <c r="Q27" i="3"/>
  <c r="P27" i="3"/>
  <c r="U27" i="3"/>
  <c r="I27" i="3"/>
  <c r="O27" i="3"/>
  <c r="E33" i="3"/>
  <c r="D34" i="3"/>
  <c r="E26" i="3"/>
  <c r="E44" i="3" s="1"/>
  <c r="E55" i="3" s="1"/>
  <c r="E47" i="3" l="1"/>
  <c r="E46" i="3"/>
  <c r="E54" i="3" s="1"/>
  <c r="E45" i="3"/>
  <c r="E53" i="3" s="1"/>
  <c r="F33" i="3"/>
  <c r="E34" i="3"/>
  <c r="E31" i="3"/>
  <c r="D41" i="3"/>
  <c r="E30" i="3"/>
  <c r="F26" i="3"/>
  <c r="F44" i="3" s="1"/>
  <c r="F55" i="3" s="1"/>
  <c r="F47" i="3" l="1"/>
  <c r="F46" i="3"/>
  <c r="F54" i="3" s="1"/>
  <c r="F45" i="3"/>
  <c r="F53" i="3" s="1"/>
  <c r="F31" i="3"/>
  <c r="E41" i="3"/>
  <c r="G33" i="3"/>
  <c r="F34" i="3"/>
  <c r="F30" i="3"/>
  <c r="G26" i="3"/>
  <c r="G44" i="3" s="1"/>
  <c r="G31" i="3" l="1"/>
  <c r="G47" i="3"/>
  <c r="G46" i="3"/>
  <c r="G54" i="3" s="1"/>
  <c r="F41" i="3"/>
  <c r="H33" i="3"/>
  <c r="G34" i="3"/>
  <c r="G30" i="3"/>
  <c r="H26" i="3"/>
  <c r="H44" i="3" s="1"/>
  <c r="H31" i="3" l="1"/>
  <c r="H46" i="3"/>
  <c r="H54" i="3" s="1"/>
  <c r="H47" i="3"/>
  <c r="I33" i="3"/>
  <c r="H34" i="3"/>
  <c r="G41" i="3"/>
  <c r="H30" i="3"/>
  <c r="I26" i="3"/>
  <c r="I44" i="3" s="1"/>
  <c r="I31" i="3" l="1"/>
  <c r="I47" i="3"/>
  <c r="H41" i="3"/>
  <c r="I46" i="3"/>
  <c r="I54" i="3" s="1"/>
  <c r="J33" i="3"/>
  <c r="I34" i="3"/>
  <c r="I30" i="3"/>
  <c r="J26" i="3"/>
  <c r="J44" i="3" s="1"/>
  <c r="J31" i="3" l="1"/>
  <c r="J46" i="3"/>
  <c r="J54" i="3" s="1"/>
  <c r="J47" i="3"/>
  <c r="K33" i="3"/>
  <c r="J34" i="3"/>
  <c r="I41" i="3"/>
  <c r="J30" i="3"/>
  <c r="K26" i="3"/>
  <c r="K44" i="3" s="1"/>
  <c r="K31" i="3" l="1"/>
  <c r="K47" i="3"/>
  <c r="K46" i="3"/>
  <c r="K54" i="3" s="1"/>
  <c r="J41" i="3"/>
  <c r="L33" i="3"/>
  <c r="K34" i="3"/>
  <c r="K30" i="3"/>
  <c r="L26" i="3"/>
  <c r="L44" i="3" s="1"/>
  <c r="L31" i="3" l="1"/>
  <c r="L47" i="3"/>
  <c r="L46" i="3"/>
  <c r="L54" i="3" s="1"/>
  <c r="K41" i="3"/>
  <c r="M33" i="3"/>
  <c r="L34" i="3"/>
  <c r="L30" i="3"/>
  <c r="M26" i="3"/>
  <c r="M44" i="3" s="1"/>
  <c r="M31" i="3" l="1"/>
  <c r="M47" i="3"/>
  <c r="M46" i="3"/>
  <c r="M54" i="3" s="1"/>
  <c r="L41" i="3"/>
  <c r="N33" i="3"/>
  <c r="M34" i="3"/>
  <c r="M30" i="3"/>
  <c r="N26" i="3"/>
  <c r="N44" i="3" s="1"/>
  <c r="N31" i="3" l="1"/>
  <c r="N47" i="3"/>
  <c r="N46" i="3"/>
  <c r="N54" i="3" s="1"/>
  <c r="O33" i="3"/>
  <c r="N34" i="3"/>
  <c r="M41" i="3"/>
  <c r="N30" i="3"/>
  <c r="O26" i="3"/>
  <c r="O44" i="3" s="1"/>
  <c r="AF2" i="4"/>
  <c r="O31" i="3" l="1"/>
  <c r="O47" i="3"/>
  <c r="N41" i="3"/>
  <c r="O46" i="3"/>
  <c r="O54" i="3" s="1"/>
  <c r="P33" i="3"/>
  <c r="O34" i="3"/>
  <c r="O30" i="3"/>
  <c r="P26" i="3"/>
  <c r="P44" i="3" s="1"/>
  <c r="AG2" i="4"/>
  <c r="AD5" i="4"/>
  <c r="AC5" i="4"/>
  <c r="AD4" i="4"/>
  <c r="AC4" i="4"/>
  <c r="AB4" i="4"/>
  <c r="AD3" i="4"/>
  <c r="AC3" i="4"/>
  <c r="AB3" i="4"/>
  <c r="AD2" i="4"/>
  <c r="AC2" i="4"/>
  <c r="AG5" i="4"/>
  <c r="AK2" i="4" l="1"/>
  <c r="AI2" i="4"/>
  <c r="AK3" i="4"/>
  <c r="AI3" i="4"/>
  <c r="P31" i="3"/>
  <c r="P46" i="3"/>
  <c r="P54" i="3" s="1"/>
  <c r="P47" i="3"/>
  <c r="Q33" i="3"/>
  <c r="P34" i="3"/>
  <c r="O41" i="3"/>
  <c r="P30" i="3"/>
  <c r="Q26" i="3"/>
  <c r="Q44" i="3" s="1"/>
  <c r="AG4" i="4"/>
  <c r="D29" i="3" s="1"/>
  <c r="J3" i="4"/>
  <c r="N3" i="4" s="1"/>
  <c r="AF5" i="4"/>
  <c r="AF4" i="4"/>
  <c r="D28" i="3" s="1"/>
  <c r="E29" i="3" l="1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D38" i="3"/>
  <c r="E28" i="3"/>
  <c r="D37" i="3"/>
  <c r="Q31" i="3"/>
  <c r="B21" i="7"/>
  <c r="D32" i="3"/>
  <c r="AK5" i="4"/>
  <c r="AI5" i="4"/>
  <c r="Q46" i="3"/>
  <c r="Q54" i="3" s="1"/>
  <c r="Q47" i="3"/>
  <c r="P41" i="3"/>
  <c r="R33" i="3"/>
  <c r="Q34" i="3"/>
  <c r="Q30" i="3"/>
  <c r="R26" i="3"/>
  <c r="R44" i="3" s="1"/>
  <c r="F28" i="3" l="1"/>
  <c r="E37" i="3"/>
  <c r="G55" i="3"/>
  <c r="H55" i="3"/>
  <c r="I55" i="3"/>
  <c r="J55" i="3"/>
  <c r="R55" i="3"/>
  <c r="K55" i="3"/>
  <c r="L55" i="3"/>
  <c r="M55" i="3"/>
  <c r="N55" i="3"/>
  <c r="O55" i="3"/>
  <c r="P55" i="3"/>
  <c r="Q55" i="3"/>
  <c r="D51" i="3"/>
  <c r="E51" i="3"/>
  <c r="D50" i="3"/>
  <c r="R31" i="3"/>
  <c r="G45" i="3"/>
  <c r="G53" i="3" s="1"/>
  <c r="D36" i="3"/>
  <c r="D48" i="3"/>
  <c r="D35" i="3"/>
  <c r="D49" i="3"/>
  <c r="D40" i="3"/>
  <c r="E32" i="3"/>
  <c r="AI4" i="4"/>
  <c r="D42" i="3" s="1"/>
  <c r="E42" i="3" s="1"/>
  <c r="AK4" i="4"/>
  <c r="R46" i="3"/>
  <c r="R54" i="3" s="1"/>
  <c r="R47" i="3"/>
  <c r="Q41" i="3"/>
  <c r="S33" i="3"/>
  <c r="R34" i="3"/>
  <c r="R30" i="3"/>
  <c r="S26" i="3"/>
  <c r="S44" i="3" s="1"/>
  <c r="S55" i="3" s="1"/>
  <c r="AB5" i="4"/>
  <c r="AB2" i="4"/>
  <c r="G28" i="3" l="1"/>
  <c r="G48" i="3" s="1"/>
  <c r="F36" i="3"/>
  <c r="D52" i="3"/>
  <c r="F37" i="3"/>
  <c r="F48" i="3"/>
  <c r="F35" i="3"/>
  <c r="E49" i="3"/>
  <c r="E48" i="3"/>
  <c r="F49" i="3"/>
  <c r="E36" i="3"/>
  <c r="F50" i="3"/>
  <c r="E35" i="3"/>
  <c r="E50" i="3"/>
  <c r="E38" i="3"/>
  <c r="D39" i="3"/>
  <c r="F42" i="3"/>
  <c r="S31" i="3"/>
  <c r="H45" i="3"/>
  <c r="H53" i="3" s="1"/>
  <c r="F32" i="3"/>
  <c r="E40" i="3"/>
  <c r="S46" i="3"/>
  <c r="S54" i="3" s="1"/>
  <c r="S47" i="3"/>
  <c r="R41" i="3"/>
  <c r="T33" i="3"/>
  <c r="S34" i="3"/>
  <c r="S30" i="3"/>
  <c r="T26" i="3"/>
  <c r="T44" i="3" s="1"/>
  <c r="T55" i="3" s="1"/>
  <c r="G37" i="3" l="1"/>
  <c r="G50" i="3"/>
  <c r="G35" i="3"/>
  <c r="G49" i="3"/>
  <c r="H28" i="3"/>
  <c r="G36" i="3"/>
  <c r="E52" i="3"/>
  <c r="E39" i="3"/>
  <c r="F51" i="3"/>
  <c r="F52" i="3" s="1"/>
  <c r="F38" i="3"/>
  <c r="F39" i="3" s="1"/>
  <c r="G42" i="3"/>
  <c r="I45" i="3"/>
  <c r="I53" i="3" s="1"/>
  <c r="D43" i="3"/>
  <c r="G32" i="3"/>
  <c r="F40" i="3"/>
  <c r="T46" i="3"/>
  <c r="T54" i="3" s="1"/>
  <c r="T47" i="3"/>
  <c r="T31" i="3"/>
  <c r="U33" i="3"/>
  <c r="T34" i="3"/>
  <c r="S41" i="3"/>
  <c r="T30" i="3"/>
  <c r="U26" i="3"/>
  <c r="U44" i="3" s="1"/>
  <c r="U55" i="3" s="1"/>
  <c r="I28" i="3" l="1"/>
  <c r="H36" i="3"/>
  <c r="H49" i="3"/>
  <c r="H37" i="3"/>
  <c r="H48" i="3"/>
  <c r="H35" i="3"/>
  <c r="H50" i="3"/>
  <c r="E43" i="3"/>
  <c r="E24" i="3" s="1"/>
  <c r="G38" i="3"/>
  <c r="G39" i="3" s="1"/>
  <c r="G51" i="3"/>
  <c r="G52" i="3" s="1"/>
  <c r="H42" i="3"/>
  <c r="F43" i="3"/>
  <c r="F56" i="3" s="1"/>
  <c r="D56" i="3"/>
  <c r="D24" i="3"/>
  <c r="J45" i="3"/>
  <c r="J53" i="3" s="1"/>
  <c r="G40" i="3"/>
  <c r="H32" i="3"/>
  <c r="U46" i="3"/>
  <c r="U54" i="3" s="1"/>
  <c r="U31" i="3"/>
  <c r="U47" i="3"/>
  <c r="T41" i="3"/>
  <c r="V33" i="3"/>
  <c r="U34" i="3"/>
  <c r="U30" i="3"/>
  <c r="V26" i="3"/>
  <c r="V44" i="3" s="1"/>
  <c r="V55" i="3" s="1"/>
  <c r="J28" i="3" l="1"/>
  <c r="I36" i="3"/>
  <c r="I48" i="3"/>
  <c r="I35" i="3"/>
  <c r="I37" i="3"/>
  <c r="I50" i="3"/>
  <c r="I49" i="3"/>
  <c r="E56" i="3"/>
  <c r="H51" i="3"/>
  <c r="H52" i="3" s="1"/>
  <c r="H38" i="3"/>
  <c r="H39" i="3" s="1"/>
  <c r="F24" i="3"/>
  <c r="I42" i="3"/>
  <c r="G43" i="3"/>
  <c r="G56" i="3" s="1"/>
  <c r="K45" i="3"/>
  <c r="K53" i="3" s="1"/>
  <c r="I32" i="3"/>
  <c r="H40" i="3"/>
  <c r="V46" i="3"/>
  <c r="V54" i="3" s="1"/>
  <c r="V47" i="3"/>
  <c r="V31" i="3"/>
  <c r="W33" i="3"/>
  <c r="V34" i="3"/>
  <c r="U41" i="3"/>
  <c r="V30" i="3"/>
  <c r="W26" i="3"/>
  <c r="W44" i="3" s="1"/>
  <c r="W55" i="3" s="1"/>
  <c r="K28" i="3" l="1"/>
  <c r="J36" i="3"/>
  <c r="J49" i="3"/>
  <c r="J37" i="3"/>
  <c r="J50" i="3"/>
  <c r="J35" i="3"/>
  <c r="J48" i="3"/>
  <c r="I38" i="3"/>
  <c r="I39" i="3" s="1"/>
  <c r="I51" i="3"/>
  <c r="I52" i="3" s="1"/>
  <c r="J42" i="3"/>
  <c r="G24" i="3"/>
  <c r="H43" i="3"/>
  <c r="H24" i="3" s="1"/>
  <c r="X27" i="3"/>
  <c r="L45" i="3"/>
  <c r="L53" i="3" s="1"/>
  <c r="J32" i="3"/>
  <c r="I40" i="3"/>
  <c r="W46" i="3"/>
  <c r="W54" i="3" s="1"/>
  <c r="W47" i="3"/>
  <c r="V41" i="3"/>
  <c r="W31" i="3"/>
  <c r="X33" i="3"/>
  <c r="W34" i="3"/>
  <c r="W30" i="3"/>
  <c r="X26" i="3"/>
  <c r="X44" i="3" s="1"/>
  <c r="X55" i="3" s="1"/>
  <c r="L28" i="3" l="1"/>
  <c r="K36" i="3"/>
  <c r="K35" i="3"/>
  <c r="K48" i="3"/>
  <c r="K37" i="3"/>
  <c r="K50" i="3"/>
  <c r="K49" i="3"/>
  <c r="X29" i="3"/>
  <c r="J51" i="3"/>
  <c r="J52" i="3" s="1"/>
  <c r="J38" i="3"/>
  <c r="J39" i="3" s="1"/>
  <c r="K42" i="3"/>
  <c r="H56" i="3"/>
  <c r="I43" i="3"/>
  <c r="I56" i="3" s="1"/>
  <c r="Y27" i="3"/>
  <c r="M45" i="3"/>
  <c r="M53" i="3" s="1"/>
  <c r="J40" i="3"/>
  <c r="K32" i="3"/>
  <c r="X46" i="3"/>
  <c r="X54" i="3" s="1"/>
  <c r="X47" i="3"/>
  <c r="X31" i="3"/>
  <c r="Y33" i="3"/>
  <c r="X34" i="3"/>
  <c r="W41" i="3"/>
  <c r="X30" i="3"/>
  <c r="Y26" i="3"/>
  <c r="Y44" i="3" s="1"/>
  <c r="Y55" i="3" s="1"/>
  <c r="M28" i="3" l="1"/>
  <c r="L36" i="3"/>
  <c r="L48" i="3"/>
  <c r="L37" i="3"/>
  <c r="L49" i="3"/>
  <c r="L35" i="3"/>
  <c r="L50" i="3"/>
  <c r="Y29" i="3"/>
  <c r="K38" i="3"/>
  <c r="K39" i="3" s="1"/>
  <c r="K51" i="3"/>
  <c r="K52" i="3" s="1"/>
  <c r="L42" i="3"/>
  <c r="I24" i="3"/>
  <c r="J43" i="3"/>
  <c r="J56" i="3" s="1"/>
  <c r="Z27" i="3"/>
  <c r="N45" i="3"/>
  <c r="N53" i="3" s="1"/>
  <c r="L32" i="3"/>
  <c r="K40" i="3"/>
  <c r="Y46" i="3"/>
  <c r="Y54" i="3" s="1"/>
  <c r="Y31" i="3"/>
  <c r="Y47" i="3"/>
  <c r="X41" i="3"/>
  <c r="Z33" i="3"/>
  <c r="Y34" i="3"/>
  <c r="Y30" i="3"/>
  <c r="Z26" i="3"/>
  <c r="Z44" i="3" s="1"/>
  <c r="Z55" i="3" s="1"/>
  <c r="N28" i="3" l="1"/>
  <c r="M36" i="3"/>
  <c r="M37" i="3"/>
  <c r="M35" i="3"/>
  <c r="M49" i="3"/>
  <c r="M48" i="3"/>
  <c r="M50" i="3"/>
  <c r="Z29" i="3"/>
  <c r="L51" i="3"/>
  <c r="L52" i="3" s="1"/>
  <c r="L38" i="3"/>
  <c r="L39" i="3" s="1"/>
  <c r="J24" i="3"/>
  <c r="M42" i="3"/>
  <c r="K43" i="3"/>
  <c r="K24" i="3" s="1"/>
  <c r="AA27" i="3"/>
  <c r="O45" i="3"/>
  <c r="O53" i="3" s="1"/>
  <c r="M32" i="3"/>
  <c r="L40" i="3"/>
  <c r="Z46" i="3"/>
  <c r="Z54" i="3" s="1"/>
  <c r="Z31" i="3"/>
  <c r="Z47" i="3"/>
  <c r="AA33" i="3"/>
  <c r="Z34" i="3"/>
  <c r="Y41" i="3"/>
  <c r="Z30" i="3"/>
  <c r="AA26" i="3"/>
  <c r="AA44" i="3" s="1"/>
  <c r="AA55" i="3" s="1"/>
  <c r="O28" i="3" l="1"/>
  <c r="N36" i="3"/>
  <c r="N35" i="3"/>
  <c r="N48" i="3"/>
  <c r="N37" i="3"/>
  <c r="N49" i="3"/>
  <c r="N50" i="3"/>
  <c r="AA29" i="3"/>
  <c r="M51" i="3"/>
  <c r="M52" i="3" s="1"/>
  <c r="M38" i="3"/>
  <c r="M39" i="3" s="1"/>
  <c r="K56" i="3"/>
  <c r="N42" i="3"/>
  <c r="L43" i="3"/>
  <c r="L24" i="3" s="1"/>
  <c r="AB27" i="3"/>
  <c r="P45" i="3"/>
  <c r="P53" i="3" s="1"/>
  <c r="N32" i="3"/>
  <c r="M40" i="3"/>
  <c r="AA31" i="3"/>
  <c r="AA46" i="3"/>
  <c r="AA54" i="3" s="1"/>
  <c r="AA47" i="3"/>
  <c r="Z41" i="3"/>
  <c r="AB33" i="3"/>
  <c r="AA34" i="3"/>
  <c r="AA30" i="3"/>
  <c r="AB26" i="3"/>
  <c r="AB44" i="3" s="1"/>
  <c r="AB55" i="3" s="1"/>
  <c r="P28" i="3" l="1"/>
  <c r="O36" i="3"/>
  <c r="O49" i="3"/>
  <c r="O50" i="3"/>
  <c r="O37" i="3"/>
  <c r="O48" i="3"/>
  <c r="O35" i="3"/>
  <c r="AB29" i="3"/>
  <c r="N51" i="3"/>
  <c r="N52" i="3" s="1"/>
  <c r="N38" i="3"/>
  <c r="N39" i="3" s="1"/>
  <c r="L56" i="3"/>
  <c r="O42" i="3"/>
  <c r="M43" i="3"/>
  <c r="M24" i="3" s="1"/>
  <c r="AC27" i="3"/>
  <c r="Q45" i="3"/>
  <c r="Q53" i="3" s="1"/>
  <c r="N40" i="3"/>
  <c r="O32" i="3"/>
  <c r="AB31" i="3"/>
  <c r="AB46" i="3"/>
  <c r="AB54" i="3" s="1"/>
  <c r="AB47" i="3"/>
  <c r="AC33" i="3"/>
  <c r="AB34" i="3"/>
  <c r="AA41" i="3"/>
  <c r="AB30" i="3"/>
  <c r="AC26" i="3"/>
  <c r="AC44" i="3" s="1"/>
  <c r="AC55" i="3" s="1"/>
  <c r="Q28" i="3" l="1"/>
  <c r="P36" i="3"/>
  <c r="P37" i="3"/>
  <c r="P50" i="3"/>
  <c r="P48" i="3"/>
  <c r="P35" i="3"/>
  <c r="P49" i="3"/>
  <c r="AC29" i="3"/>
  <c r="O51" i="3"/>
  <c r="O52" i="3" s="1"/>
  <c r="O38" i="3"/>
  <c r="O39" i="3" s="1"/>
  <c r="M56" i="3"/>
  <c r="P42" i="3"/>
  <c r="N43" i="3"/>
  <c r="AD27" i="3"/>
  <c r="R45" i="3"/>
  <c r="R53" i="3" s="1"/>
  <c r="AC31" i="3"/>
  <c r="P32" i="3"/>
  <c r="O40" i="3"/>
  <c r="AC46" i="3"/>
  <c r="AC54" i="3" s="1"/>
  <c r="AC47" i="3"/>
  <c r="AB41" i="3"/>
  <c r="AD33" i="3"/>
  <c r="AC34" i="3"/>
  <c r="AC30" i="3"/>
  <c r="AD26" i="3"/>
  <c r="AD44" i="3" s="1"/>
  <c r="AD55" i="3" s="1"/>
  <c r="R28" i="3" l="1"/>
  <c r="Q36" i="3"/>
  <c r="Q49" i="3"/>
  <c r="Q35" i="3"/>
  <c r="Q48" i="3"/>
  <c r="Q37" i="3"/>
  <c r="Q50" i="3"/>
  <c r="AD29" i="3"/>
  <c r="P51" i="3"/>
  <c r="P38" i="3"/>
  <c r="P39" i="3" s="1"/>
  <c r="N24" i="3"/>
  <c r="N56" i="3"/>
  <c r="Q42" i="3"/>
  <c r="O43" i="3"/>
  <c r="AE27" i="3"/>
  <c r="AD31" i="3"/>
  <c r="S45" i="3"/>
  <c r="S53" i="3" s="1"/>
  <c r="Q32" i="3"/>
  <c r="P40" i="3"/>
  <c r="AD46" i="3"/>
  <c r="AD54" i="3" s="1"/>
  <c r="AD47" i="3"/>
  <c r="AE33" i="3"/>
  <c r="AD34" i="3"/>
  <c r="AC41" i="3"/>
  <c r="AD30" i="3"/>
  <c r="AE26" i="3"/>
  <c r="AE44" i="3" s="1"/>
  <c r="AE55" i="3" s="1"/>
  <c r="S28" i="3" l="1"/>
  <c r="R36" i="3"/>
  <c r="R50" i="3"/>
  <c r="R35" i="3"/>
  <c r="R48" i="3"/>
  <c r="R49" i="3"/>
  <c r="R37" i="3"/>
  <c r="AE29" i="3"/>
  <c r="P52" i="3"/>
  <c r="Q38" i="3"/>
  <c r="Q39" i="3" s="1"/>
  <c r="Q51" i="3"/>
  <c r="O24" i="3"/>
  <c r="O56" i="3"/>
  <c r="R42" i="3"/>
  <c r="P43" i="3"/>
  <c r="P24" i="3" s="1"/>
  <c r="AE31" i="3"/>
  <c r="AF27" i="3"/>
  <c r="T45" i="3"/>
  <c r="T53" i="3" s="1"/>
  <c r="Q40" i="3"/>
  <c r="R32" i="3"/>
  <c r="AE46" i="3"/>
  <c r="AE54" i="3" s="1"/>
  <c r="AE47" i="3"/>
  <c r="AD41" i="3"/>
  <c r="AF33" i="3"/>
  <c r="AE34" i="3"/>
  <c r="AE30" i="3"/>
  <c r="AF26" i="3"/>
  <c r="AF44" i="3" s="1"/>
  <c r="AF55" i="3" s="1"/>
  <c r="AF29" i="3" l="1"/>
  <c r="T28" i="3"/>
  <c r="S36" i="3"/>
  <c r="S37" i="3"/>
  <c r="S50" i="3"/>
  <c r="S49" i="3"/>
  <c r="S35" i="3"/>
  <c r="S48" i="3"/>
  <c r="P56" i="3"/>
  <c r="Q52" i="3"/>
  <c r="R38" i="3"/>
  <c r="R39" i="3" s="1"/>
  <c r="R51" i="3"/>
  <c r="S42" i="3"/>
  <c r="Q43" i="3"/>
  <c r="Q24" i="3" s="1"/>
  <c r="AF31" i="3"/>
  <c r="AG27" i="3"/>
  <c r="U45" i="3"/>
  <c r="U53" i="3" s="1"/>
  <c r="S32" i="3"/>
  <c r="R40" i="3"/>
  <c r="AF46" i="3"/>
  <c r="AF54" i="3" s="1"/>
  <c r="AF47" i="3"/>
  <c r="AE41" i="3"/>
  <c r="AG33" i="3"/>
  <c r="AF34" i="3"/>
  <c r="AF30" i="3"/>
  <c r="AG26" i="3"/>
  <c r="AG44" i="3" s="1"/>
  <c r="AG55" i="3" s="1"/>
  <c r="AG29" i="3" l="1"/>
  <c r="U28" i="3"/>
  <c r="T36" i="3"/>
  <c r="T37" i="3"/>
  <c r="T35" i="3"/>
  <c r="T48" i="3"/>
  <c r="T50" i="3"/>
  <c r="T49" i="3"/>
  <c r="Q56" i="3"/>
  <c r="R52" i="3"/>
  <c r="S51" i="3"/>
  <c r="S38" i="3"/>
  <c r="S39" i="3" s="1"/>
  <c r="T42" i="3"/>
  <c r="R43" i="3"/>
  <c r="R24" i="3" s="1"/>
  <c r="AG31" i="3"/>
  <c r="AH27" i="3"/>
  <c r="V45" i="3"/>
  <c r="V53" i="3" s="1"/>
  <c r="S40" i="3"/>
  <c r="T32" i="3"/>
  <c r="AG46" i="3"/>
  <c r="AG54" i="3" s="1"/>
  <c r="AG47" i="3"/>
  <c r="AF41" i="3"/>
  <c r="AH33" i="3"/>
  <c r="AH34" i="3" s="1"/>
  <c r="AG34" i="3"/>
  <c r="AG30" i="3"/>
  <c r="AH26" i="3"/>
  <c r="AH29" i="3" l="1"/>
  <c r="V28" i="3"/>
  <c r="U36" i="3"/>
  <c r="U49" i="3"/>
  <c r="U48" i="3"/>
  <c r="U50" i="3"/>
  <c r="U37" i="3"/>
  <c r="U35" i="3"/>
  <c r="R56" i="3"/>
  <c r="S52" i="3"/>
  <c r="T38" i="3"/>
  <c r="T39" i="3" s="1"/>
  <c r="T51" i="3"/>
  <c r="U42" i="3"/>
  <c r="S43" i="3"/>
  <c r="S24" i="3" s="1"/>
  <c r="AH31" i="3"/>
  <c r="W45" i="3"/>
  <c r="W53" i="3" s="1"/>
  <c r="U32" i="3"/>
  <c r="T40" i="3"/>
  <c r="AH44" i="3"/>
  <c r="AH55" i="3" s="1"/>
  <c r="AG41" i="3"/>
  <c r="AH30" i="3"/>
  <c r="W28" i="3" l="1"/>
  <c r="V36" i="3"/>
  <c r="V35" i="3"/>
  <c r="V37" i="3"/>
  <c r="V48" i="3"/>
  <c r="V50" i="3"/>
  <c r="V49" i="3"/>
  <c r="S56" i="3"/>
  <c r="T52" i="3"/>
  <c r="U38" i="3"/>
  <c r="U39" i="3" s="1"/>
  <c r="U51" i="3"/>
  <c r="V42" i="3"/>
  <c r="T43" i="3"/>
  <c r="T24" i="3" s="1"/>
  <c r="X45" i="3"/>
  <c r="X53" i="3" s="1"/>
  <c r="U40" i="3"/>
  <c r="V32" i="3"/>
  <c r="AH46" i="3"/>
  <c r="AH54" i="3" s="1"/>
  <c r="AH47" i="3"/>
  <c r="AH41" i="3"/>
  <c r="W36" i="3" l="1"/>
  <c r="X28" i="3"/>
  <c r="W49" i="3"/>
  <c r="W35" i="3"/>
  <c r="W48" i="3"/>
  <c r="W37" i="3"/>
  <c r="W50" i="3"/>
  <c r="T56" i="3"/>
  <c r="U52" i="3"/>
  <c r="V38" i="3"/>
  <c r="V39" i="3" s="1"/>
  <c r="V51" i="3"/>
  <c r="W42" i="3"/>
  <c r="U43" i="3"/>
  <c r="U24" i="3" s="1"/>
  <c r="Y45" i="3"/>
  <c r="Y53" i="3" s="1"/>
  <c r="W32" i="3"/>
  <c r="V40" i="3"/>
  <c r="X36" i="3" l="1"/>
  <c r="Y28" i="3"/>
  <c r="X50" i="3"/>
  <c r="X35" i="3"/>
  <c r="X37" i="3"/>
  <c r="X49" i="3"/>
  <c r="X48" i="3"/>
  <c r="U56" i="3"/>
  <c r="V52" i="3"/>
  <c r="W51" i="3"/>
  <c r="W38" i="3"/>
  <c r="W39" i="3" s="1"/>
  <c r="X42" i="3"/>
  <c r="V43" i="3"/>
  <c r="V24" i="3" s="1"/>
  <c r="Z45" i="3"/>
  <c r="Z53" i="3" s="1"/>
  <c r="X32" i="3"/>
  <c r="W40" i="3"/>
  <c r="Y36" i="3" l="1"/>
  <c r="Z28" i="3"/>
  <c r="Y37" i="3"/>
  <c r="Y49" i="3"/>
  <c r="Y50" i="3"/>
  <c r="Y48" i="3"/>
  <c r="Y35" i="3"/>
  <c r="V56" i="3"/>
  <c r="W52" i="3"/>
  <c r="X38" i="3"/>
  <c r="X39" i="3" s="1"/>
  <c r="X51" i="3"/>
  <c r="Y42" i="3"/>
  <c r="W43" i="3"/>
  <c r="W24" i="3" s="1"/>
  <c r="AA45" i="3"/>
  <c r="AA53" i="3" s="1"/>
  <c r="X40" i="3"/>
  <c r="Y32" i="3"/>
  <c r="Z36" i="3" l="1"/>
  <c r="AA28" i="3"/>
  <c r="Z50" i="3"/>
  <c r="Z49" i="3"/>
  <c r="Z37" i="3"/>
  <c r="Z48" i="3"/>
  <c r="Z35" i="3"/>
  <c r="W56" i="3"/>
  <c r="X52" i="3"/>
  <c r="Y38" i="3"/>
  <c r="Y39" i="3" s="1"/>
  <c r="Y51" i="3"/>
  <c r="Z42" i="3"/>
  <c r="X43" i="3"/>
  <c r="X24" i="3" s="1"/>
  <c r="AB45" i="3"/>
  <c r="AB53" i="3" s="1"/>
  <c r="Z32" i="3"/>
  <c r="Y40" i="3"/>
  <c r="AA36" i="3" l="1"/>
  <c r="AB28" i="3"/>
  <c r="AA49" i="3"/>
  <c r="AA50" i="3"/>
  <c r="AA35" i="3"/>
  <c r="AA48" i="3"/>
  <c r="AA37" i="3"/>
  <c r="X56" i="3"/>
  <c r="Y52" i="3"/>
  <c r="Z51" i="3"/>
  <c r="Z38" i="3"/>
  <c r="Z39" i="3" s="1"/>
  <c r="AA42" i="3"/>
  <c r="Y43" i="3"/>
  <c r="Y24" i="3" s="1"/>
  <c r="AC45" i="3"/>
  <c r="AC53" i="3" s="1"/>
  <c r="Z40" i="3"/>
  <c r="AA32" i="3"/>
  <c r="AB36" i="3" l="1"/>
  <c r="AC28" i="3"/>
  <c r="AB37" i="3"/>
  <c r="AB35" i="3"/>
  <c r="AB49" i="3"/>
  <c r="AB50" i="3"/>
  <c r="AB48" i="3"/>
  <c r="Y56" i="3"/>
  <c r="Z52" i="3"/>
  <c r="AA51" i="3"/>
  <c r="AA52" i="3" s="1"/>
  <c r="AA38" i="3"/>
  <c r="AA39" i="3" s="1"/>
  <c r="AB42" i="3"/>
  <c r="Z43" i="3"/>
  <c r="Z24" i="3" s="1"/>
  <c r="AD45" i="3"/>
  <c r="AD53" i="3" s="1"/>
  <c r="AB32" i="3"/>
  <c r="AA40" i="3"/>
  <c r="C10" i="3"/>
  <c r="C12" i="3"/>
  <c r="AC36" i="3" l="1"/>
  <c r="AD28" i="3"/>
  <c r="AC35" i="3"/>
  <c r="AC37" i="3"/>
  <c r="AC48" i="3"/>
  <c r="AC49" i="3"/>
  <c r="AC50" i="3"/>
  <c r="Z56" i="3"/>
  <c r="AB38" i="3"/>
  <c r="AB39" i="3" s="1"/>
  <c r="AB51" i="3"/>
  <c r="C13" i="3"/>
  <c r="C14" i="3" s="1"/>
  <c r="AC42" i="3"/>
  <c r="AA43" i="3"/>
  <c r="AA24" i="3" s="1"/>
  <c r="AA56" i="3"/>
  <c r="AE45" i="3"/>
  <c r="AE53" i="3" s="1"/>
  <c r="AC32" i="3"/>
  <c r="AB40" i="3"/>
  <c r="AD36" i="3" l="1"/>
  <c r="AE28" i="3"/>
  <c r="AD35" i="3"/>
  <c r="AD50" i="3"/>
  <c r="AD49" i="3"/>
  <c r="AD48" i="3"/>
  <c r="AD37" i="3"/>
  <c r="AB52" i="3"/>
  <c r="AC38" i="3"/>
  <c r="AC39" i="3" s="1"/>
  <c r="AC51" i="3"/>
  <c r="AC52" i="3" s="1"/>
  <c r="AD42" i="3"/>
  <c r="AB43" i="3"/>
  <c r="AB24" i="3" s="1"/>
  <c r="AF45" i="3"/>
  <c r="AF53" i="3" s="1"/>
  <c r="AD32" i="3"/>
  <c r="AC40" i="3"/>
  <c r="AE36" i="3" l="1"/>
  <c r="AF28" i="3"/>
  <c r="AE50" i="3"/>
  <c r="AE48" i="3"/>
  <c r="AE37" i="3"/>
  <c r="AE49" i="3"/>
  <c r="AE35" i="3"/>
  <c r="AB56" i="3"/>
  <c r="AD51" i="3"/>
  <c r="AD52" i="3" s="1"/>
  <c r="AD38" i="3"/>
  <c r="AD39" i="3" s="1"/>
  <c r="AE42" i="3"/>
  <c r="AC43" i="3"/>
  <c r="AC24" i="3" s="1"/>
  <c r="AG45" i="3"/>
  <c r="AG53" i="3" s="1"/>
  <c r="AE32" i="3"/>
  <c r="AD40" i="3"/>
  <c r="AF36" i="3" l="1"/>
  <c r="AG28" i="3"/>
  <c r="AF37" i="3"/>
  <c r="AF48" i="3"/>
  <c r="AF49" i="3"/>
  <c r="AF50" i="3"/>
  <c r="AF35" i="3"/>
  <c r="AC56" i="3"/>
  <c r="AE38" i="3"/>
  <c r="AE39" i="3" s="1"/>
  <c r="AE51" i="3"/>
  <c r="AE52" i="3" s="1"/>
  <c r="AF42" i="3"/>
  <c r="AD43" i="3"/>
  <c r="AD24" i="3" s="1"/>
  <c r="AH45" i="3"/>
  <c r="AH53" i="3" s="1"/>
  <c r="AF32" i="3"/>
  <c r="AE40" i="3"/>
  <c r="AG36" i="3" l="1"/>
  <c r="AH28" i="3"/>
  <c r="AG37" i="3"/>
  <c r="AG35" i="3"/>
  <c r="AG50" i="3"/>
  <c r="AG49" i="3"/>
  <c r="AG48" i="3"/>
  <c r="AD56" i="3"/>
  <c r="AF38" i="3"/>
  <c r="AF39" i="3" s="1"/>
  <c r="AF51" i="3"/>
  <c r="AF52" i="3" s="1"/>
  <c r="AG42" i="3"/>
  <c r="AE43" i="3"/>
  <c r="AE24" i="3" s="1"/>
  <c r="AG32" i="3"/>
  <c r="AF40" i="3"/>
  <c r="B6" i="3"/>
  <c r="AH36" i="3" l="1"/>
  <c r="AH49" i="3"/>
  <c r="AH37" i="3"/>
  <c r="AH48" i="3"/>
  <c r="AH50" i="3"/>
  <c r="AH35" i="3"/>
  <c r="AE56" i="3"/>
  <c r="AG38" i="3"/>
  <c r="AG39" i="3" s="1"/>
  <c r="AG51" i="3"/>
  <c r="AG52" i="3" s="1"/>
  <c r="AH42" i="3"/>
  <c r="AF43" i="3"/>
  <c r="AF24" i="3" s="1"/>
  <c r="AH32" i="3"/>
  <c r="AH40" i="3" s="1"/>
  <c r="AG40" i="3"/>
  <c r="AF56" i="3" l="1"/>
  <c r="AH38" i="3"/>
  <c r="AH39" i="3" s="1"/>
  <c r="AH51" i="3"/>
  <c r="AH52" i="3" s="1"/>
  <c r="AG43" i="3"/>
  <c r="AG24" i="3" s="1"/>
  <c r="AG56" i="3" l="1"/>
  <c r="AH43" i="3"/>
  <c r="AH24" i="3" s="1"/>
  <c r="AH56" i="3"/>
</calcChain>
</file>

<file path=xl/sharedStrings.xml><?xml version="1.0" encoding="utf-8"?>
<sst xmlns="http://schemas.openxmlformats.org/spreadsheetml/2006/main" count="243" uniqueCount="156">
  <si>
    <t>Age</t>
  </si>
  <si>
    <t>RELAY_ANA</t>
  </si>
  <si>
    <t>RELAY_ELE</t>
  </si>
  <si>
    <t>RELAY_DIG</t>
  </si>
  <si>
    <t/>
  </si>
  <si>
    <t>Project Description:</t>
  </si>
  <si>
    <t>ZSS</t>
  </si>
  <si>
    <t># Bus</t>
  </si>
  <si>
    <t># Schemes</t>
  </si>
  <si>
    <t>Relays</t>
  </si>
  <si>
    <t>Project Driver</t>
  </si>
  <si>
    <t>Unpld Cpx Unit Repl Cost k$</t>
  </si>
  <si>
    <t>Total Sec k$</t>
  </si>
  <si>
    <t>Total Bldg k$</t>
  </si>
  <si>
    <t>Total Proj k$</t>
  </si>
  <si>
    <t>Fdr Relay Type</t>
  </si>
  <si>
    <t>PoC Bus Trip</t>
  </si>
  <si>
    <t>PoC Fdr Trip</t>
  </si>
  <si>
    <t>Full Repl?</t>
  </si>
  <si>
    <t>Load</t>
  </si>
  <si>
    <t>Reliability Risk - Fdr Trip ($)</t>
  </si>
  <si>
    <t>Total Reliability Risk ($)</t>
  </si>
  <si>
    <t>PoC Safety</t>
  </si>
  <si>
    <t>Safety Risk ($)</t>
  </si>
  <si>
    <t>Total Utilisation (MW)</t>
  </si>
  <si>
    <t>Bus Utilisation (MW)</t>
  </si>
  <si>
    <t>Fdr Utilisation (MW)</t>
  </si>
  <si>
    <t># Fdrs</t>
  </si>
  <si>
    <t>Project Proposed Yr</t>
  </si>
  <si>
    <t>Project Duration (Yrs)</t>
  </si>
  <si>
    <t># Fdr Prot Relays</t>
  </si>
  <si>
    <t>PoCs</t>
  </si>
  <si>
    <t>Safety Cost (inclu disp factor)</t>
  </si>
  <si>
    <t>Safety Disproportionate Factor</t>
  </si>
  <si>
    <t>Bus Trip Duration (h)</t>
  </si>
  <si>
    <t>Fdr Trip Duration (h)</t>
  </si>
  <si>
    <t>VCR</t>
  </si>
  <si>
    <t>WACC</t>
  </si>
  <si>
    <t># ANA AR Relays</t>
  </si>
  <si>
    <t># Fdr Relays RELAY_DIG</t>
  </si>
  <si>
    <t># Fdr Relays RELAY_ELE</t>
  </si>
  <si>
    <t>Avg RELAY_DIG Fdr
Const Yr</t>
  </si>
  <si>
    <t>Avg RELAY_ANA 
AR Relay
Const Yr</t>
  </si>
  <si>
    <t># RELAY_DIG</t>
  </si>
  <si>
    <t># RELAY_ELE</t>
  </si>
  <si>
    <t># RELAY_ANA</t>
  </si>
  <si>
    <t>Avg RELAY_DIG Const Yr</t>
  </si>
  <si>
    <t>Avg RELAY_ELE Const Yr</t>
  </si>
  <si>
    <t>Avg RELAY_ANA Const Yr</t>
  </si>
  <si>
    <t>Asset Life</t>
  </si>
  <si>
    <t>High Risk Relay</t>
  </si>
  <si>
    <t>High Risk Stn</t>
  </si>
  <si>
    <t>Unplanned Asset Replacement</t>
  </si>
  <si>
    <t>PoC Reduction_Inc_Maint</t>
  </si>
  <si>
    <t># Annua Maintenance Interval</t>
  </si>
  <si>
    <t>Increased Annual Maint Interval in lieu of Replacement</t>
  </si>
  <si>
    <t>New OPEX Risk</t>
  </si>
  <si>
    <t>Replace relays</t>
  </si>
  <si>
    <t>Increased maintenance</t>
  </si>
  <si>
    <t>Status quo</t>
  </si>
  <si>
    <t>Select ZSS from drop-down list</t>
  </si>
  <si>
    <t>Output summary</t>
  </si>
  <si>
    <t>Unit Rate Factor</t>
  </si>
  <si>
    <t>CDA</t>
  </si>
  <si>
    <t>New Scheme replacement cost</t>
  </si>
  <si>
    <t>Driver</t>
  </si>
  <si>
    <t>Inv Code</t>
  </si>
  <si>
    <t>Proj Start Year</t>
  </si>
  <si>
    <t>CDA Relay replacement</t>
  </si>
  <si>
    <t>Project Completion</t>
  </si>
  <si>
    <t>Annualised OPEX Risk ($)</t>
  </si>
  <si>
    <t>Increased Maintenance</t>
  </si>
  <si>
    <t>MTS</t>
  </si>
  <si>
    <t>MTS Feeder relay replacement</t>
  </si>
  <si>
    <t>FTN</t>
  </si>
  <si>
    <t>FTN Relay replacement</t>
  </si>
  <si>
    <t>EL</t>
  </si>
  <si>
    <t>EL 66kV Relay replacement</t>
  </si>
  <si>
    <t>NW</t>
  </si>
  <si>
    <t>CM</t>
  </si>
  <si>
    <t>OAK</t>
  </si>
  <si>
    <t>DMA</t>
  </si>
  <si>
    <t>Yes</t>
  </si>
  <si>
    <t>No</t>
  </si>
  <si>
    <t>OAKLEIGH</t>
  </si>
  <si>
    <t>DROMANA</t>
  </si>
  <si>
    <t>NUNAWADING</t>
  </si>
  <si>
    <t>CHELTENHAM</t>
  </si>
  <si>
    <t>FRANKSTON SOUTH</t>
  </si>
  <si>
    <t>MALVERN TERMINAL STATION - ZS</t>
  </si>
  <si>
    <t>ELSTERNWICK</t>
  </si>
  <si>
    <t>CLARINDA</t>
  </si>
  <si>
    <t>null</t>
  </si>
  <si>
    <t>PoF_RELAY_DIG</t>
  </si>
  <si>
    <t>Avg RELAY_DIG Fdr Age</t>
  </si>
  <si>
    <t>Reliability Risk - Bus Trip (Fdr Relay Fail) ($)</t>
  </si>
  <si>
    <t>Reliability Risk - Bus Trip (Bus/BUEF Relay Fail) ($)</t>
  </si>
  <si>
    <t># Buses</t>
  </si>
  <si>
    <t>Reliability Risk - Stn Trip (Bus/BUEF Relay Fail) ($)</t>
  </si>
  <si>
    <t># of Bus, BUEF relays</t>
  </si>
  <si>
    <t>ZSS analysed</t>
  </si>
  <si>
    <t>Unplanned CAPEX cost ($)</t>
  </si>
  <si>
    <t>Status Quo</t>
  </si>
  <si>
    <t>Existing Digital Relay PoF</t>
  </si>
  <si>
    <t>New Digital Relay PoF</t>
  </si>
  <si>
    <t>Assessment Yr</t>
  </si>
  <si>
    <t>Project Year</t>
  </si>
  <si>
    <t>Total Relays</t>
  </si>
  <si>
    <t>Total No. of Relays</t>
  </si>
  <si>
    <t>Total No. of Fdr Relays</t>
  </si>
  <si>
    <t>Total Fdr Relays</t>
  </si>
  <si>
    <t>Total No. of Bus, BUEF Relays</t>
  </si>
  <si>
    <t>Total Risk</t>
  </si>
  <si>
    <t>Total Project Payment (Annual)</t>
  </si>
  <si>
    <t>Relays Replaced</t>
  </si>
  <si>
    <t>Project Investment</t>
  </si>
  <si>
    <t>Safety risk contribution to the overall risk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</si>
  <si>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</si>
  <si>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</si>
  <si>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</si>
  <si>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</si>
  <si>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</si>
  <si>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</si>
  <si>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</si>
  <si>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</si>
  <si>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</si>
  <si>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</si>
  <si>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</si>
  <si>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</si>
  <si>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Trend (Flat lined)</t>
  </si>
  <si>
    <t>EaR in MWh (VCR=1)?</t>
  </si>
  <si>
    <t>Replacement Age</t>
  </si>
  <si>
    <t>Total Project Cost ($)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</si>
  <si>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</si>
  <si>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</si>
  <si>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</si>
  <si>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</si>
  <si>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</si>
  <si>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</si>
  <si>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</si>
  <si>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</si>
  <si>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</si>
  <si>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</si>
  <si>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</si>
  <si>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</si>
  <si>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</si>
  <si>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</si>
  <si>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</si>
  <si>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</si>
  <si>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WEIGHTED AVERAGE DEMAND FORECAST (30% of 10%POE + 50% of 50% POE) x LDC</t>
  </si>
  <si>
    <t>WEIGHTED AVERAGE DEMAND FORECAST (30% of 10%POE + 50% of 50% POE) x 50%</t>
  </si>
  <si>
    <t>VCR ($2022/KWh)</t>
  </si>
  <si>
    <t>Regulatory proposal 2026-31</t>
  </si>
  <si>
    <t>Model number:</t>
  </si>
  <si>
    <t>United Energy</t>
  </si>
  <si>
    <t>Relay risk monetisation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</si>
</sst>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000"/>
    <numFmt numFmtId="166" formatCode="0.0"/>
    <numFmt numFmtId="167" formatCode="_-&quot;$&quot;* #,##0.0_-;\-&quot;$&quot;* #,##0.0_-;_-&quot;$&quot;* &quot;-&quot;??_-;_-@_-"/>
    <numFmt numFmtId="168" formatCode="0.00000"/>
    <numFmt numFmtId="169" formatCode="0.000"/>
    <numFmt numFmtId="170" formatCode="dd\ mmmm\ yyyy"/>
  </numFmts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0" tint="-0.14999847407452621"/>
      <name val="Arial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Arial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rgb="FFCC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left" vertical="center"/>
    </xf>
    <xf numFmtId="164" fontId="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Fill="1" applyBorder="1"/>
    <xf numFmtId="10" fontId="0" fillId="0" borderId="1" xfId="0" applyNumberFormat="1" applyBorder="1"/>
    <xf numFmtId="1" fontId="0" fillId="0" borderId="1" xfId="1" applyNumberFormat="1" applyFont="1" applyBorder="1"/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ont="1"/>
    <xf numFmtId="0" fontId="0" fillId="0" borderId="0" xfId="0" applyFont="1" applyFill="1"/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2" xfId="0" applyFont="1" applyFill="1" applyBorder="1"/>
    <xf numFmtId="0" fontId="0" fillId="0" borderId="2" xfId="0" applyFont="1" applyBorder="1"/>
    <xf numFmtId="0" fontId="0" fillId="3" borderId="1" xfId="0" applyFont="1" applyFill="1" applyBorder="1" applyAlignment="1">
      <alignment horizontal="left" indent="1"/>
    </xf>
    <xf numFmtId="0" fontId="0" fillId="3" borderId="3" xfId="0" applyFont="1" applyFill="1" applyBorder="1" applyAlignment="1">
      <alignment horizontal="left" indent="1"/>
    </xf>
    <xf numFmtId="0" fontId="0" fillId="0" borderId="3" xfId="0" applyFont="1" applyBorder="1" applyAlignment="1">
      <alignment horizontal="left" indent="2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indent="1"/>
    </xf>
    <xf numFmtId="0" fontId="0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0" xfId="1" applyNumberFormat="1" applyFont="1"/>
    <xf numFmtId="0" fontId="2" fillId="0" borderId="1" xfId="0" applyFont="1" applyBorder="1"/>
    <xf numFmtId="1" fontId="0" fillId="0" borderId="1" xfId="1" applyNumberFormat="1" applyFont="1" applyFill="1" applyBorder="1"/>
    <xf numFmtId="44" fontId="0" fillId="0" borderId="0" xfId="0" applyNumberFormat="1"/>
    <xf numFmtId="0" fontId="6" fillId="0" borderId="0" xfId="0" applyFont="1" applyAlignment="1">
      <alignment horizontal="left" vertical="top"/>
    </xf>
    <xf numFmtId="43" fontId="0" fillId="0" borderId="0" xfId="3" applyFont="1"/>
    <xf numFmtId="9" fontId="0" fillId="0" borderId="0" xfId="0" applyNumberFormat="1"/>
    <xf numFmtId="0" fontId="0" fillId="0" borderId="0" xfId="0"/>
    <xf numFmtId="0" fontId="0" fillId="0" borderId="1" xfId="0" applyBorder="1"/>
    <xf numFmtId="0" fontId="0" fillId="0" borderId="0" xfId="0" applyFont="1"/>
    <xf numFmtId="44" fontId="0" fillId="0" borderId="0" xfId="1" applyFont="1"/>
    <xf numFmtId="166" fontId="0" fillId="0" borderId="1" xfId="0" applyNumberFormat="1" applyFont="1" applyBorder="1"/>
    <xf numFmtId="168" fontId="0" fillId="0" borderId="1" xfId="0" applyNumberFormat="1" applyFont="1" applyBorder="1"/>
    <xf numFmtId="169" fontId="0" fillId="0" borderId="1" xfId="0" applyNumberFormat="1" applyFont="1" applyBorder="1"/>
    <xf numFmtId="2" fontId="0" fillId="0" borderId="1" xfId="0" applyNumberFormat="1" applyFont="1" applyBorder="1"/>
    <xf numFmtId="0" fontId="0" fillId="6" borderId="4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8" borderId="1" xfId="0" applyFill="1" applyBorder="1"/>
    <xf numFmtId="2" fontId="0" fillId="8" borderId="1" xfId="0" applyNumberForma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0" fillId="0" borderId="1" xfId="1" applyNumberFormat="1" applyFont="1" applyBorder="1"/>
    <xf numFmtId="168" fontId="0" fillId="0" borderId="1" xfId="0" applyNumberFormat="1" applyBorder="1" applyAlignment="1">
      <alignment horizontal="right"/>
    </xf>
    <xf numFmtId="2" fontId="0" fillId="0" borderId="5" xfId="0" applyNumberFormat="1" applyFont="1" applyFill="1" applyBorder="1"/>
    <xf numFmtId="0" fontId="2" fillId="9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64" fontId="2" fillId="0" borderId="1" xfId="1" applyNumberFormat="1" applyFont="1" applyBorder="1"/>
    <xf numFmtId="164" fontId="2" fillId="9" borderId="1" xfId="1" applyNumberFormat="1" applyFont="1" applyFill="1" applyBorder="1"/>
    <xf numFmtId="0" fontId="0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10" fontId="9" fillId="3" borderId="1" xfId="4" applyNumberFormat="1" applyFont="1" applyFill="1" applyBorder="1"/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/>
    <xf numFmtId="0" fontId="0" fillId="0" borderId="0" xfId="0" quotePrefix="1"/>
    <xf numFmtId="0" fontId="7" fillId="0" borderId="1" xfId="0" applyFont="1" applyBorder="1"/>
    <xf numFmtId="166" fontId="7" fillId="0" borderId="1" xfId="0" applyNumberFormat="1" applyFont="1" applyFill="1" applyBorder="1"/>
    <xf numFmtId="0" fontId="0" fillId="0" borderId="0" xfId="0" applyFont="1" applyFill="1" applyBorder="1" applyAlignment="1">
      <alignment horizontal="left"/>
    </xf>
    <xf numFmtId="2" fontId="0" fillId="0" borderId="0" xfId="4" applyNumberFormat="1" applyFont="1" applyFill="1"/>
    <xf numFmtId="164" fontId="2" fillId="0" borderId="1" xfId="1" applyNumberFormat="1" applyFont="1" applyBorder="1" applyAlignment="1">
      <alignment horizontal="left"/>
    </xf>
    <xf numFmtId="44" fontId="0" fillId="0" borderId="1" xfId="1" applyNumberFormat="1" applyFont="1" applyBorder="1"/>
    <xf numFmtId="167" fontId="2" fillId="0" borderId="1" xfId="0" applyNumberFormat="1" applyFont="1" applyBorder="1"/>
    <xf numFmtId="0" fontId="2" fillId="0" borderId="0" xfId="0" applyFont="1"/>
    <xf numFmtId="44" fontId="2" fillId="0" borderId="1" xfId="1" applyFont="1" applyBorder="1"/>
    <xf numFmtId="167" fontId="2" fillId="0" borderId="1" xfId="1" applyNumberFormat="1" applyFont="1" applyBorder="1"/>
    <xf numFmtId="0" fontId="0" fillId="3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Border="1"/>
    <xf numFmtId="43" fontId="0" fillId="0" borderId="0" xfId="3" applyFont="1" applyBorder="1"/>
    <xf numFmtId="0" fontId="1" fillId="10" borderId="0" xfId="7" applyFill="1"/>
    <xf numFmtId="0" fontId="1" fillId="0" borderId="0" xfId="7"/>
    <xf numFmtId="0" fontId="10" fillId="0" borderId="0" xfId="7" applyFont="1"/>
    <xf numFmtId="0" fontId="11" fillId="0" borderId="0" xfId="7" applyFont="1"/>
    <xf numFmtId="0" fontId="12" fillId="0" borderId="0" xfId="7" applyFont="1"/>
    <xf numFmtId="0" fontId="13" fillId="0" borderId="0" xfId="7" applyFont="1"/>
    <xf numFmtId="0" fontId="14" fillId="0" borderId="0" xfId="7" applyFont="1"/>
    <xf numFmtId="0" fontId="15" fillId="0" borderId="0" xfId="7" applyFont="1"/>
    <xf numFmtId="170" fontId="16" fillId="0" borderId="0" xfId="7" applyNumberFormat="1" applyFont="1" applyAlignment="1">
      <alignment horizontal="left"/>
    </xf>
    <xf numFmtId="0" fontId="17" fillId="0" borderId="0" xfId="7" applyFont="1"/>
    <xf numFmtId="0" fontId="18" fillId="0" borderId="0" xfId="8"/>
    <xf numFmtId="2" fontId="7" fillId="11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0" fontId="14" fillId="0" borderId="0" xfId="7" applyNumberFormat="1" applyFont="1" applyAlignment="1">
      <alignment horizontal="left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/>
    </xf>
  </cellXfs>
  <cellStyles count="9">
    <cellStyle name="Comma" xfId="3" builtinId="3"/>
    <cellStyle name="Comma 2" xfId="6" xr:uid="{DB0D092D-04E8-4312-B742-E21A24748079}"/>
    <cellStyle name="Currency" xfId="1" builtinId="4"/>
    <cellStyle name="Currency 2" xfId="5" xr:uid="{3F2D51E9-3352-40AB-A362-49F6B48FB639}"/>
    <cellStyle name="Normal" xfId="0" builtinId="0"/>
    <cellStyle name="Normal 2" xfId="2" xr:uid="{00000000-0005-0000-0000-000002000000}"/>
    <cellStyle name="Normal 3" xfId="7" xr:uid="{11D90901-05A8-48CD-B220-63F48E3A8EFF}"/>
    <cellStyle name="Normal 4" xfId="8" xr:uid="{F4B617AA-5A66-424B-AF40-DB5072DCCCE6}"/>
    <cellStyle name="Percent" xfId="4" builtinId="5"/>
  </cellStyles>
  <dxfs count="0"/>
  <tableStyles count="0" defaultTableStyle="TableStyleMedium2" defaultPivotStyle="PivotStyleMedium9"/>
  <colors>
    <mruColors>
      <color rgb="FFCCFF99"/>
      <color rgb="FF00FFFF"/>
      <color rgb="FFFFFFCC"/>
      <color rgb="FF797A7E"/>
      <color rgb="FFE91164"/>
      <color rgb="FFF493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3030788170269E-2"/>
          <c:y val="0.13070609096376834"/>
          <c:w val="0.87725428474649114"/>
          <c:h val="0.71478872785289305"/>
        </c:manualLayout>
      </c:layout>
      <c:lineChart>
        <c:grouping val="standard"/>
        <c:varyColors val="0"/>
        <c:ser>
          <c:idx val="0"/>
          <c:order val="0"/>
          <c:tx>
            <c:strRef>
              <c:f>'Risk Model'!$B$44</c:f>
              <c:strCache>
                <c:ptCount val="1"/>
                <c:pt idx="0">
                  <c:v>Relays Replaced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'Risk Model'!$D$26:$AH$26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'Risk Model'!$D$56:$AH$56</c:f>
              <c:numCache>
                <c:formatCode>_-"$"* #,##0_-;\-"$"* #,##0_-;_-"$"* "-"??_-;_-@_-</c:formatCode>
                <c:ptCount val="31"/>
                <c:pt idx="0">
                  <c:v>116440.18581743492</c:v>
                </c:pt>
                <c:pt idx="1">
                  <c:v>127330.51458887458</c:v>
                </c:pt>
                <c:pt idx="2">
                  <c:v>138084.7136292514</c:v>
                </c:pt>
                <c:pt idx="3">
                  <c:v>149612.16509376792</c:v>
                </c:pt>
                <c:pt idx="4">
                  <c:v>161675.951536243</c:v>
                </c:pt>
                <c:pt idx="5">
                  <c:v>174056.32534929589</c:v>
                </c:pt>
                <c:pt idx="6">
                  <c:v>186722.87939126589</c:v>
                </c:pt>
                <c:pt idx="7">
                  <c:v>8068.5337864606408</c:v>
                </c:pt>
                <c:pt idx="8">
                  <c:v>8359.7682672553365</c:v>
                </c:pt>
                <c:pt idx="9">
                  <c:v>8853.0636565026743</c:v>
                </c:pt>
                <c:pt idx="10">
                  <c:v>9545.0299020737984</c:v>
                </c:pt>
                <c:pt idx="11">
                  <c:v>10434.958725361568</c:v>
                </c:pt>
                <c:pt idx="12">
                  <c:v>11535.444705877422</c:v>
                </c:pt>
                <c:pt idx="13">
                  <c:v>12821.121406644072</c:v>
                </c:pt>
                <c:pt idx="14">
                  <c:v>14302.420478739265</c:v>
                </c:pt>
                <c:pt idx="15">
                  <c:v>15977.349156741941</c:v>
                </c:pt>
                <c:pt idx="16">
                  <c:v>17843.112293161979</c:v>
                </c:pt>
                <c:pt idx="17">
                  <c:v>19895.98483301498</c:v>
                </c:pt>
                <c:pt idx="18">
                  <c:v>22131.186496790011</c:v>
                </c:pt>
                <c:pt idx="19">
                  <c:v>24542.760296024335</c:v>
                </c:pt>
                <c:pt idx="20">
                  <c:v>27123.456832511525</c:v>
                </c:pt>
                <c:pt idx="21">
                  <c:v>29864.626657258992</c:v>
                </c:pt>
                <c:pt idx="22">
                  <c:v>32756.123278132527</c:v>
                </c:pt>
                <c:pt idx="23">
                  <c:v>35786.219692658517</c:v>
                </c:pt>
                <c:pt idx="24">
                  <c:v>38941.541569327361</c:v>
                </c:pt>
                <c:pt idx="25">
                  <c:v>42207.020389537458</c:v>
                </c:pt>
                <c:pt idx="26">
                  <c:v>45565.869974068322</c:v>
                </c:pt>
                <c:pt idx="27">
                  <c:v>48999.58983288036</c:v>
                </c:pt>
                <c:pt idx="28">
                  <c:v>52487.998675426556</c:v>
                </c:pt>
                <c:pt idx="29">
                  <c:v>56009.301182122552</c:v>
                </c:pt>
                <c:pt idx="30">
                  <c:v>59540.190750375667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7-4604-AFFC-AB3757676991}"/>
            </c:ext>
          </c:extLst>
        </c:ser>
        <c:ser>
          <c:idx val="1"/>
          <c:order val="1"/>
          <c:tx>
            <c:strRef>
              <c:f>'Risk Model'!$B$31:$B$43</c:f>
              <c:strCache>
                <c:ptCount val="1"/>
                <c:pt idx="0">
                  <c:v>Status Quo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'Risk Model'!$D$26:$AH$26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'Risk Model'!$D$43:$AH$43</c:f>
              <c:numCache>
                <c:formatCode>_-"$"* #,##0_-;\-"$"* #,##0_-;_-"$"* "-"??_-;_-@_-</c:formatCode>
                <c:ptCount val="31"/>
                <c:pt idx="0">
                  <c:v>116440.18581743492</c:v>
                </c:pt>
                <c:pt idx="1">
                  <c:v>127330.51458887458</c:v>
                </c:pt>
                <c:pt idx="2">
                  <c:v>138084.7136292514</c:v>
                </c:pt>
                <c:pt idx="3">
                  <c:v>149612.16509376792</c:v>
                </c:pt>
                <c:pt idx="4">
                  <c:v>161675.951536243</c:v>
                </c:pt>
                <c:pt idx="5">
                  <c:v>174056.32534929589</c:v>
                </c:pt>
                <c:pt idx="6">
                  <c:v>186722.87939126589</c:v>
                </c:pt>
                <c:pt idx="7">
                  <c:v>199847.69616309149</c:v>
                </c:pt>
                <c:pt idx="8">
                  <c:v>213588.27753746472</c:v>
                </c:pt>
                <c:pt idx="9">
                  <c:v>228049.89104269576</c:v>
                </c:pt>
                <c:pt idx="10">
                  <c:v>242387.97442667888</c:v>
                </c:pt>
                <c:pt idx="11">
                  <c:v>256815.3096415012</c:v>
                </c:pt>
                <c:pt idx="12">
                  <c:v>271774.78234425059</c:v>
                </c:pt>
                <c:pt idx="13">
                  <c:v>286457.24798783439</c:v>
                </c:pt>
                <c:pt idx="14">
                  <c:v>301293.4384373168</c:v>
                </c:pt>
                <c:pt idx="15">
                  <c:v>316247.19900437613</c:v>
                </c:pt>
                <c:pt idx="16">
                  <c:v>331280.73429882212</c:v>
                </c:pt>
                <c:pt idx="17">
                  <c:v>346354.68788191269</c:v>
                </c:pt>
                <c:pt idx="18">
                  <c:v>361428.23794227868</c:v>
                </c:pt>
                <c:pt idx="19">
                  <c:v>376459.20933840639</c:v>
                </c:pt>
                <c:pt idx="20">
                  <c:v>391404.20220880205</c:v>
                </c:pt>
                <c:pt idx="21">
                  <c:v>406218.73719172023</c:v>
                </c:pt>
                <c:pt idx="22">
                  <c:v>420857.41712169012</c:v>
                </c:pt>
                <c:pt idx="23">
                  <c:v>435274.10488136829</c:v>
                </c:pt>
                <c:pt idx="24">
                  <c:v>449422.11688625871</c:v>
                </c:pt>
                <c:pt idx="25">
                  <c:v>463254.43146878324</c:v>
                </c:pt>
                <c:pt idx="26">
                  <c:v>476723.91120964848</c:v>
                </c:pt>
                <c:pt idx="27">
                  <c:v>489783.53804142051</c:v>
                </c:pt>
                <c:pt idx="28">
                  <c:v>502386.65972508624</c:v>
                </c:pt>
                <c:pt idx="29">
                  <c:v>514487.24607876013</c:v>
                </c:pt>
                <c:pt idx="30">
                  <c:v>526040.15312263393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7-4604-AFFC-AB3757676991}"/>
            </c:ext>
          </c:extLst>
        </c:ser>
        <c:ser>
          <c:idx val="2"/>
          <c:order val="2"/>
          <c:tx>
            <c:strRef>
              <c:f>'Risk Model'!$C$58</c:f>
              <c:strCache>
                <c:ptCount val="1"/>
                <c:pt idx="0">
                  <c:v>Total Project Payment (Annual)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'Risk Model'!$D$26:$AH$26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'Risk Model'!$D$58:$AH$58</c:f>
              <c:numCache>
                <c:formatCode>_-"$"* #,##0_-;\-"$"* #,##0_-;_-"$"* "-"??_-;_-@_-</c:formatCode>
                <c:ptCount val="31"/>
                <c:pt idx="0">
                  <c:v>169257.9552939095</c:v>
                </c:pt>
                <c:pt idx="1">
                  <c:v>169257.9552939095</c:v>
                </c:pt>
                <c:pt idx="2">
                  <c:v>169257.9552939095</c:v>
                </c:pt>
                <c:pt idx="3">
                  <c:v>169257.9552939095</c:v>
                </c:pt>
                <c:pt idx="4">
                  <c:v>169257.9552939095</c:v>
                </c:pt>
                <c:pt idx="5">
                  <c:v>169257.9552939095</c:v>
                </c:pt>
                <c:pt idx="6">
                  <c:v>169257.9552939095</c:v>
                </c:pt>
                <c:pt idx="7">
                  <c:v>169257.9552939095</c:v>
                </c:pt>
                <c:pt idx="8">
                  <c:v>169257.9552939095</c:v>
                </c:pt>
                <c:pt idx="9">
                  <c:v>169257.9552939095</c:v>
                </c:pt>
                <c:pt idx="10">
                  <c:v>169257.9552939095</c:v>
                </c:pt>
                <c:pt idx="11">
                  <c:v>169257.9552939095</c:v>
                </c:pt>
                <c:pt idx="12">
                  <c:v>169257.9552939095</c:v>
                </c:pt>
                <c:pt idx="13">
                  <c:v>169257.9552939095</c:v>
                </c:pt>
                <c:pt idx="14">
                  <c:v>169257.9552939095</c:v>
                </c:pt>
                <c:pt idx="15">
                  <c:v>169257.9552939095</c:v>
                </c:pt>
                <c:pt idx="16">
                  <c:v>169257.9552939095</c:v>
                </c:pt>
                <c:pt idx="17">
                  <c:v>169257.9552939095</c:v>
                </c:pt>
                <c:pt idx="18">
                  <c:v>169257.9552939095</c:v>
                </c:pt>
                <c:pt idx="19">
                  <c:v>169257.9552939095</c:v>
                </c:pt>
                <c:pt idx="20">
                  <c:v>169257.9552939095</c:v>
                </c:pt>
                <c:pt idx="21">
                  <c:v>169257.9552939095</c:v>
                </c:pt>
                <c:pt idx="22">
                  <c:v>169257.9552939095</c:v>
                </c:pt>
                <c:pt idx="23">
                  <c:v>169257.9552939095</c:v>
                </c:pt>
                <c:pt idx="24">
                  <c:v>169257.9552939095</c:v>
                </c:pt>
                <c:pt idx="25">
                  <c:v>169257.9552939095</c:v>
                </c:pt>
                <c:pt idx="26">
                  <c:v>169257.9552939095</c:v>
                </c:pt>
                <c:pt idx="27">
                  <c:v>169257.9552939095</c:v>
                </c:pt>
                <c:pt idx="28">
                  <c:v>169257.9552939095</c:v>
                </c:pt>
                <c:pt idx="29">
                  <c:v>169257.9552939095</c:v>
                </c:pt>
                <c:pt idx="30">
                  <c:v>169257.9552939095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7-4604-AFFC-AB3757676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274736"/>
        <c:axId val="860275128"/>
      </c:lineChart>
      <c:catAx>
        <c:axId val="86027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275128"/>
        <c:crosses val="autoZero"/>
        <c:auto val="1"/>
        <c:lblAlgn val="ctr"/>
        <c:lblOffset val="100"/>
        <c:noMultiLvlLbl val="0"/>
      </c:catAx>
      <c:valAx>
        <c:axId val="86027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2747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55784390747161"/>
          <c:y val="3.0294088105374161E-2"/>
          <c:w val="0.52131085055204207"/>
          <c:h val="7.6010038658140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9525</xdr:rowOff>
    </xdr:from>
    <xdr:to>
      <xdr:col>10</xdr:col>
      <xdr:colOff>286871</xdr:colOff>
      <xdr:row>2</xdr:row>
      <xdr:rowOff>152827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F2703F-304C-4F88-B04C-3114B4E4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000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1277359</xdr:colOff>
      <xdr:row>2</xdr:row>
      <xdr:rowOff>174492</xdr:rowOff>
    </xdr:from>
    <xdr:to>
      <xdr:col>9</xdr:col>
      <xdr:colOff>0</xdr:colOff>
      <xdr:row>19</xdr:row>
      <xdr:rowOff>134471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D1348921-DEF9-DEB9-F0A4-DBD180B55BED}"/>
            </a:ext>
          </a:extLst>
        </xdr:cNvPr>
        <xdr:cNvGrpSpPr/>
      </xdr:nvGrpSpPr>
      <xdr:grpSpPr>
        <a:xfrm>
          <a:off x="6510506" y="533080"/>
          <a:ext cx="6858112" cy="3019185"/>
          <a:chOff x="20036214" y="353786"/>
          <a:chExt cx="12449139" cy="2641109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4D98A01B-CB5D-4E3F-B138-80CA9324378C}"/>
              </a:ext>
            </a:extLst>
          </xdr:cNvPr>
          <xdr:cNvGraphicFramePr>
            <a:graphicFrameLocks/>
          </xdr:cNvGraphicFramePr>
        </xdr:nvGraphicFramePr>
        <xdr:xfrm>
          <a:off x="20070536" y="353786"/>
          <a:ext cx="12414817" cy="26117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8C28C5D-A851-A267-5A7F-2C00E4ECDB69}"/>
              </a:ext>
            </a:extLst>
          </xdr:cNvPr>
          <xdr:cNvSpPr txBox="1"/>
        </xdr:nvSpPr>
        <xdr:spPr>
          <a:xfrm rot="16200000">
            <a:off x="19573107" y="1314006"/>
            <a:ext cx="1180772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100">
                <a:solidFill>
                  <a:sysClr val="windowText" lastClr="000000"/>
                </a:solidFill>
              </a:rPr>
              <a:t>Annualised cost</a:t>
            </a:r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60ED4B42-7FDD-4207-8550-14D7835213ED}"/>
              </a:ext>
            </a:extLst>
          </xdr:cNvPr>
          <xdr:cNvSpPr txBox="1"/>
        </xdr:nvSpPr>
        <xdr:spPr>
          <a:xfrm>
            <a:off x="26846288" y="2740338"/>
            <a:ext cx="482696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100">
                <a:solidFill>
                  <a:sysClr val="windowText" lastClr="000000"/>
                </a:solidFill>
              </a:rPr>
              <a:t>Year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AMP Theme">
  <a:themeElements>
    <a:clrScheme name="AMP Templat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15B"/>
      </a:accent1>
      <a:accent2>
        <a:srgbClr val="EE2A24"/>
      </a:accent2>
      <a:accent3>
        <a:srgbClr val="58595B"/>
      </a:accent3>
      <a:accent4>
        <a:srgbClr val="C7DBF2"/>
      </a:accent4>
      <a:accent5>
        <a:srgbClr val="F49357"/>
      </a:accent5>
      <a:accent6>
        <a:srgbClr val="E91164"/>
      </a:accent6>
      <a:hlink>
        <a:srgbClr val="0563C1"/>
      </a:hlink>
      <a:folHlink>
        <a:srgbClr val="954F72"/>
      </a:folHlink>
    </a:clrScheme>
    <a:fontScheme name="AMP Templat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6774-F8BB-4F33-B2B3-99C4910E7B4A}">
  <sheetPr codeName="Sheet11">
    <tabColor theme="2" tint="-0.749992370372631"/>
  </sheetPr>
  <dimension ref="A1:S41"/>
  <sheetViews>
    <sheetView showGridLines="0" tabSelected="1" zoomScaleNormal="100" workbookViewId="0">
      <selection activeCell="A39" sqref="A39"/>
    </sheetView>
  </sheetViews>
  <sheetFormatPr defaultColWidth="0" defaultRowHeight="15" customHeight="1" zeroHeight="1" x14ac:dyDescent="0.2"/>
  <cols>
    <col min="1" max="1" width="8" style="90" customWidth="1"/>
    <col min="2" max="2" width="1.875" style="90" customWidth="1"/>
    <col min="3" max="3" width="14" style="90" customWidth="1"/>
    <col min="4" max="4" width="8" style="90" customWidth="1"/>
    <col min="5" max="5" width="9.375" style="90" customWidth="1"/>
    <col min="6" max="11" width="8" style="90" customWidth="1"/>
    <col min="12" max="19" width="8" style="90" hidden="1" customWidth="1"/>
    <col min="20" max="16384" width="0" style="90" hidden="1"/>
  </cols>
  <sheetData>
    <row r="1" spans="1:19" ht="14.25" x14ac:dyDescent="0.2">
      <c r="A1" s="89"/>
    </row>
    <row r="2" spans="1:19" ht="23.25" x14ac:dyDescent="0.35">
      <c r="A2" s="89"/>
      <c r="C2" s="91" t="s">
        <v>154</v>
      </c>
      <c r="D2" s="92"/>
      <c r="E2" s="92"/>
    </row>
    <row r="3" spans="1:19" ht="15.75" x14ac:dyDescent="0.25">
      <c r="A3" s="89"/>
      <c r="C3" s="93" t="s">
        <v>152</v>
      </c>
      <c r="D3" s="92"/>
      <c r="E3" s="92"/>
    </row>
    <row r="4" spans="1:19" ht="14.25" x14ac:dyDescent="0.2">
      <c r="A4" s="89"/>
      <c r="D4" s="92"/>
      <c r="E4" s="92"/>
    </row>
    <row r="5" spans="1:19" x14ac:dyDescent="0.25">
      <c r="A5" s="89"/>
      <c r="C5" s="94" t="s">
        <v>155</v>
      </c>
    </row>
    <row r="6" spans="1:19" ht="14.25" x14ac:dyDescent="0.2">
      <c r="A6" s="89"/>
      <c r="C6" s="95" t="s">
        <v>153</v>
      </c>
      <c r="D6" s="102">
        <v>4.05</v>
      </c>
      <c r="E6" s="95"/>
    </row>
    <row r="7" spans="1:19" ht="14.25" x14ac:dyDescent="0.2">
      <c r="A7" s="89"/>
      <c r="F7" s="96"/>
      <c r="G7" s="96"/>
      <c r="H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 ht="14.25" x14ac:dyDescent="0.2">
      <c r="A8" s="89"/>
      <c r="C8" s="97">
        <v>45688</v>
      </c>
      <c r="F8" s="96"/>
      <c r="G8" s="96"/>
      <c r="H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 ht="14.25" x14ac:dyDescent="0.2">
      <c r="A9" s="89"/>
      <c r="C9" s="98"/>
      <c r="D9" s="98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9" ht="14.25" x14ac:dyDescent="0.2">
      <c r="A10" s="89"/>
      <c r="C10" s="98"/>
      <c r="D10" s="9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ht="14.25" x14ac:dyDescent="0.2">
      <c r="A11" s="89"/>
      <c r="C11" s="98"/>
      <c r="D11" s="98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ht="14.25" x14ac:dyDescent="0.2">
      <c r="A12" s="89"/>
      <c r="C12" s="98"/>
      <c r="D12" s="98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spans="1:19" ht="14.25" x14ac:dyDescent="0.2">
      <c r="A13" s="89"/>
      <c r="C13" s="98"/>
      <c r="D13" s="9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14.25" x14ac:dyDescent="0.2">
      <c r="A14" s="89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19" x14ac:dyDescent="0.25">
      <c r="A15" s="89"/>
      <c r="C15" s="94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x14ac:dyDescent="0.25">
      <c r="A16" s="89"/>
      <c r="C16" s="94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1:19" ht="14.25" x14ac:dyDescent="0.2">
      <c r="A17" s="89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spans="1:19" ht="14.25" x14ac:dyDescent="0.2">
      <c r="A18" s="89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1:19" ht="14.25" x14ac:dyDescent="0.2">
      <c r="A19" s="89"/>
      <c r="C19" s="96"/>
      <c r="D19" s="96"/>
      <c r="E19" s="96"/>
      <c r="F19" s="96"/>
      <c r="G19" s="99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19" ht="14.25" x14ac:dyDescent="0.2">
      <c r="A20" s="89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 ht="16.5" customHeight="1" x14ac:dyDescent="0.2">
      <c r="A21" s="89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1:19" ht="14.25" x14ac:dyDescent="0.2">
      <c r="A22" s="89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1:19" ht="14.25" x14ac:dyDescent="0.2">
      <c r="A23" s="89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1:19" ht="14.25" x14ac:dyDescent="0.2">
      <c r="A24" s="89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1:19" ht="14.25" x14ac:dyDescent="0.2">
      <c r="A25" s="89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spans="1:19" ht="14.25" x14ac:dyDescent="0.2">
      <c r="A26" s="89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19" ht="14.25" x14ac:dyDescent="0.2">
      <c r="A27" s="89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 ht="14.25" x14ac:dyDescent="0.2">
      <c r="A28" s="89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ht="14.25" x14ac:dyDescent="0.2">
      <c r="A29" s="89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19" ht="14.25" x14ac:dyDescent="0.2">
      <c r="A30" s="89"/>
      <c r="C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19" ht="14.25" x14ac:dyDescent="0.2">
      <c r="A31" s="89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14.25" x14ac:dyDescent="0.2">
      <c r="A32" s="89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4.25" x14ac:dyDescent="0.2">
      <c r="A33" s="89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4.25" x14ac:dyDescent="0.2">
      <c r="A34" s="89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14.25" x14ac:dyDescent="0.2">
      <c r="A35" s="89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1:19" ht="14.25" x14ac:dyDescent="0.2">
      <c r="A36" s="89"/>
    </row>
    <row r="37" spans="1:19" ht="14.25" x14ac:dyDescent="0.2">
      <c r="A37" s="89"/>
    </row>
    <row r="38" spans="1:19" ht="14.25" x14ac:dyDescent="0.2">
      <c r="A38" s="89"/>
    </row>
    <row r="39" spans="1:19" ht="14.25" x14ac:dyDescent="0.2">
      <c r="A39" s="89"/>
    </row>
    <row r="40" spans="1:19" ht="14.25" x14ac:dyDescent="0.2">
      <c r="A40" s="89">
        <f ca="1">_xlfn.SHEETS()</f>
        <v>7</v>
      </c>
    </row>
    <row r="41" spans="1:19" ht="14.25" x14ac:dyDescent="0.2">
      <c r="A41" s="8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FFFF"/>
  </sheetPr>
  <dimension ref="B1:AI58"/>
  <sheetViews>
    <sheetView showGridLines="0" zoomScale="85" zoomScaleNormal="85" workbookViewId="0"/>
  </sheetViews>
  <sheetFormatPr defaultColWidth="9" defaultRowHeight="14.25" x14ac:dyDescent="0.2"/>
  <cols>
    <col min="1" max="1" width="2.125" style="20" customWidth="1"/>
    <col min="2" max="2" width="21" style="20" customWidth="1"/>
    <col min="3" max="3" width="45.625" style="20" customWidth="1"/>
    <col min="4" max="16" width="17.75" style="20" customWidth="1"/>
    <col min="17" max="17" width="21.375" style="20" customWidth="1"/>
    <col min="18" max="31" width="17.75" style="20" customWidth="1"/>
    <col min="32" max="32" width="13" style="20" customWidth="1"/>
    <col min="33" max="33" width="16.25" style="20" customWidth="1"/>
    <col min="34" max="39" width="17.625" style="20" customWidth="1"/>
    <col min="40" max="16384" width="9" style="20"/>
  </cols>
  <sheetData>
    <row r="1" spans="2:21" x14ac:dyDescent="0.2">
      <c r="D1" s="21"/>
      <c r="E1" s="21"/>
      <c r="F1" s="21"/>
      <c r="G1" s="21"/>
      <c r="H1" s="21"/>
      <c r="I1" s="21"/>
      <c r="J1" s="21"/>
    </row>
    <row r="2" spans="2:21" x14ac:dyDescent="0.2">
      <c r="B2" s="26" t="s">
        <v>106</v>
      </c>
      <c r="C2" s="22">
        <v>2024</v>
      </c>
      <c r="D2" s="21"/>
      <c r="E2" s="85" t="s">
        <v>61</v>
      </c>
      <c r="F2" s="85"/>
      <c r="G2" s="85"/>
      <c r="H2" s="85"/>
      <c r="I2" s="85"/>
      <c r="J2" s="21"/>
      <c r="K2"/>
      <c r="L2"/>
      <c r="M2"/>
    </row>
    <row r="3" spans="2:21" x14ac:dyDescent="0.2">
      <c r="B3" s="26" t="s">
        <v>6</v>
      </c>
      <c r="C3" s="23" t="s">
        <v>74</v>
      </c>
      <c r="D3" s="21"/>
      <c r="E3" s="21"/>
      <c r="F3" s="21"/>
      <c r="G3" s="21"/>
      <c r="H3" s="21"/>
      <c r="I3" s="21"/>
      <c r="J3" s="21"/>
    </row>
    <row r="4" spans="2:21" x14ac:dyDescent="0.2">
      <c r="B4" s="31" t="s">
        <v>60</v>
      </c>
      <c r="D4" s="21"/>
      <c r="E4" s="21"/>
      <c r="F4" s="21"/>
      <c r="G4" s="21"/>
      <c r="H4" s="21"/>
      <c r="I4" s="21"/>
      <c r="J4" s="21"/>
      <c r="O4" s="45"/>
      <c r="Q4" s="38"/>
      <c r="U4" s="48"/>
    </row>
    <row r="5" spans="2:21" x14ac:dyDescent="0.2">
      <c r="B5" s="34" t="s">
        <v>62</v>
      </c>
      <c r="C5" s="35">
        <v>1</v>
      </c>
      <c r="D5" s="21"/>
      <c r="E5" s="21"/>
      <c r="F5" s="21"/>
      <c r="G5" s="21"/>
      <c r="H5" s="21"/>
      <c r="I5" s="21"/>
      <c r="J5" s="21"/>
      <c r="O5" s="45"/>
      <c r="P5" s="47"/>
      <c r="Q5" s="38"/>
      <c r="U5" s="48"/>
    </row>
    <row r="6" spans="2:21" x14ac:dyDescent="0.2">
      <c r="B6" s="27" t="str">
        <f>CONCATENATE(C3," relay replacement")</f>
        <v>FTN relay replacement</v>
      </c>
      <c r="C6" s="24"/>
      <c r="D6" s="21"/>
      <c r="E6" s="21"/>
      <c r="F6" s="21"/>
      <c r="G6" s="21"/>
      <c r="H6" s="21"/>
      <c r="I6" s="21"/>
      <c r="J6" s="21"/>
      <c r="O6" s="45"/>
      <c r="P6" s="47"/>
      <c r="Q6" s="38"/>
      <c r="U6" s="48"/>
    </row>
    <row r="7" spans="2:21" x14ac:dyDescent="0.2">
      <c r="B7" s="28" t="s">
        <v>59</v>
      </c>
      <c r="C7" s="25"/>
      <c r="D7" s="21"/>
      <c r="E7" s="21"/>
      <c r="F7" s="21"/>
      <c r="G7" s="21"/>
      <c r="H7" s="21"/>
      <c r="I7" s="21"/>
      <c r="J7" s="21"/>
      <c r="O7" s="45"/>
      <c r="P7" s="47"/>
      <c r="Q7" s="38"/>
      <c r="U7" s="48"/>
    </row>
    <row r="8" spans="2:21" x14ac:dyDescent="0.2">
      <c r="B8" s="28" t="s">
        <v>57</v>
      </c>
      <c r="C8" s="25"/>
      <c r="D8" s="21"/>
      <c r="E8" s="21"/>
      <c r="F8" s="21"/>
      <c r="G8" s="21"/>
      <c r="H8" s="21"/>
      <c r="I8" s="21"/>
      <c r="J8" s="21"/>
      <c r="O8" s="45"/>
      <c r="P8" s="47"/>
      <c r="Q8" s="38"/>
      <c r="U8" s="48"/>
    </row>
    <row r="9" spans="2:21" x14ac:dyDescent="0.2">
      <c r="B9" s="28" t="s">
        <v>58</v>
      </c>
      <c r="C9" s="25"/>
      <c r="D9" s="21"/>
      <c r="E9" s="21"/>
      <c r="F9" s="21"/>
      <c r="G9" s="21"/>
      <c r="H9" s="21"/>
      <c r="I9" s="21"/>
      <c r="J9" s="21"/>
      <c r="O9" s="45"/>
      <c r="P9" s="47"/>
      <c r="Q9" s="38"/>
      <c r="U9" s="48"/>
    </row>
    <row r="10" spans="2:21" x14ac:dyDescent="0.2">
      <c r="B10" s="26" t="s">
        <v>65</v>
      </c>
      <c r="C10" s="37" t="str">
        <f>VLOOKUP($C$3,'ZSS Data'!$B$2:$F$8,5,FALSE)</f>
        <v>Relays</v>
      </c>
      <c r="D10" s="21"/>
      <c r="E10" s="21"/>
      <c r="F10" s="21"/>
      <c r="G10" s="21"/>
      <c r="H10" s="21"/>
      <c r="I10" s="21"/>
      <c r="J10" s="21"/>
      <c r="O10" s="45"/>
      <c r="P10" s="47"/>
      <c r="Q10" s="38"/>
      <c r="U10" s="48"/>
    </row>
    <row r="11" spans="2:21" x14ac:dyDescent="0.2">
      <c r="B11" s="26" t="s">
        <v>66</v>
      </c>
      <c r="C11" s="101"/>
      <c r="D11" s="21"/>
      <c r="E11" s="21"/>
      <c r="F11" s="21"/>
      <c r="G11" s="21"/>
      <c r="H11" s="21"/>
      <c r="I11" s="21"/>
      <c r="J11" s="21"/>
      <c r="O11" s="45"/>
      <c r="P11" s="47"/>
      <c r="Q11" s="38"/>
      <c r="U11" s="48"/>
    </row>
    <row r="12" spans="2:21" x14ac:dyDescent="0.2">
      <c r="B12" s="26" t="s">
        <v>67</v>
      </c>
      <c r="C12" s="37">
        <f>VLOOKUP($C$3,'ZSS Data'!$B$2:$E$7,3,FALSE)</f>
        <v>2030</v>
      </c>
      <c r="D12" s="21"/>
      <c r="E12" s="21"/>
      <c r="F12" s="21"/>
      <c r="G12" s="21"/>
      <c r="H12" s="21"/>
      <c r="I12" s="21"/>
      <c r="J12" s="21"/>
      <c r="O12" s="45"/>
      <c r="P12" s="47"/>
      <c r="Q12" s="38"/>
      <c r="U12" s="48"/>
    </row>
    <row r="13" spans="2:21" x14ac:dyDescent="0.2">
      <c r="B13" s="26" t="s">
        <v>131</v>
      </c>
      <c r="C13" s="37">
        <f>INDEX($C$26:$AH$36,MATCH($C$33,$C$26:$C$36,0),MATCH($C$12,$C$26:$AH$26,0))</f>
        <v>26</v>
      </c>
      <c r="D13" s="78">
        <v>1.6464010319711411</v>
      </c>
      <c r="E13" s="21"/>
      <c r="F13" s="21"/>
      <c r="G13" s="21"/>
      <c r="H13" s="21"/>
      <c r="I13" s="21"/>
      <c r="J13" s="21"/>
      <c r="O13" s="45"/>
      <c r="P13" s="47"/>
      <c r="Q13" s="38"/>
      <c r="U13" s="48"/>
    </row>
    <row r="14" spans="2:21" x14ac:dyDescent="0.2">
      <c r="B14" s="26" t="s">
        <v>69</v>
      </c>
      <c r="C14" s="37">
        <f>C12+C13</f>
        <v>2056</v>
      </c>
      <c r="D14" s="21"/>
      <c r="E14" s="21"/>
      <c r="F14" s="21"/>
      <c r="G14" s="21"/>
      <c r="H14" s="21"/>
      <c r="I14" s="21"/>
      <c r="J14" s="21"/>
    </row>
    <row r="15" spans="2:21" x14ac:dyDescent="0.2">
      <c r="B15" s="26" t="s">
        <v>130</v>
      </c>
      <c r="C15" s="37" t="s">
        <v>83</v>
      </c>
      <c r="D15" s="21"/>
      <c r="E15" s="21"/>
      <c r="F15" s="21"/>
      <c r="G15" s="21"/>
      <c r="H15" s="21"/>
      <c r="I15" s="21"/>
      <c r="J15" s="21"/>
    </row>
    <row r="16" spans="2:21" ht="15" x14ac:dyDescent="0.25">
      <c r="B16" s="26" t="s">
        <v>132</v>
      </c>
      <c r="C16" s="79">
        <f>Total_Proj_Cost_k*1000</f>
        <v>3113000</v>
      </c>
      <c r="D16" s="21"/>
      <c r="E16" s="21"/>
      <c r="F16" s="21"/>
      <c r="G16" s="21"/>
      <c r="H16" s="21"/>
      <c r="I16" s="21"/>
      <c r="J16" s="21"/>
    </row>
    <row r="17" spans="2:34" x14ac:dyDescent="0.2">
      <c r="B17" s="32"/>
      <c r="C17" s="33"/>
      <c r="D17" s="21"/>
      <c r="E17" s="21"/>
      <c r="F17" s="21"/>
      <c r="G17" s="21"/>
      <c r="H17" s="21"/>
      <c r="I17" s="21"/>
      <c r="J17" s="21"/>
    </row>
    <row r="18" spans="2:34" x14ac:dyDescent="0.2">
      <c r="B18" s="32"/>
      <c r="C18" s="33"/>
      <c r="D18" s="21"/>
      <c r="E18" s="21"/>
      <c r="F18" s="21"/>
      <c r="G18" s="21"/>
      <c r="H18" s="21"/>
      <c r="I18" s="21"/>
      <c r="J18" s="21"/>
    </row>
    <row r="19" spans="2:34" x14ac:dyDescent="0.2">
      <c r="C19" s="77"/>
      <c r="D19" s="21"/>
      <c r="E19" s="21"/>
      <c r="F19" s="21"/>
      <c r="G19" s="21"/>
      <c r="H19" s="21"/>
      <c r="I19" s="21"/>
      <c r="J19" s="21"/>
      <c r="AH19" s="20" t="s">
        <v>71</v>
      </c>
    </row>
    <row r="20" spans="2:34" x14ac:dyDescent="0.2">
      <c r="C20" s="77"/>
    </row>
    <row r="24" spans="2:34" x14ac:dyDescent="0.2">
      <c r="C24" s="70" t="s">
        <v>116</v>
      </c>
      <c r="D24" s="71">
        <f>D41/D43</f>
        <v>1.0393662505162582E-2</v>
      </c>
      <c r="E24" s="71">
        <f t="shared" ref="E24:AH24" si="0">E41/E43</f>
        <v>1.0446648812336125E-2</v>
      </c>
      <c r="F24" s="71">
        <f t="shared" si="0"/>
        <v>1.0536403700039243E-2</v>
      </c>
      <c r="G24" s="71">
        <f t="shared" si="0"/>
        <v>1.0589092563086726E-2</v>
      </c>
      <c r="H24" s="71">
        <f t="shared" si="0"/>
        <v>1.0626082869495812E-2</v>
      </c>
      <c r="I24" s="71">
        <f t="shared" si="0"/>
        <v>1.0662389827786684E-2</v>
      </c>
      <c r="J24" s="71">
        <f t="shared" si="0"/>
        <v>1.0698354523486629E-2</v>
      </c>
      <c r="K24" s="71">
        <f t="shared" si="0"/>
        <v>1.072329266992517E-2</v>
      </c>
      <c r="L24" s="71">
        <f t="shared" si="0"/>
        <v>1.0729810598501194E-2</v>
      </c>
      <c r="M24" s="71">
        <f t="shared" si="0"/>
        <v>1.0714897830112476E-2</v>
      </c>
      <c r="N24" s="71">
        <f t="shared" si="0"/>
        <v>1.0718398619780608E-2</v>
      </c>
      <c r="O24" s="71">
        <f t="shared" si="0"/>
        <v>1.0727011123277964E-2</v>
      </c>
      <c r="P24" s="71">
        <f t="shared" si="0"/>
        <v>1.0721097367286493E-2</v>
      </c>
      <c r="Q24" s="71">
        <f t="shared" si="0"/>
        <v>1.0731890838126831E-2</v>
      </c>
      <c r="R24" s="71">
        <f t="shared" si="0"/>
        <v>1.074030923999999E-2</v>
      </c>
      <c r="S24" s="71">
        <f t="shared" si="0"/>
        <v>1.0746630286666834E-2</v>
      </c>
      <c r="T24" s="71">
        <f t="shared" si="0"/>
        <v>1.0751101796380494E-2</v>
      </c>
      <c r="U24" s="71">
        <f t="shared" si="0"/>
        <v>1.0753946076412274E-2</v>
      </c>
      <c r="V24" s="71">
        <f t="shared" si="0"/>
        <v>1.0755363554636996E-2</v>
      </c>
      <c r="W24" s="71">
        <f t="shared" si="0"/>
        <v>1.0755535794250258E-2</v>
      </c>
      <c r="X24" s="71">
        <f t="shared" si="0"/>
        <v>1.0754628001008361E-2</v>
      </c>
      <c r="Y24" s="71">
        <f t="shared" si="0"/>
        <v>1.0752791111327853E-2</v>
      </c>
      <c r="Z24" s="71">
        <f t="shared" si="0"/>
        <v>1.0750163532899074E-2</v>
      </c>
      <c r="AA24" s="71">
        <f t="shared" si="0"/>
        <v>1.0746872596195233E-2</v>
      </c>
      <c r="AB24" s="71">
        <f t="shared" si="0"/>
        <v>1.0743035764653965E-2</v>
      </c>
      <c r="AC24" s="71">
        <f t="shared" si="0"/>
        <v>1.0738761642800772E-2</v>
      </c>
      <c r="AD24" s="71">
        <f t="shared" si="0"/>
        <v>1.0734150814730298E-2</v>
      </c>
      <c r="AE24" s="71">
        <f t="shared" si="0"/>
        <v>1.0729296539817801E-2</v>
      </c>
      <c r="AF24" s="71">
        <f t="shared" si="0"/>
        <v>1.072428532803067E-2</v>
      </c>
      <c r="AG24" s="71">
        <f t="shared" si="0"/>
        <v>1.0719197413538531E-2</v>
      </c>
      <c r="AH24" s="71">
        <f t="shared" si="0"/>
        <v>1.0714107142314239E-2</v>
      </c>
    </row>
    <row r="26" spans="2:34" ht="15" x14ac:dyDescent="0.25">
      <c r="C26" s="69" t="s">
        <v>105</v>
      </c>
      <c r="D26" s="68">
        <v>2024</v>
      </c>
      <c r="E26" s="68">
        <f>D26+1</f>
        <v>2025</v>
      </c>
      <c r="F26" s="68">
        <f t="shared" ref="F26:AH26" si="1">E26+1</f>
        <v>2026</v>
      </c>
      <c r="G26" s="68">
        <f t="shared" si="1"/>
        <v>2027</v>
      </c>
      <c r="H26" s="68">
        <f t="shared" si="1"/>
        <v>2028</v>
      </c>
      <c r="I26" s="68">
        <f t="shared" si="1"/>
        <v>2029</v>
      </c>
      <c r="J26" s="68">
        <f t="shared" si="1"/>
        <v>2030</v>
      </c>
      <c r="K26" s="68">
        <f t="shared" si="1"/>
        <v>2031</v>
      </c>
      <c r="L26" s="68">
        <f t="shared" si="1"/>
        <v>2032</v>
      </c>
      <c r="M26" s="68">
        <f t="shared" si="1"/>
        <v>2033</v>
      </c>
      <c r="N26" s="68">
        <f t="shared" si="1"/>
        <v>2034</v>
      </c>
      <c r="O26" s="68">
        <f t="shared" si="1"/>
        <v>2035</v>
      </c>
      <c r="P26" s="68">
        <f t="shared" si="1"/>
        <v>2036</v>
      </c>
      <c r="Q26" s="68">
        <f>P26+1</f>
        <v>2037</v>
      </c>
      <c r="R26" s="68">
        <f t="shared" si="1"/>
        <v>2038</v>
      </c>
      <c r="S26" s="68">
        <f t="shared" si="1"/>
        <v>2039</v>
      </c>
      <c r="T26" s="68">
        <f t="shared" si="1"/>
        <v>2040</v>
      </c>
      <c r="U26" s="68">
        <f t="shared" si="1"/>
        <v>2041</v>
      </c>
      <c r="V26" s="68">
        <f t="shared" si="1"/>
        <v>2042</v>
      </c>
      <c r="W26" s="68">
        <f t="shared" si="1"/>
        <v>2043</v>
      </c>
      <c r="X26" s="68">
        <f t="shared" si="1"/>
        <v>2044</v>
      </c>
      <c r="Y26" s="68">
        <f t="shared" si="1"/>
        <v>2045</v>
      </c>
      <c r="Z26" s="68">
        <f>Y26+1</f>
        <v>2046</v>
      </c>
      <c r="AA26" s="68">
        <f t="shared" si="1"/>
        <v>2047</v>
      </c>
      <c r="AB26" s="68">
        <f t="shared" si="1"/>
        <v>2048</v>
      </c>
      <c r="AC26" s="68">
        <f>AB26+1</f>
        <v>2049</v>
      </c>
      <c r="AD26" s="68">
        <f t="shared" si="1"/>
        <v>2050</v>
      </c>
      <c r="AE26" s="68">
        <f>AD26+1</f>
        <v>2051</v>
      </c>
      <c r="AF26" s="68">
        <f t="shared" si="1"/>
        <v>2052</v>
      </c>
      <c r="AG26" s="68">
        <f t="shared" si="1"/>
        <v>2053</v>
      </c>
      <c r="AH26" s="68">
        <f t="shared" si="1"/>
        <v>2054</v>
      </c>
    </row>
    <row r="27" spans="2:34" x14ac:dyDescent="0.2">
      <c r="C27" s="53" t="s">
        <v>19</v>
      </c>
      <c r="D27" s="49">
        <f>INDEX(LOAD!$A$2:$AO$53,MATCH('Risk Model'!$C$3,LOAD!$A$2:$A$53,0),MATCH('Risk Model'!D$26,LOAD!$A$2:$AO$2,0))</f>
        <v>26.11</v>
      </c>
      <c r="E27" s="49">
        <f>INDEX(LOAD!$A$2:$AO$53,MATCH('Risk Model'!$C$3,LOAD!$A$2:$A$53,0),MATCH('Risk Model'!E$26,LOAD!$A$2:$AO$2,0))</f>
        <v>26.475499999999997</v>
      </c>
      <c r="F27" s="49">
        <f>INDEX(LOAD!$A$2:$AO$53,MATCH('Risk Model'!$C$3,LOAD!$A$2:$A$53,0),MATCH('Risk Model'!F$26,LOAD!$A$2:$AO$2,0))</f>
        <v>26.323</v>
      </c>
      <c r="G27" s="49">
        <f>INDEX(LOAD!$A$2:$AO$53,MATCH('Risk Model'!$C$3,LOAD!$A$2:$A$53,0),MATCH('Risk Model'!G$26,LOAD!$A$2:$AO$2,0))</f>
        <v>26.445</v>
      </c>
      <c r="H27" s="49">
        <f>INDEX(LOAD!$A$2:$AO$53,MATCH('Risk Model'!$C$3,LOAD!$A$2:$A$53,0),MATCH('Risk Model'!H$26,LOAD!$A$2:$AO$2,0))</f>
        <v>26.630499999999998</v>
      </c>
      <c r="I27" s="49">
        <f>INDEX(LOAD!$A$2:$AO$53,MATCH('Risk Model'!$C$3,LOAD!$A$2:$A$53,0),MATCH('Risk Model'!I$26,LOAD!$A$2:$AO$2,0))</f>
        <v>26.741</v>
      </c>
      <c r="J27" s="49">
        <f>INDEX(LOAD!$A$2:$AO$53,MATCH('Risk Model'!$C$3,LOAD!$A$2:$A$53,0),MATCH('Risk Model'!J$26,LOAD!$A$2:$AO$2,0))</f>
        <v>26.785999999999998</v>
      </c>
      <c r="K27" s="49">
        <f>INDEX(LOAD!$A$2:$AO$53,MATCH('Risk Model'!$C$3,LOAD!$A$2:$A$53,0),MATCH('Risk Model'!K$26,LOAD!$A$2:$AO$2,0))</f>
        <v>26.879999999999995</v>
      </c>
      <c r="L27" s="49">
        <f>INDEX(LOAD!$A$2:$AO$53,MATCH('Risk Model'!$C$3,LOAD!$A$2:$A$53,0),MATCH('Risk Model'!L$26,LOAD!$A$2:$AO$2,0))</f>
        <v>27.1005</v>
      </c>
      <c r="M27" s="49">
        <f>INDEX(LOAD!$A$2:$AO$53,MATCH('Risk Model'!$C$3,LOAD!$A$2:$A$53,0),MATCH('Risk Model'!M$26,LOAD!$A$2:$AO$2,0))</f>
        <v>27.481000000000002</v>
      </c>
      <c r="N27" s="49">
        <f>INDEX(LOAD!$A$2:$AO$53,MATCH('Risk Model'!$C$3,LOAD!$A$2:$A$53,0),MATCH('Risk Model'!N$26,LOAD!$A$2:$AO$2,0))</f>
        <v>27.642499999999998</v>
      </c>
      <c r="O27" s="49">
        <f>INDEX(LOAD!$A$2:$AO$53,MATCH('Risk Model'!$C$3,LOAD!$A$2:$A$53,0),MATCH('Risk Model'!O$26,LOAD!$A$2:$AO$2,0))</f>
        <v>27.72</v>
      </c>
      <c r="P27" s="49">
        <f>INDEX(LOAD!$A$2:$AO$53,MATCH('Risk Model'!$C$3,LOAD!$A$2:$A$53,0),MATCH('Risk Model'!P$26,LOAD!$A$2:$AO$2,0))</f>
        <v>27.905499999999996</v>
      </c>
      <c r="Q27" s="49">
        <f>INDEX(LOAD!$A$2:$AO$53,MATCH('Risk Model'!$C$3,LOAD!$A$2:$A$53,0),MATCH('Risk Model'!Q$26,LOAD!$A$2:$AO$2,0))</f>
        <v>27.905499999999996</v>
      </c>
      <c r="R27" s="49">
        <f>INDEX(LOAD!$A$2:$AO$53,MATCH('Risk Model'!$C$3,LOAD!$A$2:$A$53,0),MATCH('Risk Model'!R$26,LOAD!$A$2:$AO$2,0))</f>
        <v>27.905499999999996</v>
      </c>
      <c r="S27" s="49">
        <f>INDEX(LOAD!$A$2:$AO$53,MATCH('Risk Model'!$C$3,LOAD!$A$2:$A$53,0),MATCH('Risk Model'!S$26,LOAD!$A$2:$AO$2,0))</f>
        <v>27.905499999999996</v>
      </c>
      <c r="T27" s="49">
        <f>INDEX(LOAD!$A$2:$AO$53,MATCH('Risk Model'!$C$3,LOAD!$A$2:$A$53,0),MATCH('Risk Model'!T$26,LOAD!$A$2:$AO$2,0))</f>
        <v>27.905499999999996</v>
      </c>
      <c r="U27" s="49">
        <f>INDEX(LOAD!$A$2:$AO$53,MATCH('Risk Model'!$C$3,LOAD!$A$2:$A$53,0),MATCH('Risk Model'!U$26,LOAD!$A$2:$AO$2,0))</f>
        <v>27.905499999999996</v>
      </c>
      <c r="V27" s="49">
        <f>INDEX(LOAD!$A$2:$AO$53,MATCH('Risk Model'!$C$3,LOAD!$A$2:$A$53,0),MATCH('Risk Model'!V$26,LOAD!$A$2:$AO$2,0))</f>
        <v>27.905499999999996</v>
      </c>
      <c r="W27" s="49">
        <f>INDEX(LOAD!$A$2:$AO$53,MATCH('Risk Model'!$C$3,LOAD!$A$2:$A$53,0),MATCH('Risk Model'!W$26,LOAD!$A$2:$AO$2,0))</f>
        <v>27.905499999999996</v>
      </c>
      <c r="X27" s="49">
        <f>INDEX(LOAD!$A$2:$AO$53,MATCH('Risk Model'!$C$3,LOAD!$A$2:$A$53,0),MATCH('Risk Model'!X$26,LOAD!$A$2:$AO$2,0))</f>
        <v>27.905499999999996</v>
      </c>
      <c r="Y27" s="49">
        <f>INDEX(LOAD!$A$2:$AO$53,MATCH('Risk Model'!$C$3,LOAD!$A$2:$A$53,0),MATCH('Risk Model'!Y$26,LOAD!$A$2:$AO$2,0))</f>
        <v>27.905499999999996</v>
      </c>
      <c r="Z27" s="49">
        <f>INDEX(LOAD!$A$2:$AO$53,MATCH('Risk Model'!$C$3,LOAD!$A$2:$A$53,0),MATCH('Risk Model'!Z$26,LOAD!$A$2:$AO$2,0))</f>
        <v>27.905499999999996</v>
      </c>
      <c r="AA27" s="49">
        <f>INDEX(LOAD!$A$2:$AO$53,MATCH('Risk Model'!$C$3,LOAD!$A$2:$A$53,0),MATCH('Risk Model'!AA$26,LOAD!$A$2:$AO$2,0))</f>
        <v>27.905499999999996</v>
      </c>
      <c r="AB27" s="49">
        <f>INDEX(LOAD!$A$2:$AO$53,MATCH('Risk Model'!$C$3,LOAD!$A$2:$A$53,0),MATCH('Risk Model'!AB$26,LOAD!$A$2:$AO$2,0))</f>
        <v>27.905499999999996</v>
      </c>
      <c r="AC27" s="49">
        <f>INDEX(LOAD!$A$2:$AO$53,MATCH('Risk Model'!$C$3,LOAD!$A$2:$A$53,0),MATCH('Risk Model'!AC$26,LOAD!$A$2:$AO$2,0))</f>
        <v>27.905499999999996</v>
      </c>
      <c r="AD27" s="49">
        <f>INDEX(LOAD!$A$2:$AO$53,MATCH('Risk Model'!$C$3,LOAD!$A$2:$A$53,0),MATCH('Risk Model'!AD$26,LOAD!$A$2:$AO$2,0))</f>
        <v>27.905499999999996</v>
      </c>
      <c r="AE27" s="49">
        <f>INDEX(LOAD!$A$2:$AO$53,MATCH('Risk Model'!$C$3,LOAD!$A$2:$A$53,0),MATCH('Risk Model'!AE$26,LOAD!$A$2:$AO$2,0))</f>
        <v>27.905499999999996</v>
      </c>
      <c r="AF27" s="49">
        <f>INDEX(LOAD!$A$2:$AO$53,MATCH('Risk Model'!$C$3,LOAD!$A$2:$A$53,0),MATCH('Risk Model'!AF$26,LOAD!$A$2:$AO$2,0))</f>
        <v>27.905499999999996</v>
      </c>
      <c r="AG27" s="49">
        <f>INDEX(LOAD!$A$2:$AO$53,MATCH('Risk Model'!$C$3,LOAD!$A$2:$A$53,0),MATCH('Risk Model'!AG$26,LOAD!$A$2:$AO$2,0))</f>
        <v>27.905499999999996</v>
      </c>
      <c r="AH27" s="49">
        <f>INDEX(LOAD!$A$2:$AO$53,MATCH('Risk Model'!$C$3,LOAD!$A$2:$A$53,0),MATCH('Risk Model'!AH$26,LOAD!$A$2:$AO$2,0))</f>
        <v>27.905499999999996</v>
      </c>
    </row>
    <row r="28" spans="2:34" x14ac:dyDescent="0.2">
      <c r="C28" s="54" t="s">
        <v>25</v>
      </c>
      <c r="D28" s="35">
        <f>INDEX('ZSS Data'!$B$1:$AM$7,MATCH('Risk Model'!$C$3,'ZSS Data'!$B$1:$B$7,0),MATCH('Risk Model'!$C28,'ZSS Data'!$B$1:$AM$1,0))</f>
        <v>6.5274999999999999</v>
      </c>
      <c r="E28" s="51">
        <f>IFERROR(D28*E$27/D$27,0)</f>
        <v>6.6188749999999992</v>
      </c>
      <c r="F28" s="51">
        <f t="shared" ref="F28:AH28" si="2">IFERROR(E28*F$27/E$27,0)</f>
        <v>6.5807500000000001</v>
      </c>
      <c r="G28" s="51">
        <f t="shared" si="2"/>
        <v>6.611250000000001</v>
      </c>
      <c r="H28" s="51">
        <f t="shared" si="2"/>
        <v>6.6576250000000003</v>
      </c>
      <c r="I28" s="51">
        <f t="shared" si="2"/>
        <v>6.6852500000000008</v>
      </c>
      <c r="J28" s="51">
        <f t="shared" si="2"/>
        <v>6.6965000000000003</v>
      </c>
      <c r="K28" s="51">
        <f t="shared" si="2"/>
        <v>6.72</v>
      </c>
      <c r="L28" s="51">
        <f t="shared" si="2"/>
        <v>6.7751250000000001</v>
      </c>
      <c r="M28" s="51">
        <f t="shared" si="2"/>
        <v>6.8702500000000004</v>
      </c>
      <c r="N28" s="51">
        <f t="shared" si="2"/>
        <v>6.9106249999999996</v>
      </c>
      <c r="O28" s="51">
        <f t="shared" si="2"/>
        <v>6.9300000000000006</v>
      </c>
      <c r="P28" s="51">
        <f t="shared" si="2"/>
        <v>6.976375</v>
      </c>
      <c r="Q28" s="51">
        <f t="shared" si="2"/>
        <v>6.976375</v>
      </c>
      <c r="R28" s="51">
        <f t="shared" si="2"/>
        <v>6.976375</v>
      </c>
      <c r="S28" s="51">
        <f t="shared" si="2"/>
        <v>6.976375</v>
      </c>
      <c r="T28" s="51">
        <f t="shared" si="2"/>
        <v>6.976375</v>
      </c>
      <c r="U28" s="51">
        <f t="shared" si="2"/>
        <v>6.976375</v>
      </c>
      <c r="V28" s="51">
        <f t="shared" si="2"/>
        <v>6.976375</v>
      </c>
      <c r="W28" s="51">
        <f t="shared" si="2"/>
        <v>6.976375</v>
      </c>
      <c r="X28" s="51">
        <f t="shared" si="2"/>
        <v>6.976375</v>
      </c>
      <c r="Y28" s="51">
        <f t="shared" si="2"/>
        <v>6.976375</v>
      </c>
      <c r="Z28" s="51">
        <f t="shared" si="2"/>
        <v>6.976375</v>
      </c>
      <c r="AA28" s="51">
        <f t="shared" si="2"/>
        <v>6.976375</v>
      </c>
      <c r="AB28" s="51">
        <f t="shared" si="2"/>
        <v>6.976375</v>
      </c>
      <c r="AC28" s="51">
        <f t="shared" si="2"/>
        <v>6.976375</v>
      </c>
      <c r="AD28" s="51">
        <f t="shared" si="2"/>
        <v>6.976375</v>
      </c>
      <c r="AE28" s="51">
        <f t="shared" si="2"/>
        <v>6.976375</v>
      </c>
      <c r="AF28" s="51">
        <f t="shared" si="2"/>
        <v>6.976375</v>
      </c>
      <c r="AG28" s="51">
        <f t="shared" si="2"/>
        <v>6.976375</v>
      </c>
      <c r="AH28" s="51">
        <f t="shared" si="2"/>
        <v>6.976375</v>
      </c>
    </row>
    <row r="29" spans="2:34" x14ac:dyDescent="0.2">
      <c r="C29" s="54" t="str">
        <f>'ZSS Data'!$AG$1</f>
        <v>Fdr Utilisation (MW)</v>
      </c>
      <c r="D29" s="35">
        <f>INDEX('ZSS Data'!$B$1:$AM$7,MATCH('Risk Model'!$C$3,'ZSS Data'!$B$1:$B$7,0),MATCH('Risk Model'!$C29,'ZSS Data'!$B$1:$AM$1,0))</f>
        <v>1.4505555555555556</v>
      </c>
      <c r="E29" s="51">
        <f>IFERROR(D29*E$27/D$27,0)</f>
        <v>1.470861111111111</v>
      </c>
      <c r="F29" s="51">
        <f t="shared" ref="F29:AH29" si="3">IFERROR(E29*F$27/E$27,0)</f>
        <v>1.462388888888889</v>
      </c>
      <c r="G29" s="51">
        <f t="shared" si="3"/>
        <v>1.4691666666666667</v>
      </c>
      <c r="H29" s="51">
        <f t="shared" si="3"/>
        <v>1.4794722222222221</v>
      </c>
      <c r="I29" s="51">
        <f t="shared" si="3"/>
        <v>1.4856111111111112</v>
      </c>
      <c r="J29" s="51">
        <f t="shared" si="3"/>
        <v>1.4881111111111112</v>
      </c>
      <c r="K29" s="51">
        <f t="shared" si="3"/>
        <v>1.4933333333333334</v>
      </c>
      <c r="L29" s="51">
        <f t="shared" si="3"/>
        <v>1.5055833333333337</v>
      </c>
      <c r="M29" s="51">
        <f t="shared" si="3"/>
        <v>1.5267222222222228</v>
      </c>
      <c r="N29" s="51">
        <f t="shared" si="3"/>
        <v>1.5356944444444449</v>
      </c>
      <c r="O29" s="51">
        <f t="shared" si="3"/>
        <v>1.5400000000000005</v>
      </c>
      <c r="P29" s="51">
        <f t="shared" si="3"/>
        <v>1.550305555555556</v>
      </c>
      <c r="Q29" s="51">
        <f t="shared" si="3"/>
        <v>1.550305555555556</v>
      </c>
      <c r="R29" s="51">
        <f t="shared" si="3"/>
        <v>1.550305555555556</v>
      </c>
      <c r="S29" s="51">
        <f t="shared" si="3"/>
        <v>1.550305555555556</v>
      </c>
      <c r="T29" s="51">
        <f t="shared" si="3"/>
        <v>1.550305555555556</v>
      </c>
      <c r="U29" s="51">
        <f t="shared" si="3"/>
        <v>1.550305555555556</v>
      </c>
      <c r="V29" s="51">
        <f t="shared" si="3"/>
        <v>1.550305555555556</v>
      </c>
      <c r="W29" s="51">
        <f t="shared" si="3"/>
        <v>1.550305555555556</v>
      </c>
      <c r="X29" s="51">
        <f t="shared" si="3"/>
        <v>1.550305555555556</v>
      </c>
      <c r="Y29" s="51">
        <f t="shared" si="3"/>
        <v>1.550305555555556</v>
      </c>
      <c r="Z29" s="51">
        <f t="shared" si="3"/>
        <v>1.550305555555556</v>
      </c>
      <c r="AA29" s="51">
        <f t="shared" si="3"/>
        <v>1.550305555555556</v>
      </c>
      <c r="AB29" s="51">
        <f t="shared" si="3"/>
        <v>1.550305555555556</v>
      </c>
      <c r="AC29" s="51">
        <f t="shared" si="3"/>
        <v>1.550305555555556</v>
      </c>
      <c r="AD29" s="51">
        <f t="shared" si="3"/>
        <v>1.550305555555556</v>
      </c>
      <c r="AE29" s="51">
        <f t="shared" si="3"/>
        <v>1.550305555555556</v>
      </c>
      <c r="AF29" s="51">
        <f t="shared" si="3"/>
        <v>1.550305555555556</v>
      </c>
      <c r="AG29" s="51">
        <f t="shared" si="3"/>
        <v>1.550305555555556</v>
      </c>
      <c r="AH29" s="51">
        <f t="shared" si="3"/>
        <v>1.550305555555556</v>
      </c>
    </row>
    <row r="30" spans="2:34" x14ac:dyDescent="0.2">
      <c r="C30" s="54" t="s">
        <v>39</v>
      </c>
      <c r="D30" s="35">
        <f>INDEX('ZSS Data'!$B$1:$AM$7,MATCH('Risk Model'!$C$3,'ZSS Data'!$B$1:$B$7,0),MATCH('Risk Model'!$C30,'ZSS Data'!$B$1:$AM$1,0))</f>
        <v>9</v>
      </c>
      <c r="E30" s="52">
        <f>D30-(D30*D$34*'Risk Data'!$B$9)</f>
        <v>8.9722610339442763</v>
      </c>
      <c r="F30" s="52">
        <f>E30-(E30*E$34*'Risk Data'!$B$9)</f>
        <v>8.9417730815219763</v>
      </c>
      <c r="G30" s="52">
        <f>F30-(F30*F$34*'Risk Data'!$B$9)</f>
        <v>8.9084260811460361</v>
      </c>
      <c r="H30" s="52">
        <f>G30-(G30*G$34*'Risk Data'!$B$9)</f>
        <v>8.8721145617935395</v>
      </c>
      <c r="I30" s="52">
        <f>H30-(H30*H$34*'Risk Data'!$B$9)</f>
        <v>8.8327380362460044</v>
      </c>
      <c r="J30" s="52">
        <f>I30-(I30*I$34*'Risk Data'!$B$9)</f>
        <v>8.7902014007309806</v>
      </c>
      <c r="K30" s="52">
        <f>J30-(J30*J$34*'Risk Data'!$B$9)</f>
        <v>8.7444153389432486</v>
      </c>
      <c r="L30" s="52">
        <f>K30-(K30*K$34*'Risk Data'!$B$9)</f>
        <v>8.6952967282897671</v>
      </c>
      <c r="M30" s="52">
        <f>L30-(L30*L$34*'Risk Data'!$B$9)</f>
        <v>8.6427690460731732</v>
      </c>
      <c r="N30" s="52">
        <f>M30-(M30*M$34*'Risk Data'!$B$9)</f>
        <v>8.5867627732058818</v>
      </c>
      <c r="O30" s="52">
        <f>N30-(N30*N$34*'Risk Data'!$B$9)</f>
        <v>8.5272157929322532</v>
      </c>
      <c r="P30" s="52">
        <f>O30-(O30*O$34*'Risk Data'!$B$9)</f>
        <v>8.4640737819316367</v>
      </c>
      <c r="Q30" s="52">
        <f>P30-(P30*P$34*'Risk Data'!$B$9)</f>
        <v>8.3972905910821716</v>
      </c>
      <c r="R30" s="52">
        <f>Q30-(Q30*Q$34*'Risk Data'!$B$9)</f>
        <v>8.3268286130856808</v>
      </c>
      <c r="S30" s="52">
        <f>R30-(R30*R$34*'Risk Data'!$B$9)</f>
        <v>8.252659134089777</v>
      </c>
      <c r="T30" s="52">
        <f>S30-(S30*S$34*'Risk Data'!$B$9)</f>
        <v>8.1747626663959636</v>
      </c>
      <c r="U30" s="52">
        <f>T30-(T30*T$34*'Risk Data'!$B$9)</f>
        <v>8.0931292593139297</v>
      </c>
      <c r="V30" s="52">
        <f>U30-(U30*U$34*'Risk Data'!$B$9)</f>
        <v>8.0077587852138983</v>
      </c>
      <c r="W30" s="52">
        <f>V30-(V30*V$34*'Risk Data'!$B$9)</f>
        <v>7.9186611978424564</v>
      </c>
      <c r="X30" s="52">
        <f>W30-(W30*W$34*'Risk Data'!$B$9)</f>
        <v>7.8258567600040534</v>
      </c>
      <c r="Y30" s="52">
        <f>X30-(X30*X$34*'Risk Data'!$B$9)</f>
        <v>7.7293762377717359</v>
      </c>
      <c r="Z30" s="52">
        <f>Y30-(Y30*Y$34*'Risk Data'!$B$9)</f>
        <v>7.6292610584776339</v>
      </c>
      <c r="AA30" s="52">
        <f>Z30-(Z30*Z$34*'Risk Data'!$B$9)</f>
        <v>7.5255634298472618</v>
      </c>
      <c r="AB30" s="52">
        <f>AA30-(AA30*AA$34*'Risk Data'!$B$9)</f>
        <v>7.4183464177824483</v>
      </c>
      <c r="AC30" s="52">
        <f>AB30-(AB30*AB$34*'Risk Data'!$B$9)</f>
        <v>7.3076839804661411</v>
      </c>
      <c r="AD30" s="52">
        <f>AC30-(AC30*AC$34*'Risk Data'!$B$9)</f>
        <v>7.1936609566585785</v>
      </c>
      <c r="AE30" s="52">
        <f>AD30-(AD30*AD$34*'Risk Data'!$B$9)</f>
        <v>7.0763730062782759</v>
      </c>
      <c r="AF30" s="52">
        <f>AE30-(AE30*AE$34*'Risk Data'!$B$9)</f>
        <v>6.9559265016124634</v>
      </c>
      <c r="AG30" s="52">
        <f>AF30-(AF30*AF$34*'Risk Data'!$B$9)</f>
        <v>6.8324383677792841</v>
      </c>
      <c r="AH30" s="52">
        <f>AG30-(AG30*AG$34*'Risk Data'!$B$9)</f>
        <v>6.706035871367078</v>
      </c>
    </row>
    <row r="31" spans="2:34" s="47" customFormat="1" ht="14.25" customHeight="1" x14ac:dyDescent="0.2">
      <c r="B31" s="103" t="s">
        <v>102</v>
      </c>
      <c r="C31" s="54" t="s">
        <v>99</v>
      </c>
      <c r="D31" s="35">
        <f>HV_Bus_No.s*3</f>
        <v>6</v>
      </c>
      <c r="E31" s="52">
        <f>D31-(D31*D$34*'Risk Data'!$B$9)</f>
        <v>5.98150735596285</v>
      </c>
      <c r="F31" s="52">
        <f>E31-(E31*E$34*'Risk Data'!$B$9)</f>
        <v>5.961182054347983</v>
      </c>
      <c r="G31" s="52">
        <f>F31-(F31*F$34*'Risk Data'!$B$9)</f>
        <v>5.9389507207640229</v>
      </c>
      <c r="H31" s="52">
        <f>G31-(G31*G$34*'Risk Data'!$B$9)</f>
        <v>5.9147430411956909</v>
      </c>
      <c r="I31" s="52">
        <f>H31-(H31*H$34*'Risk Data'!$B$9)</f>
        <v>5.8884920241640017</v>
      </c>
      <c r="J31" s="52">
        <f>I31-(I31*I$34*'Risk Data'!$B$9)</f>
        <v>5.8601342671539864</v>
      </c>
      <c r="K31" s="52">
        <f>J31-(J31*J$34*'Risk Data'!$B$9)</f>
        <v>5.829610225962166</v>
      </c>
      <c r="L31" s="52">
        <f>K31-(K31*K$34*'Risk Data'!$B$9)</f>
        <v>5.7968644855265117</v>
      </c>
      <c r="M31" s="52">
        <f>L31-(L31*L$34*'Risk Data'!$B$9)</f>
        <v>5.7618460307154491</v>
      </c>
      <c r="N31" s="52">
        <f>M31-(M31*M$34*'Risk Data'!$B$9)</f>
        <v>5.7245085154705881</v>
      </c>
      <c r="O31" s="52">
        <f>N31-(N31*N$34*'Risk Data'!$B$9)</f>
        <v>5.6848105286215018</v>
      </c>
      <c r="P31" s="52">
        <f>O31-(O31*O$34*'Risk Data'!$B$9)</f>
        <v>5.6427158546210912</v>
      </c>
      <c r="Q31" s="52">
        <f>P31-(P31*P$34*'Risk Data'!$B$9)</f>
        <v>5.5981937273881144</v>
      </c>
      <c r="R31" s="52">
        <f>Q31-(Q31*Q$34*'Risk Data'!$B$9)</f>
        <v>5.5512190753904544</v>
      </c>
      <c r="S31" s="52">
        <f>R31-(R31*R$34*'Risk Data'!$B$9)</f>
        <v>5.5017727560598519</v>
      </c>
      <c r="T31" s="52">
        <f>S31-(S31*S$34*'Risk Data'!$B$9)</f>
        <v>5.4498417775973103</v>
      </c>
      <c r="U31" s="52">
        <f>T31-(T31*T$34*'Risk Data'!$B$9)</f>
        <v>5.3954195062092873</v>
      </c>
      <c r="V31" s="52">
        <f>U31-(U31*U$34*'Risk Data'!$B$9)</f>
        <v>5.3385058568092667</v>
      </c>
      <c r="W31" s="52">
        <f>V31-(V31*V$34*'Risk Data'!$B$9)</f>
        <v>5.2791074652283054</v>
      </c>
      <c r="X31" s="52">
        <f>W31-(W31*W$34*'Risk Data'!$B$9)</f>
        <v>5.2172378400027037</v>
      </c>
      <c r="Y31" s="52">
        <f>X31-(X31*X$34*'Risk Data'!$B$9)</f>
        <v>5.1529174918478251</v>
      </c>
      <c r="Z31" s="52">
        <f>Y31-(Y31*Y$34*'Risk Data'!$B$9)</f>
        <v>5.0861740389850905</v>
      </c>
      <c r="AA31" s="52">
        <f>Z31-(Z31*Z$34*'Risk Data'!$B$9)</f>
        <v>5.0170422865648421</v>
      </c>
      <c r="AB31" s="52">
        <f>AA31-(AA31*AA$34*'Risk Data'!$B$9)</f>
        <v>4.9455642785216334</v>
      </c>
      <c r="AC31" s="52">
        <f>AB31-(AB31*AB$34*'Risk Data'!$B$9)</f>
        <v>4.8717893203107616</v>
      </c>
      <c r="AD31" s="52">
        <f>AC31-(AC31*AC$34*'Risk Data'!$B$9)</f>
        <v>4.7957739711057199</v>
      </c>
      <c r="AE31" s="52">
        <f>AD31-(AD31*AD$34*'Risk Data'!$B$9)</f>
        <v>4.7175820041855179</v>
      </c>
      <c r="AF31" s="52">
        <f>AE31-(AE31*AE$34*'Risk Data'!$B$9)</f>
        <v>4.6372843344083092</v>
      </c>
      <c r="AG31" s="52">
        <f>AF31-(AF31*AF$34*'Risk Data'!$B$9)</f>
        <v>4.5549589118528564</v>
      </c>
      <c r="AH31" s="52">
        <f>AG31-(AG31*AG$34*'Risk Data'!$B$9)</f>
        <v>4.470690580911385</v>
      </c>
    </row>
    <row r="32" spans="2:34" s="47" customFormat="1" ht="14.25" customHeight="1" x14ac:dyDescent="0.2">
      <c r="B32" s="103"/>
      <c r="C32" s="54" t="s">
        <v>43</v>
      </c>
      <c r="D32" s="35">
        <f>INDEX('ZSS Data'!$B$1:$AM$7,MATCH('Risk Model'!$C$3,'ZSS Data'!$B$1:$B$7,0),MATCH('Risk Model'!$C32,'ZSS Data'!$B$1:$AM$1,0))</f>
        <v>41</v>
      </c>
      <c r="E32" s="52">
        <f>D32-(D32*D$34*'Risk Data'!$B$9)</f>
        <v>40.873633599079476</v>
      </c>
      <c r="F32" s="52">
        <f>E32-(E32*E$34*'Risk Data'!$B$9)</f>
        <v>40.734744038044553</v>
      </c>
      <c r="G32" s="52">
        <f>F32-(F32*F$34*'Risk Data'!$B$9)</f>
        <v>40.582829925220828</v>
      </c>
      <c r="H32" s="52">
        <f>G32-(G32*G$34*'Risk Data'!$B$9)</f>
        <v>40.417410781503897</v>
      </c>
      <c r="I32" s="52">
        <f>H32-(H32*H$34*'Risk Data'!$B$9)</f>
        <v>40.238028831787354</v>
      </c>
      <c r="J32" s="52">
        <f>I32-(I32*I$34*'Risk Data'!$B$9)</f>
        <v>40.044250825552247</v>
      </c>
      <c r="K32" s="52">
        <f>J32-(J32*J$34*'Risk Data'!$B$9)</f>
        <v>39.835669877408137</v>
      </c>
      <c r="L32" s="52">
        <f>K32-(K32*K$34*'Risk Data'!$B$9)</f>
        <v>39.611907317764498</v>
      </c>
      <c r="M32" s="52">
        <f>L32-(L32*L$34*'Risk Data'!$B$9)</f>
        <v>39.372614543222234</v>
      </c>
      <c r="N32" s="52">
        <f>M32-(M32*M$34*'Risk Data'!$B$9)</f>
        <v>39.117474855715685</v>
      </c>
      <c r="O32" s="52">
        <f>N32-(N32*N$34*'Risk Data'!$B$9)</f>
        <v>38.846205278913594</v>
      </c>
      <c r="P32" s="52">
        <f>O32-(O32*O$34*'Risk Data'!$B$9)</f>
        <v>38.558558339910789</v>
      </c>
      <c r="Q32" s="52">
        <f>P32-(P32*P$34*'Risk Data'!$B$9)</f>
        <v>38.254323803818785</v>
      </c>
      <c r="R32" s="52">
        <f>Q32-(Q32*Q$34*'Risk Data'!$B$9)</f>
        <v>37.933330348501443</v>
      </c>
      <c r="S32" s="52">
        <f>R32-(R32*R$34*'Risk Data'!$B$9)</f>
        <v>37.595447166408995</v>
      </c>
      <c r="T32" s="52">
        <f>S32-(S32*S$34*'Risk Data'!$B$9)</f>
        <v>37.240585480248292</v>
      </c>
      <c r="U32" s="52">
        <f>T32-(T32*T$34*'Risk Data'!$B$9)</f>
        <v>36.868699959096801</v>
      </c>
      <c r="V32" s="52">
        <f>U32-(U32*U$34*'Risk Data'!$B$9)</f>
        <v>36.479790021529993</v>
      </c>
      <c r="W32" s="52">
        <f>V32-(V32*V$34*'Risk Data'!$B$9)</f>
        <v>36.073901012393428</v>
      </c>
      <c r="X32" s="52">
        <f>W32-(W32*W$34*'Risk Data'!$B$9)</f>
        <v>35.65112524001848</v>
      </c>
      <c r="Y32" s="52">
        <f>X32-(X32*X$34*'Risk Data'!$B$9)</f>
        <v>35.211602860960141</v>
      </c>
      <c r="Z32" s="52">
        <f>Y32-(Y32*Y$34*'Risk Data'!$B$9)</f>
        <v>34.755522599731457</v>
      </c>
      <c r="AA32" s="52">
        <f>Z32-(Z32*Z$34*'Risk Data'!$B$9)</f>
        <v>34.283122291526425</v>
      </c>
      <c r="AB32" s="52">
        <f>AA32-(AA32*AA$34*'Risk Data'!$B$9)</f>
        <v>33.794689236564494</v>
      </c>
      <c r="AC32" s="52">
        <f>AB32-(AB32*AB$34*'Risk Data'!$B$9)</f>
        <v>33.290560355456869</v>
      </c>
      <c r="AD32" s="52">
        <f>AC32-(AC32*AC$34*'Risk Data'!$B$9)</f>
        <v>32.77112213588908</v>
      </c>
      <c r="AE32" s="52">
        <f>AD32-(AD32*AD$34*'Risk Data'!$B$9)</f>
        <v>32.236810361934367</v>
      </c>
      <c r="AF32" s="52">
        <f>AE32-(AE32*AE$34*'Risk Data'!$B$9)</f>
        <v>31.688109618456778</v>
      </c>
      <c r="AG32" s="52">
        <f>AF32-(AF32*AF$34*'Risk Data'!$B$9)</f>
        <v>31.125552564327851</v>
      </c>
      <c r="AH32" s="52">
        <f>AG32-(AG32*AG$34*'Risk Data'!$B$9)</f>
        <v>30.54971896956113</v>
      </c>
    </row>
    <row r="33" spans="2:35" ht="14.25" customHeight="1" x14ac:dyDescent="0.2">
      <c r="B33" s="103"/>
      <c r="C33" s="54" t="s">
        <v>94</v>
      </c>
      <c r="D33" s="35">
        <f>INDEX('ZSS Data'!$B$1:$AM$7,MATCH('Risk Model'!$C$3,'ZSS Data'!$B$1:$B$7,0),MATCH('Risk Model'!$C33,'ZSS Data'!$B$1:$AM$1,0))</f>
        <v>20</v>
      </c>
      <c r="E33" s="35">
        <f>D33+1</f>
        <v>21</v>
      </c>
      <c r="F33" s="35">
        <f t="shared" ref="F33:AH33" si="4">E33+1</f>
        <v>22</v>
      </c>
      <c r="G33" s="35">
        <f t="shared" si="4"/>
        <v>23</v>
      </c>
      <c r="H33" s="35">
        <f t="shared" si="4"/>
        <v>24</v>
      </c>
      <c r="I33" s="35">
        <f t="shared" si="4"/>
        <v>25</v>
      </c>
      <c r="J33" s="35">
        <f t="shared" si="4"/>
        <v>26</v>
      </c>
      <c r="K33" s="35">
        <f t="shared" si="4"/>
        <v>27</v>
      </c>
      <c r="L33" s="35">
        <f t="shared" si="4"/>
        <v>28</v>
      </c>
      <c r="M33" s="35">
        <f t="shared" si="4"/>
        <v>29</v>
      </c>
      <c r="N33" s="35">
        <f t="shared" si="4"/>
        <v>30</v>
      </c>
      <c r="O33" s="35">
        <f t="shared" si="4"/>
        <v>31</v>
      </c>
      <c r="P33" s="35">
        <f t="shared" si="4"/>
        <v>32</v>
      </c>
      <c r="Q33" s="35">
        <f t="shared" si="4"/>
        <v>33</v>
      </c>
      <c r="R33" s="35">
        <f t="shared" si="4"/>
        <v>34</v>
      </c>
      <c r="S33" s="35">
        <f t="shared" si="4"/>
        <v>35</v>
      </c>
      <c r="T33" s="35">
        <f t="shared" si="4"/>
        <v>36</v>
      </c>
      <c r="U33" s="35">
        <f t="shared" si="4"/>
        <v>37</v>
      </c>
      <c r="V33" s="35">
        <f t="shared" si="4"/>
        <v>38</v>
      </c>
      <c r="W33" s="35">
        <f t="shared" si="4"/>
        <v>39</v>
      </c>
      <c r="X33" s="35">
        <f t="shared" si="4"/>
        <v>40</v>
      </c>
      <c r="Y33" s="35">
        <f t="shared" si="4"/>
        <v>41</v>
      </c>
      <c r="Z33" s="35">
        <f t="shared" si="4"/>
        <v>42</v>
      </c>
      <c r="AA33" s="35">
        <f t="shared" si="4"/>
        <v>43</v>
      </c>
      <c r="AB33" s="35">
        <f t="shared" si="4"/>
        <v>44</v>
      </c>
      <c r="AC33" s="35">
        <f t="shared" si="4"/>
        <v>45</v>
      </c>
      <c r="AD33" s="35">
        <f t="shared" si="4"/>
        <v>46</v>
      </c>
      <c r="AE33" s="35">
        <f t="shared" si="4"/>
        <v>47</v>
      </c>
      <c r="AF33" s="35">
        <f t="shared" si="4"/>
        <v>48</v>
      </c>
      <c r="AG33" s="35">
        <f t="shared" si="4"/>
        <v>49</v>
      </c>
      <c r="AH33" s="35">
        <f t="shared" si="4"/>
        <v>50</v>
      </c>
    </row>
    <row r="34" spans="2:35" ht="14.25" customHeight="1" x14ac:dyDescent="0.2">
      <c r="B34" s="103"/>
      <c r="C34" s="54" t="s">
        <v>103</v>
      </c>
      <c r="D34" s="50">
        <f>INDEX(Haz_Fn!$A$1:$D$101,MATCH('Risk Model'!D$33,Haz_Fn!$A$1:$A$101,0),MATCH("PoF_Relay_DIG",Haz_Fn!$A$1:$D$1,0))</f>
        <v>1.2328429358099772E-2</v>
      </c>
      <c r="E34" s="50">
        <f>INDEX(Haz_Fn!$A$1:$D$101,MATCH('Risk Model'!E$33,Haz_Fn!$A$1:$A$101,0),MATCH("PoF_Relay_DIG",Haz_Fn!$A$1:$D$1,0))</f>
        <v>1.3592093367305004E-2</v>
      </c>
      <c r="F34" s="50">
        <f>INDEX(Haz_Fn!$A$1:$D$101,MATCH('Risk Model'!F$33,Haz_Fn!$A$1:$A$101,0),MATCH("PoF_Relay_DIG",Haz_Fn!$A$1:$D$1,0))</f>
        <v>1.4917399523300736E-2</v>
      </c>
      <c r="G34" s="50">
        <f>INDEX(Haz_Fn!$A$1:$D$101,MATCH('Risk Model'!G$33,Haz_Fn!$A$1:$A$101,0),MATCH("PoF_Relay_DIG",Haz_Fn!$A$1:$D$1,0))</f>
        <v>1.6304347826086953E-2</v>
      </c>
      <c r="H34" s="50">
        <f>INDEX(Haz_Fn!$A$1:$D$101,MATCH('Risk Model'!H$33,Haz_Fn!$A$1:$A$101,0),MATCH("PoF_Relay_DIG",Haz_Fn!$A$1:$D$1,0))</f>
        <v>1.7752938275663682E-2</v>
      </c>
      <c r="I34" s="50">
        <f>INDEX(Haz_Fn!$A$1:$D$101,MATCH('Risk Model'!I$33,Haz_Fn!$A$1:$A$101,0),MATCH("PoF_Relay_DIG",Haz_Fn!$A$1:$D$1,0))</f>
        <v>1.9263170872030892E-2</v>
      </c>
      <c r="J34" s="50">
        <f>INDEX(Haz_Fn!$A$1:$D$101,MATCH('Risk Model'!J$33,Haz_Fn!$A$1:$A$101,0),MATCH("PoF_Relay_DIG",Haz_Fn!$A$1:$D$1,0))</f>
        <v>2.0835045615188622E-2</v>
      </c>
      <c r="K34" s="50">
        <f>INDEX(Haz_Fn!$A$1:$D$101,MATCH('Risk Model'!K$33,Haz_Fn!$A$1:$A$101,0),MATCH("PoF_Relay_DIG",Haz_Fn!$A$1:$D$1,0))</f>
        <v>2.2468562505136846E-2</v>
      </c>
      <c r="L34" s="50">
        <f>INDEX(Haz_Fn!$A$1:$D$101,MATCH('Risk Model'!L$33,Haz_Fn!$A$1:$A$101,0),MATCH("PoF_Relay_DIG",Haz_Fn!$A$1:$D$1,0))</f>
        <v>2.4163721541875554E-2</v>
      </c>
      <c r="M34" s="50">
        <f>INDEX(Haz_Fn!$A$1:$D$101,MATCH('Risk Model'!M$33,Haz_Fn!$A$1:$A$101,0),MATCH("PoF_Relay_DIG",Haz_Fn!$A$1:$D$1,0))</f>
        <v>2.5920522725404786E-2</v>
      </c>
      <c r="N34" s="50">
        <f>INDEX(Haz_Fn!$A$1:$D$101,MATCH('Risk Model'!N$33,Haz_Fn!$A$1:$A$101,0),MATCH("PoF_Relay_DIG",Haz_Fn!$A$1:$D$1,0))</f>
        <v>2.7738966055724502E-2</v>
      </c>
      <c r="O34" s="50">
        <f>INDEX(Haz_Fn!$A$1:$D$101,MATCH('Risk Model'!O$33,Haz_Fn!$A$1:$A$101,0),MATCH("PoF_Relay_DIG",Haz_Fn!$A$1:$D$1,0))</f>
        <v>2.9619051532834711E-2</v>
      </c>
      <c r="P34" s="50">
        <f>INDEX(Haz_Fn!$A$1:$D$101,MATCH('Risk Model'!P$33,Haz_Fn!$A$1:$A$101,0),MATCH("PoF_Relay_DIG",Haz_Fn!$A$1:$D$1,0))</f>
        <v>3.1560779156735427E-2</v>
      </c>
      <c r="Q34" s="50">
        <f>INDEX(Haz_Fn!$A$1:$D$101,MATCH('Risk Model'!Q$33,Haz_Fn!$A$1:$A$101,0),MATCH("PoF_Relay_DIG",Haz_Fn!$A$1:$D$1,0))</f>
        <v>3.3564148927426644E-2</v>
      </c>
      <c r="R34" s="50">
        <f>INDEX(Haz_Fn!$A$1:$D$101,MATCH('Risk Model'!R$33,Haz_Fn!$A$1:$A$101,0),MATCH("PoF_Relay_DIG",Haz_Fn!$A$1:$D$1,0))</f>
        <v>3.5629160844908365E-2</v>
      </c>
      <c r="S34" s="50">
        <f>INDEX(Haz_Fn!$A$1:$D$101,MATCH('Risk Model'!S$33,Haz_Fn!$A$1:$A$101,0),MATCH("PoF_Relay_DIG",Haz_Fn!$A$1:$D$1,0))</f>
        <v>3.7755814909180549E-2</v>
      </c>
      <c r="T34" s="50">
        <f>INDEX(Haz_Fn!$A$1:$D$101,MATCH('Risk Model'!T$33,Haz_Fn!$A$1:$A$101,0),MATCH("PoF_Relay_DIG",Haz_Fn!$A$1:$D$1,0))</f>
        <v>3.9944111120243271E-2</v>
      </c>
      <c r="U34" s="50">
        <f>INDEX(Haz_Fn!$A$1:$D$101,MATCH('Risk Model'!U$33,Haz_Fn!$A$1:$A$101,0),MATCH("PoF_Relay_DIG",Haz_Fn!$A$1:$D$1,0))</f>
        <v>4.2194049478096476E-2</v>
      </c>
      <c r="V34" s="50">
        <f>INDEX(Haz_Fn!$A$1:$D$101,MATCH('Risk Model'!V$33,Haz_Fn!$A$1:$A$101,0),MATCH("PoF_Relay_DIG",Haz_Fn!$A$1:$D$1,0))</f>
        <v>4.4505629982740186E-2</v>
      </c>
      <c r="W34" s="50">
        <f>INDEX(Haz_Fn!$A$1:$D$101,MATCH('Risk Model'!W$33,Haz_Fn!$A$1:$A$101,0),MATCH("PoF_Relay_DIG",Haz_Fn!$A$1:$D$1,0))</f>
        <v>4.6878852634174385E-2</v>
      </c>
      <c r="X34" s="50">
        <f>INDEX(Haz_Fn!$A$1:$D$101,MATCH('Risk Model'!X$33,Haz_Fn!$A$1:$A$101,0),MATCH("PoF_Relay_DIG",Haz_Fn!$A$1:$D$1,0))</f>
        <v>4.9313717432399082E-2</v>
      </c>
      <c r="Y34" s="50">
        <f>INDEX(Haz_Fn!$A$1:$D$101,MATCH('Risk Model'!Y$33,Haz_Fn!$A$1:$A$101,0),MATCH("PoF_Relay_DIG",Haz_Fn!$A$1:$D$1,0))</f>
        <v>5.1810224377414324E-2</v>
      </c>
      <c r="Z34" s="50">
        <f>INDEX(Haz_Fn!$A$1:$D$101,MATCH('Risk Model'!Z$33,Haz_Fn!$A$1:$A$101,0),MATCH("PoF_Relay_DIG",Haz_Fn!$A$1:$D$1,0))</f>
        <v>5.4368373469220029E-2</v>
      </c>
      <c r="AA34" s="50">
        <f>INDEX(Haz_Fn!$A$1:$D$101,MATCH('Risk Model'!AA$33,Haz_Fn!$A$1:$A$101,0),MATCH("PoF_Relay_DIG",Haz_Fn!$A$1:$D$1,0))</f>
        <v>5.6988164707816209E-2</v>
      </c>
      <c r="AB34" s="50">
        <f>INDEX(Haz_Fn!$A$1:$D$101,MATCH('Risk Model'!AB$33,Haz_Fn!$A$1:$A$101,0),MATCH("PoF_Relay_DIG",Haz_Fn!$A$1:$D$1,0))</f>
        <v>5.9669598093202908E-2</v>
      </c>
      <c r="AC34" s="50">
        <f>INDEX(Haz_Fn!$A$1:$D$101,MATCH('Risk Model'!AC$33,Haz_Fn!$A$1:$A$101,0),MATCH("PoF_Relay_DIG",Haz_Fn!$A$1:$D$1,0))</f>
        <v>6.2412673625380104E-2</v>
      </c>
      <c r="AD34" s="50">
        <f>INDEX(Haz_Fn!$A$1:$D$101,MATCH('Risk Model'!AD$33,Haz_Fn!$A$1:$A$101,0),MATCH("PoF_Relay_DIG",Haz_Fn!$A$1:$D$1,0))</f>
        <v>6.5217391304347824E-2</v>
      </c>
      <c r="AE34" s="50">
        <f>INDEX(Haz_Fn!$A$1:$D$101,MATCH('Risk Model'!AE$33,Haz_Fn!$A$1:$A$101,0),MATCH("PoF_Relay_DIG",Haz_Fn!$A$1:$D$1,0))</f>
        <v>6.8083751130105993E-2</v>
      </c>
      <c r="AF34" s="50">
        <f>INDEX(Haz_Fn!$A$1:$D$101,MATCH('Risk Model'!AF$33,Haz_Fn!$A$1:$A$101,0),MATCH("PoF_Relay_DIG",Haz_Fn!$A$1:$D$1,0))</f>
        <v>7.1011753102654757E-2</v>
      </c>
      <c r="AG34" s="50">
        <f>INDEX(Haz_Fn!$A$1:$D$101,MATCH('Risk Model'!AG$33,Haz_Fn!$A$1:$A$101,0),MATCH("PoF_Relay_DIG",Haz_Fn!$A$1:$D$1,0))</f>
        <v>7.4001397221993878E-2</v>
      </c>
      <c r="AH34" s="50">
        <f>INDEX(Haz_Fn!$A$1:$D$101,MATCH('Risk Model'!AH$33,Haz_Fn!$A$1:$A$101,0),MATCH("PoF_Relay_DIG",Haz_Fn!$A$1:$D$1,0))</f>
        <v>7.7052683488123608E-2</v>
      </c>
    </row>
    <row r="35" spans="2:35" ht="14.25" customHeight="1" x14ac:dyDescent="0.2">
      <c r="B35" s="103"/>
      <c r="C35" s="54" t="s">
        <v>95</v>
      </c>
      <c r="D35" s="80">
        <f t="shared" ref="D35:AH35" si="5">IFERROR(D30*D34*D28*PoC_RELAY_DIG_BusTrip*Bus_Trip_Duration*VCR,"")</f>
        <v>19864.689506451869</v>
      </c>
      <c r="E35" s="4">
        <f t="shared" si="5"/>
        <v>22138.952527062876</v>
      </c>
      <c r="F35" s="4">
        <f t="shared" si="5"/>
        <v>24075.582221237219</v>
      </c>
      <c r="G35" s="4">
        <f t="shared" si="5"/>
        <v>26337.38381492635</v>
      </c>
      <c r="H35" s="4">
        <f t="shared" si="5"/>
        <v>28760.825936307519</v>
      </c>
      <c r="I35" s="4">
        <f t="shared" si="5"/>
        <v>31197.904203884769</v>
      </c>
      <c r="J35" s="4">
        <f t="shared" si="5"/>
        <v>33637.661416023679</v>
      </c>
      <c r="K35" s="4">
        <f t="shared" si="5"/>
        <v>36212.622615786175</v>
      </c>
      <c r="L35" s="4">
        <f t="shared" si="5"/>
        <v>39043.629407138338</v>
      </c>
      <c r="M35" s="4">
        <f t="shared" si="5"/>
        <v>42213.741309589044</v>
      </c>
      <c r="N35" s="4">
        <f t="shared" si="5"/>
        <v>45146.251971478625</v>
      </c>
      <c r="O35" s="4">
        <f t="shared" si="5"/>
        <v>48006.083456606844</v>
      </c>
      <c r="P35" s="4">
        <f t="shared" si="5"/>
        <v>51114.205445946434</v>
      </c>
      <c r="Q35" s="4">
        <f t="shared" si="5"/>
        <v>53929.858301600201</v>
      </c>
      <c r="R35" s="4">
        <f t="shared" si="5"/>
        <v>56767.488030946952</v>
      </c>
      <c r="S35" s="4">
        <f t="shared" si="5"/>
        <v>59620.033163584609</v>
      </c>
      <c r="T35" s="4">
        <f t="shared" si="5"/>
        <v>62480.194308911443</v>
      </c>
      <c r="U35" s="4">
        <f t="shared" si="5"/>
        <v>65340.453138917183</v>
      </c>
      <c r="V35" s="4">
        <f t="shared" si="5"/>
        <v>68193.093617037594</v>
      </c>
      <c r="W35" s="4">
        <f t="shared" si="5"/>
        <v>71030.225444906406</v>
      </c>
      <c r="X35" s="4">
        <f t="shared" si="5"/>
        <v>73843.809680058272</v>
      </c>
      <c r="Y35" s="4">
        <f t="shared" si="5"/>
        <v>76625.686458009557</v>
      </c>
      <c r="Z35" s="4">
        <f t="shared" si="5"/>
        <v>79367.604731824365</v>
      </c>
      <c r="AA35" s="4">
        <f t="shared" si="5"/>
        <v>82061.253921432275</v>
      </c>
      <c r="AB35" s="4">
        <f t="shared" si="5"/>
        <v>84698.297343788159</v>
      </c>
      <c r="AC35" s="4">
        <f t="shared" si="5"/>
        <v>87270.407273666977</v>
      </c>
      <c r="AD35" s="4">
        <f t="shared" si="5"/>
        <v>89769.301463690528</v>
      </c>
      <c r="AE35" s="4">
        <f t="shared" si="5"/>
        <v>92186.780931325266</v>
      </c>
      <c r="AF35" s="4">
        <f t="shared" si="5"/>
        <v>94514.768800332808</v>
      </c>
      <c r="AG35" s="4">
        <f t="shared" si="5"/>
        <v>96745.349964748239</v>
      </c>
      <c r="AH35" s="4">
        <f t="shared" si="5"/>
        <v>98870.811325195507</v>
      </c>
    </row>
    <row r="36" spans="2:35" ht="14.25" customHeight="1" x14ac:dyDescent="0.2">
      <c r="B36" s="103"/>
      <c r="C36" s="54" t="s">
        <v>96</v>
      </c>
      <c r="D36" s="4">
        <f t="shared" ref="D36:AH36" si="6">IFERROR(D31*D34*PoC_RELAY_DIG_FdrTrip*D28*Bus_Trip_Duration*VCR,"")</f>
        <v>4918.8754968357007</v>
      </c>
      <c r="E36" s="4">
        <f t="shared" si="6"/>
        <v>5482.0263400346157</v>
      </c>
      <c r="F36" s="4">
        <f t="shared" si="6"/>
        <v>5961.5727404968338</v>
      </c>
      <c r="G36" s="4">
        <f t="shared" si="6"/>
        <v>6521.6378970293817</v>
      </c>
      <c r="H36" s="4">
        <f t="shared" si="6"/>
        <v>7121.7283270856697</v>
      </c>
      <c r="I36" s="4">
        <f t="shared" si="6"/>
        <v>7725.1953266762284</v>
      </c>
      <c r="J36" s="4">
        <f t="shared" si="6"/>
        <v>8329.3256839677706</v>
      </c>
      <c r="K36" s="4">
        <f t="shared" si="6"/>
        <v>8966.9351239089574</v>
      </c>
      <c r="L36" s="4">
        <f t="shared" si="6"/>
        <v>9667.9463293866374</v>
      </c>
      <c r="M36" s="4">
        <f t="shared" si="6"/>
        <v>10452.926419517289</v>
      </c>
      <c r="N36" s="4">
        <f t="shared" si="6"/>
        <v>11179.071916747091</v>
      </c>
      <c r="O36" s="4">
        <f t="shared" si="6"/>
        <v>11887.220665445504</v>
      </c>
      <c r="P36" s="4">
        <f t="shared" si="6"/>
        <v>12656.850872329596</v>
      </c>
      <c r="Q36" s="4">
        <f t="shared" si="6"/>
        <v>13354.06015087243</v>
      </c>
      <c r="R36" s="4">
        <f t="shared" si="6"/>
        <v>14056.711321948771</v>
      </c>
      <c r="S36" s="4">
        <f t="shared" si="6"/>
        <v>14763.055830982858</v>
      </c>
      <c r="T36" s="4">
        <f t="shared" si="6"/>
        <v>15471.286209825696</v>
      </c>
      <c r="U36" s="4">
        <f t="shared" si="6"/>
        <v>16179.54077725569</v>
      </c>
      <c r="V36" s="4">
        <f t="shared" si="6"/>
        <v>16885.908895647408</v>
      </c>
      <c r="W36" s="4">
        <f t="shared" si="6"/>
        <v>17588.436776833969</v>
      </c>
      <c r="X36" s="4">
        <f t="shared" si="6"/>
        <v>18285.133825538247</v>
      </c>
      <c r="Y36" s="4">
        <f t="shared" si="6"/>
        <v>18973.979503888087</v>
      </c>
      <c r="Z36" s="4">
        <f t="shared" si="6"/>
        <v>19652.93069549937</v>
      </c>
      <c r="AA36" s="4">
        <f t="shared" si="6"/>
        <v>20319.929542449903</v>
      </c>
      <c r="AB36" s="4">
        <f t="shared" si="6"/>
        <v>20972.911723223744</v>
      </c>
      <c r="AC36" s="4">
        <f t="shared" si="6"/>
        <v>21609.815134431832</v>
      </c>
      <c r="AD36" s="4">
        <f t="shared" si="6"/>
        <v>22228.588933866227</v>
      </c>
      <c r="AE36" s="4">
        <f t="shared" si="6"/>
        <v>22827.202897280549</v>
      </c>
      <c r="AF36" s="4">
        <f t="shared" si="6"/>
        <v>23403.657036272889</v>
      </c>
      <c r="AG36" s="4">
        <f t="shared" si="6"/>
        <v>23955.991419842427</v>
      </c>
      <c r="AH36" s="4">
        <f t="shared" si="6"/>
        <v>24482.296137667458</v>
      </c>
    </row>
    <row r="37" spans="2:35" ht="14.25" customHeight="1" x14ac:dyDescent="0.2">
      <c r="B37" s="103"/>
      <c r="C37" s="54" t="s">
        <v>98</v>
      </c>
      <c r="D37" s="4">
        <f>IFERROR(D30*D34*PoC_RELAY_DIG_BusTrip*D31*D34*PoC_RELAY_DIG_BusTrip*D28*HV_Bus_No.s*Bus_Trip_Duration*VCR,0)</f>
        <v>1028.5817694636862</v>
      </c>
      <c r="E37" s="4">
        <f>IFERROR(E30*E34*PoC_RELAY_DIG_BusTrip*E31*E34*PoC_RELAY_DIG_BusTrip*E28*HV_Bus_No.s*Bus_Trip_Duration*VCR,0)</f>
        <v>1259.9464851393814</v>
      </c>
      <c r="F37" s="4">
        <f t="shared" ref="F37:AH37" si="7">F30*F34*PoC_RELAY_DIG_BusTrip*F31*F34*PoC_RELAY_DIG_BusTrip*F28*HV_Bus_No.s*Bus_Trip_Duration*VCR</f>
        <v>1498.6504388474591</v>
      </c>
      <c r="G37" s="4">
        <f t="shared" si="7"/>
        <v>1785.1874545677204</v>
      </c>
      <c r="H37" s="4">
        <f t="shared" si="7"/>
        <v>2114.0026081985116</v>
      </c>
      <c r="I37" s="4">
        <f t="shared" si="7"/>
        <v>2477.16724257942</v>
      </c>
      <c r="J37" s="4">
        <f t="shared" si="7"/>
        <v>2874.9206154458398</v>
      </c>
      <c r="K37" s="4">
        <f t="shared" si="7"/>
        <v>3320.2655938783132</v>
      </c>
      <c r="L37" s="4">
        <f t="shared" si="7"/>
        <v>3828.2932017504932</v>
      </c>
      <c r="M37" s="4">
        <f t="shared" si="7"/>
        <v>4413.2373871302943</v>
      </c>
      <c r="N37" s="4">
        <f t="shared" si="7"/>
        <v>5018.2028877380035</v>
      </c>
      <c r="O37" s="4">
        <f t="shared" si="7"/>
        <v>5658.2412127986072</v>
      </c>
      <c r="P37" s="4">
        <f t="shared" si="7"/>
        <v>6371.9968431753905</v>
      </c>
      <c r="Q37" s="4">
        <f t="shared" si="7"/>
        <v>7093.3417128022093</v>
      </c>
      <c r="R37" s="4">
        <f t="shared" si="7"/>
        <v>7859.4413541682034</v>
      </c>
      <c r="S37" s="4">
        <f t="shared" si="7"/>
        <v>8669.1546428316233</v>
      </c>
      <c r="T37" s="4">
        <f t="shared" si="7"/>
        <v>9520.8794549567265</v>
      </c>
      <c r="U37" s="4">
        <f t="shared" si="7"/>
        <v>10412.538196443022</v>
      </c>
      <c r="V37" s="4">
        <f t="shared" si="7"/>
        <v>11341.568217789434</v>
      </c>
      <c r="W37" s="4">
        <f t="shared" si="7"/>
        <v>12304.917598305839</v>
      </c>
      <c r="X37" s="4">
        <f t="shared" si="7"/>
        <v>13299.046733570993</v>
      </c>
      <c r="Y37" s="4">
        <f t="shared" si="7"/>
        <v>14319.936098117581</v>
      </c>
      <c r="Z37" s="4">
        <f t="shared" si="7"/>
        <v>15363.100481424075</v>
      </c>
      <c r="AA37" s="4">
        <f t="shared" si="7"/>
        <v>16423.60990992947</v>
      </c>
      <c r="AB37" s="4">
        <f t="shared" si="7"/>
        <v>17496.117371795885</v>
      </c>
      <c r="AC37" s="4">
        <f t="shared" si="7"/>
        <v>18574.893355687287</v>
      </c>
      <c r="AD37" s="4">
        <f t="shared" si="7"/>
        <v>19653.867101395874</v>
      </c>
      <c r="AE37" s="4">
        <f t="shared" si="7"/>
        <v>20726.674340532732</v>
      </c>
      <c r="AF37" s="4">
        <f t="shared" si="7"/>
        <v>21786.711181811326</v>
      </c>
      <c r="AG37" s="4">
        <f t="shared" si="7"/>
        <v>22827.193670057954</v>
      </c>
      <c r="AH37" s="4">
        <f t="shared" si="7"/>
        <v>23841.222423591942</v>
      </c>
    </row>
    <row r="38" spans="2:35" ht="14.25" customHeight="1" x14ac:dyDescent="0.2">
      <c r="B38" s="103"/>
      <c r="C38" s="54" t="s">
        <v>20</v>
      </c>
      <c r="D38" s="4">
        <f>IFERROR(D30*D34*D29*Fdr_Trip_Duration*VCR*PoC_RELAY_DIG_FdrTrip,0)</f>
        <v>1639.6251656119002</v>
      </c>
      <c r="E38" s="4">
        <f t="shared" ref="E38:AH38" si="8">IFERROR(E30*E34*E29*Fdr_Trip_Duration*VCR*PoC_RELAY_DIG_FdrTrip,"")</f>
        <v>1827.3421133448726</v>
      </c>
      <c r="F38" s="4">
        <f t="shared" si="8"/>
        <v>1987.1909134989453</v>
      </c>
      <c r="G38" s="4">
        <f t="shared" si="8"/>
        <v>2173.8792990097941</v>
      </c>
      <c r="H38" s="4">
        <f t="shared" si="8"/>
        <v>2373.9094423618903</v>
      </c>
      <c r="I38" s="4">
        <f t="shared" si="8"/>
        <v>2575.0651088920763</v>
      </c>
      <c r="J38" s="4">
        <f t="shared" si="8"/>
        <v>2776.4418946559235</v>
      </c>
      <c r="K38" s="4">
        <f t="shared" si="8"/>
        <v>2988.9783746363191</v>
      </c>
      <c r="L38" s="4">
        <f t="shared" si="8"/>
        <v>3222.6487764622125</v>
      </c>
      <c r="M38" s="4">
        <f t="shared" si="8"/>
        <v>3484.3088065057636</v>
      </c>
      <c r="N38" s="4">
        <f t="shared" si="8"/>
        <v>3726.3573055823654</v>
      </c>
      <c r="O38" s="4">
        <f t="shared" si="8"/>
        <v>3962.4068884818362</v>
      </c>
      <c r="P38" s="4">
        <f t="shared" si="8"/>
        <v>4218.9502907765336</v>
      </c>
      <c r="Q38" s="4">
        <f t="shared" si="8"/>
        <v>4451.353383624145</v>
      </c>
      <c r="R38" s="4">
        <f t="shared" si="8"/>
        <v>4685.5704406495915</v>
      </c>
      <c r="S38" s="4">
        <f t="shared" si="8"/>
        <v>4921.0186103276201</v>
      </c>
      <c r="T38" s="4">
        <f t="shared" si="8"/>
        <v>5157.0954032752334</v>
      </c>
      <c r="U38" s="4">
        <f t="shared" si="8"/>
        <v>5393.1802590852312</v>
      </c>
      <c r="V38" s="4">
        <f t="shared" si="8"/>
        <v>5628.6362985491369</v>
      </c>
      <c r="W38" s="4">
        <f t="shared" si="8"/>
        <v>5862.8122589446575</v>
      </c>
      <c r="X38" s="4">
        <f t="shared" si="8"/>
        <v>6095.0446085127505</v>
      </c>
      <c r="Y38" s="4">
        <f t="shared" si="8"/>
        <v>6324.6598346293622</v>
      </c>
      <c r="Z38" s="4">
        <f t="shared" si="8"/>
        <v>6550.97689849979</v>
      </c>
      <c r="AA38" s="4">
        <f t="shared" si="8"/>
        <v>6773.3098474833023</v>
      </c>
      <c r="AB38" s="4">
        <f t="shared" si="8"/>
        <v>6990.9705744079156</v>
      </c>
      <c r="AC38" s="4">
        <f t="shared" si="8"/>
        <v>7203.2717114772786</v>
      </c>
      <c r="AD38" s="4">
        <f t="shared" si="8"/>
        <v>7409.5296446220764</v>
      </c>
      <c r="AE38" s="4">
        <f t="shared" si="8"/>
        <v>7609.0676324268497</v>
      </c>
      <c r="AF38" s="4">
        <f t="shared" si="8"/>
        <v>7801.2190120909636</v>
      </c>
      <c r="AG38" s="4">
        <f t="shared" si="8"/>
        <v>7985.3304732808101</v>
      </c>
      <c r="AH38" s="4">
        <f t="shared" si="8"/>
        <v>8160.7653792224883</v>
      </c>
    </row>
    <row r="39" spans="2:35" ht="15" customHeight="1" x14ac:dyDescent="0.25">
      <c r="B39" s="103"/>
      <c r="C39" s="57" t="s">
        <v>21</v>
      </c>
      <c r="D39" s="81">
        <f>SUM(D35:D38)</f>
        <v>27451.771938363156</v>
      </c>
      <c r="E39" s="81">
        <f t="shared" ref="E39:AH39" si="9">SUM(E35:E38)</f>
        <v>30708.267465581746</v>
      </c>
      <c r="F39" s="81">
        <f t="shared" si="9"/>
        <v>33522.996314080461</v>
      </c>
      <c r="G39" s="81">
        <f t="shared" si="9"/>
        <v>36818.088465533248</v>
      </c>
      <c r="H39" s="81">
        <f t="shared" si="9"/>
        <v>40370.466313953591</v>
      </c>
      <c r="I39" s="81">
        <f t="shared" si="9"/>
        <v>43975.331882032493</v>
      </c>
      <c r="J39" s="81">
        <f t="shared" si="9"/>
        <v>47618.34961009321</v>
      </c>
      <c r="K39" s="81">
        <f t="shared" si="9"/>
        <v>51488.801708209765</v>
      </c>
      <c r="L39" s="81">
        <f t="shared" si="9"/>
        <v>55762.517714737682</v>
      </c>
      <c r="M39" s="81">
        <f t="shared" si="9"/>
        <v>60564.21392274239</v>
      </c>
      <c r="N39" s="81">
        <f t="shared" si="9"/>
        <v>65069.884081546086</v>
      </c>
      <c r="O39" s="81">
        <f t="shared" si="9"/>
        <v>69513.952223332788</v>
      </c>
      <c r="P39" s="81">
        <f t="shared" si="9"/>
        <v>74362.003452227946</v>
      </c>
      <c r="Q39" s="81">
        <f t="shared" si="9"/>
        <v>78828.613548898982</v>
      </c>
      <c r="R39" s="81">
        <f t="shared" si="9"/>
        <v>83369.211147713519</v>
      </c>
      <c r="S39" s="81">
        <f t="shared" si="9"/>
        <v>87973.262247726714</v>
      </c>
      <c r="T39" s="81">
        <f t="shared" si="9"/>
        <v>92629.455376969097</v>
      </c>
      <c r="U39" s="81">
        <f t="shared" si="9"/>
        <v>97325.712371701127</v>
      </c>
      <c r="V39" s="81">
        <f t="shared" si="9"/>
        <v>102049.20702902357</v>
      </c>
      <c r="W39" s="81">
        <f t="shared" si="9"/>
        <v>106786.39207899087</v>
      </c>
      <c r="X39" s="81">
        <f t="shared" si="9"/>
        <v>111523.03484768026</v>
      </c>
      <c r="Y39" s="81">
        <f t="shared" si="9"/>
        <v>116244.26189464459</v>
      </c>
      <c r="Z39" s="81">
        <f t="shared" si="9"/>
        <v>120934.6128072476</v>
      </c>
      <c r="AA39" s="81">
        <f t="shared" si="9"/>
        <v>125578.10322129494</v>
      </c>
      <c r="AB39" s="81">
        <f t="shared" si="9"/>
        <v>130158.29701321571</v>
      </c>
      <c r="AC39" s="81">
        <f t="shared" si="9"/>
        <v>134658.38747526339</v>
      </c>
      <c r="AD39" s="81">
        <f t="shared" si="9"/>
        <v>139061.28714357471</v>
      </c>
      <c r="AE39" s="81">
        <f t="shared" si="9"/>
        <v>143349.72580156542</v>
      </c>
      <c r="AF39" s="81">
        <f t="shared" si="9"/>
        <v>147506.35603050797</v>
      </c>
      <c r="AG39" s="62">
        <f t="shared" si="9"/>
        <v>151513.86552792942</v>
      </c>
      <c r="AH39" s="62">
        <f t="shared" si="9"/>
        <v>155355.0952656774</v>
      </c>
    </row>
    <row r="40" spans="2:35" ht="15" customHeight="1" x14ac:dyDescent="0.25">
      <c r="B40" s="103"/>
      <c r="C40" s="57" t="s">
        <v>101</v>
      </c>
      <c r="D40" s="63">
        <f t="shared" ref="D40:AH40" si="10">D32*D34*Existing_Unplnd_CAPEX_Unit_Cost</f>
        <v>75819.840552313603</v>
      </c>
      <c r="E40" s="63">
        <f t="shared" si="10"/>
        <v>83333.736620955475</v>
      </c>
      <c r="F40" s="63">
        <f t="shared" si="10"/>
        <v>91148.4676942355</v>
      </c>
      <c r="G40" s="63">
        <f t="shared" si="10"/>
        <v>99251.4862301596</v>
      </c>
      <c r="H40" s="63">
        <f t="shared" si="10"/>
        <v>107629.16982992737</v>
      </c>
      <c r="I40" s="63">
        <f t="shared" si="10"/>
        <v>116266.80374106379</v>
      </c>
      <c r="J40" s="63">
        <f t="shared" si="10"/>
        <v>125148.56888646536</v>
      </c>
      <c r="K40" s="63">
        <f t="shared" si="10"/>
        <v>134257.53578618128</v>
      </c>
      <c r="L40" s="63">
        <f t="shared" si="10"/>
        <v>143575.66472535659</v>
      </c>
      <c r="M40" s="63">
        <f t="shared" si="10"/>
        <v>153083.81250392925</v>
      </c>
      <c r="N40" s="63">
        <f t="shared" si="10"/>
        <v>162761.74608125311</v>
      </c>
      <c r="O40" s="63">
        <f t="shared" si="10"/>
        <v>172588.16340168263</v>
      </c>
      <c r="P40" s="63">
        <f t="shared" si="10"/>
        <v>182540.7216552035</v>
      </c>
      <c r="Q40" s="63">
        <f t="shared" si="10"/>
        <v>192596.07319040637</v>
      </c>
      <c r="R40" s="63">
        <f t="shared" si="10"/>
        <v>202729.90925547027</v>
      </c>
      <c r="S40" s="63">
        <f t="shared" si="10"/>
        <v>212917.01169642215</v>
      </c>
      <c r="T40" s="63">
        <f t="shared" si="10"/>
        <v>223131.31269089339</v>
      </c>
      <c r="U40" s="63">
        <f t="shared" si="10"/>
        <v>233345.96254008359</v>
      </c>
      <c r="V40" s="63">
        <f t="shared" si="10"/>
        <v>243533.40548194075</v>
      </c>
      <c r="W40" s="63">
        <f t="shared" si="10"/>
        <v>253665.46342496783</v>
      </c>
      <c r="X40" s="63">
        <f t="shared" si="10"/>
        <v>263713.42743500136</v>
      </c>
      <c r="Y40" s="63">
        <f t="shared" si="10"/>
        <v>273648.15673721238</v>
      </c>
      <c r="Z40" s="63">
        <f t="shared" si="10"/>
        <v>283440.18492301751</v>
      </c>
      <c r="AA40" s="63">
        <f t="shared" si="10"/>
        <v>293059.83297715703</v>
      </c>
      <c r="AB40" s="63">
        <f t="shared" si="10"/>
        <v>302477.32866457407</v>
      </c>
      <c r="AC40" s="63">
        <f t="shared" si="10"/>
        <v>311662.93174067209</v>
      </c>
      <c r="AD40" s="63">
        <f t="shared" si="10"/>
        <v>320587.06437282794</v>
      </c>
      <c r="AE40" s="63">
        <f t="shared" si="10"/>
        <v>329220.44608655421</v>
      </c>
      <c r="AF40" s="63">
        <f t="shared" si="10"/>
        <v>337534.23247735685</v>
      </c>
      <c r="AG40" s="63">
        <f t="shared" si="10"/>
        <v>345500.15686003136</v>
      </c>
      <c r="AH40" s="63">
        <f t="shared" si="10"/>
        <v>353090.67396190792</v>
      </c>
    </row>
    <row r="41" spans="2:35" ht="15" customHeight="1" x14ac:dyDescent="0.25">
      <c r="B41" s="103"/>
      <c r="C41" s="57" t="s">
        <v>23</v>
      </c>
      <c r="D41" s="63">
        <f t="shared" ref="D41:AH41" si="11">D30*D34*PoC_RELAY_DIG_BusTrip*PoC_Safety*Coc_Safety*Safety_Disp_Factor</f>
        <v>1210.2399934248372</v>
      </c>
      <c r="E41" s="63">
        <f t="shared" si="11"/>
        <v>1330.1771690040141</v>
      </c>
      <c r="F41" s="63">
        <f t="shared" si="11"/>
        <v>1454.9162876021039</v>
      </c>
      <c r="G41" s="63">
        <f t="shared" si="11"/>
        <v>1584.2570647417215</v>
      </c>
      <c r="H41" s="63">
        <f t="shared" si="11"/>
        <v>1717.9820590287068</v>
      </c>
      <c r="I41" s="63">
        <f t="shared" si="11"/>
        <v>1855.856392866262</v>
      </c>
      <c r="J41" s="63">
        <f t="shared" si="11"/>
        <v>1997.6275613739977</v>
      </c>
      <c r="K41" s="63">
        <f t="shared" si="11"/>
        <v>2143.0253353671114</v>
      </c>
      <c r="L41" s="63">
        <f t="shared" si="11"/>
        <v>2291.7617640371036</v>
      </c>
      <c r="M41" s="63">
        <f t="shared" si="11"/>
        <v>2443.5312826907675</v>
      </c>
      <c r="N41" s="63">
        <f t="shared" si="11"/>
        <v>2598.010930546332</v>
      </c>
      <c r="O41" s="63">
        <f t="shared" si="11"/>
        <v>2754.860683152458</v>
      </c>
      <c r="P41" s="63">
        <f t="shared" si="11"/>
        <v>2913.7239034858048</v>
      </c>
      <c r="Q41" s="63">
        <f t="shared" si="11"/>
        <v>3074.2279151956654</v>
      </c>
      <c r="R41" s="63">
        <f t="shared" si="11"/>
        <v>3235.9847007996818</v>
      </c>
      <c r="S41" s="63">
        <f t="shared" si="11"/>
        <v>3398.591726893982</v>
      </c>
      <c r="T41" s="63">
        <f t="shared" si="11"/>
        <v>3561.6328976263158</v>
      </c>
      <c r="U41" s="63">
        <f t="shared" si="11"/>
        <v>3724.6796367946927</v>
      </c>
      <c r="V41" s="63">
        <f t="shared" si="11"/>
        <v>3887.2920979810524</v>
      </c>
      <c r="W41" s="63">
        <f t="shared" si="11"/>
        <v>4049.0205011143807</v>
      </c>
      <c r="X41" s="63">
        <f t="shared" si="11"/>
        <v>4209.4065927871206</v>
      </c>
      <c r="Y41" s="63">
        <f t="shared" si="11"/>
        <v>4367.9852265299542</v>
      </c>
      <c r="Z41" s="63">
        <f t="shared" si="11"/>
        <v>4524.2860580916877</v>
      </c>
      <c r="AA41" s="63">
        <f t="shared" si="11"/>
        <v>4677.835349582987</v>
      </c>
      <c r="AB41" s="63">
        <f t="shared" si="11"/>
        <v>4828.1578751355719</v>
      </c>
      <c r="AC41" s="63">
        <f t="shared" si="11"/>
        <v>4974.7789195144487</v>
      </c>
      <c r="AD41" s="63">
        <f t="shared" si="11"/>
        <v>5117.2263599124626</v>
      </c>
      <c r="AE41" s="63">
        <f t="shared" si="11"/>
        <v>5255.0328199675332</v>
      </c>
      <c r="AF41" s="63">
        <f t="shared" si="11"/>
        <v>5387.7378838880795</v>
      </c>
      <c r="AG41" s="63">
        <f t="shared" si="11"/>
        <v>5514.8903574660071</v>
      </c>
      <c r="AH41" s="63">
        <f t="shared" si="11"/>
        <v>5636.0505617152885</v>
      </c>
    </row>
    <row r="42" spans="2:35" ht="15" customHeight="1" x14ac:dyDescent="0.25">
      <c r="B42" s="103"/>
      <c r="C42" s="57" t="s">
        <v>70</v>
      </c>
      <c r="D42" s="63">
        <f>INDEX('ZSS Data'!$B$1:$AM$7,MATCH('Risk Model'!$C$3,'ZSS Data'!$B$1:$B$7,0),MATCH(C42,'ZSS Data'!$B$1:$AM$1,0))</f>
        <v>11958.333333333334</v>
      </c>
      <c r="E42" s="63">
        <f>D42</f>
        <v>11958.333333333334</v>
      </c>
      <c r="F42" s="63">
        <f t="shared" ref="F42:AH42" si="12">E42</f>
        <v>11958.333333333334</v>
      </c>
      <c r="G42" s="63">
        <f t="shared" si="12"/>
        <v>11958.333333333334</v>
      </c>
      <c r="H42" s="63">
        <f t="shared" si="12"/>
        <v>11958.333333333334</v>
      </c>
      <c r="I42" s="63">
        <f t="shared" si="12"/>
        <v>11958.333333333334</v>
      </c>
      <c r="J42" s="63">
        <f t="shared" si="12"/>
        <v>11958.333333333334</v>
      </c>
      <c r="K42" s="63">
        <f t="shared" si="12"/>
        <v>11958.333333333334</v>
      </c>
      <c r="L42" s="63">
        <f t="shared" si="12"/>
        <v>11958.333333333334</v>
      </c>
      <c r="M42" s="63">
        <f t="shared" si="12"/>
        <v>11958.333333333334</v>
      </c>
      <c r="N42" s="63">
        <f t="shared" si="12"/>
        <v>11958.333333333334</v>
      </c>
      <c r="O42" s="63">
        <f t="shared" si="12"/>
        <v>11958.333333333334</v>
      </c>
      <c r="P42" s="63">
        <f t="shared" si="12"/>
        <v>11958.333333333334</v>
      </c>
      <c r="Q42" s="63">
        <f t="shared" si="12"/>
        <v>11958.333333333334</v>
      </c>
      <c r="R42" s="63">
        <f t="shared" si="12"/>
        <v>11958.333333333334</v>
      </c>
      <c r="S42" s="63">
        <f t="shared" si="12"/>
        <v>11958.333333333334</v>
      </c>
      <c r="T42" s="63">
        <f t="shared" si="12"/>
        <v>11958.333333333334</v>
      </c>
      <c r="U42" s="63">
        <f t="shared" si="12"/>
        <v>11958.333333333334</v>
      </c>
      <c r="V42" s="63">
        <f t="shared" si="12"/>
        <v>11958.333333333334</v>
      </c>
      <c r="W42" s="63">
        <f t="shared" si="12"/>
        <v>11958.333333333334</v>
      </c>
      <c r="X42" s="63">
        <f t="shared" si="12"/>
        <v>11958.333333333334</v>
      </c>
      <c r="Y42" s="63">
        <f t="shared" si="12"/>
        <v>11958.333333333334</v>
      </c>
      <c r="Z42" s="63">
        <f t="shared" si="12"/>
        <v>11958.333333333334</v>
      </c>
      <c r="AA42" s="63">
        <f t="shared" si="12"/>
        <v>11958.333333333334</v>
      </c>
      <c r="AB42" s="63">
        <f t="shared" si="12"/>
        <v>11958.333333333334</v>
      </c>
      <c r="AC42" s="63">
        <f t="shared" si="12"/>
        <v>11958.333333333334</v>
      </c>
      <c r="AD42" s="63">
        <f t="shared" si="12"/>
        <v>11958.333333333334</v>
      </c>
      <c r="AE42" s="63">
        <f t="shared" si="12"/>
        <v>11958.333333333334</v>
      </c>
      <c r="AF42" s="63">
        <f t="shared" si="12"/>
        <v>11958.333333333334</v>
      </c>
      <c r="AG42" s="63">
        <f t="shared" si="12"/>
        <v>11958.333333333334</v>
      </c>
      <c r="AH42" s="63">
        <f t="shared" si="12"/>
        <v>11958.333333333334</v>
      </c>
    </row>
    <row r="43" spans="2:35" s="47" customFormat="1" ht="15" customHeight="1" x14ac:dyDescent="0.25">
      <c r="B43" s="103"/>
      <c r="C43" s="61" t="s">
        <v>112</v>
      </c>
      <c r="D43" s="64">
        <f>SUM(D39:D42)</f>
        <v>116440.18581743492</v>
      </c>
      <c r="E43" s="64">
        <f t="shared" ref="E43:AH43" si="13">SUM(E39:E42)</f>
        <v>127330.51458887458</v>
      </c>
      <c r="F43" s="64">
        <f t="shared" si="13"/>
        <v>138084.7136292514</v>
      </c>
      <c r="G43" s="64">
        <f t="shared" si="13"/>
        <v>149612.16509376792</v>
      </c>
      <c r="H43" s="64">
        <f t="shared" si="13"/>
        <v>161675.951536243</v>
      </c>
      <c r="I43" s="64">
        <f t="shared" si="13"/>
        <v>174056.32534929589</v>
      </c>
      <c r="J43" s="64">
        <f t="shared" si="13"/>
        <v>186722.87939126589</v>
      </c>
      <c r="K43" s="64">
        <f t="shared" si="13"/>
        <v>199847.69616309149</v>
      </c>
      <c r="L43" s="64">
        <f t="shared" si="13"/>
        <v>213588.27753746472</v>
      </c>
      <c r="M43" s="64">
        <f t="shared" si="13"/>
        <v>228049.89104269576</v>
      </c>
      <c r="N43" s="64">
        <f t="shared" si="13"/>
        <v>242387.97442667888</v>
      </c>
      <c r="O43" s="64">
        <f t="shared" si="13"/>
        <v>256815.3096415012</v>
      </c>
      <c r="P43" s="64">
        <f t="shared" si="13"/>
        <v>271774.78234425059</v>
      </c>
      <c r="Q43" s="64">
        <f t="shared" si="13"/>
        <v>286457.24798783439</v>
      </c>
      <c r="R43" s="64">
        <f t="shared" si="13"/>
        <v>301293.4384373168</v>
      </c>
      <c r="S43" s="64">
        <f t="shared" si="13"/>
        <v>316247.19900437613</v>
      </c>
      <c r="T43" s="64">
        <f t="shared" si="13"/>
        <v>331280.73429882212</v>
      </c>
      <c r="U43" s="64">
        <f t="shared" si="13"/>
        <v>346354.68788191269</v>
      </c>
      <c r="V43" s="64">
        <f t="shared" si="13"/>
        <v>361428.23794227868</v>
      </c>
      <c r="W43" s="64">
        <f t="shared" si="13"/>
        <v>376459.20933840639</v>
      </c>
      <c r="X43" s="64">
        <f t="shared" si="13"/>
        <v>391404.20220880205</v>
      </c>
      <c r="Y43" s="64">
        <f t="shared" si="13"/>
        <v>406218.73719172023</v>
      </c>
      <c r="Z43" s="64">
        <f t="shared" si="13"/>
        <v>420857.41712169012</v>
      </c>
      <c r="AA43" s="64">
        <f t="shared" si="13"/>
        <v>435274.10488136829</v>
      </c>
      <c r="AB43" s="64">
        <f t="shared" si="13"/>
        <v>449422.11688625871</v>
      </c>
      <c r="AC43" s="64">
        <f t="shared" si="13"/>
        <v>463254.43146878324</v>
      </c>
      <c r="AD43" s="64">
        <f t="shared" si="13"/>
        <v>476723.91120964848</v>
      </c>
      <c r="AE43" s="64">
        <f t="shared" si="13"/>
        <v>489783.53804142051</v>
      </c>
      <c r="AF43" s="64">
        <f t="shared" si="13"/>
        <v>502386.65972508624</v>
      </c>
      <c r="AG43" s="64">
        <f t="shared" si="13"/>
        <v>514487.24607876013</v>
      </c>
      <c r="AH43" s="64">
        <f t="shared" si="13"/>
        <v>526040.15312263393</v>
      </c>
    </row>
    <row r="44" spans="2:35" s="47" customFormat="1" ht="14.25" customHeight="1" x14ac:dyDescent="0.2">
      <c r="B44" s="104" t="s">
        <v>114</v>
      </c>
      <c r="C44" s="65" t="s">
        <v>104</v>
      </c>
      <c r="D44" s="50" t="str">
        <f>IFERROR(INDEX(Haz_Fn!$A$1:$D$101,MATCH((D26-Proj_Prop_Yr),Haz_Fn!$A$1:$A$101,0),MATCH("PoF_Relay_DIG",Haz_Fn!$A$1:$D$1,0)),"")</f>
        <v/>
      </c>
      <c r="E44" s="50" t="str">
        <f>IFERROR(INDEX(Haz_Fn!$A$1:$D$101,MATCH((E26-Proj_Prop_Yr),Haz_Fn!$A$1:$A$101,0),MATCH("PoF_Relay_DIG",Haz_Fn!$A$1:$D$1,0)),"")</f>
        <v/>
      </c>
      <c r="F44" s="50" t="str">
        <f>IFERROR(INDEX(Haz_Fn!$A$1:$D$101,MATCH((F26-Proj_Prop_Yr),Haz_Fn!$A$1:$A$101,0),MATCH("PoF_Relay_DIG",Haz_Fn!$A$1:$D$1,0)),"")</f>
        <v/>
      </c>
      <c r="G44" s="50" t="str">
        <f>IFERROR(INDEX(Haz_Fn!$A$1:$D$101,MATCH((G26-Proj_Prop_Yr),Haz_Fn!$A$1:$A$101,0),MATCH("PoF_Relay_DIG",Haz_Fn!$A$1:$D$1,0)),"")</f>
        <v/>
      </c>
      <c r="H44" s="50" t="str">
        <f>IFERROR(INDEX(Haz_Fn!$A$1:$D$101,MATCH((H26-Proj_Prop_Yr),Haz_Fn!$A$1:$A$101,0),MATCH("PoF_Relay_DIG",Haz_Fn!$A$1:$D$1,0)),"")</f>
        <v/>
      </c>
      <c r="I44" s="50" t="str">
        <f>IFERROR(INDEX(Haz_Fn!$A$1:$D$101,MATCH((I26-Proj_Prop_Yr),Haz_Fn!$A$1:$A$101,0),MATCH("PoF_Relay_DIG",Haz_Fn!$A$1:$D$1,0)),"")</f>
        <v/>
      </c>
      <c r="J44" s="50" t="str">
        <f>IFERROR(INDEX(Haz_Fn!$A$1:$D$101,MATCH((J26-Proj_Prop_Yr),Haz_Fn!$A$1:$A$101,0),MATCH("PoF_Relay_DIG",Haz_Fn!$A$1:$D$1,0)),"")</f>
        <v/>
      </c>
      <c r="K44" s="50">
        <f>IFERROR(INDEX(Haz_Fn!$A$1:$D$101,MATCH((K26-Proj_Prop_Yr),Haz_Fn!$A$1:$A$101,0),MATCH("PoF_Relay_DIG",Haz_Fn!$A$1:$D$1,0)),"")</f>
        <v>3.0821073395249441E-5</v>
      </c>
      <c r="L44" s="50">
        <f>IFERROR(INDEX(Haz_Fn!$A$1:$D$101,MATCH((L26-Proj_Prop_Yr),Haz_Fn!$A$1:$A$101,0),MATCH("PoF_Relay_DIG",Haz_Fn!$A$1:$D$1,0)),"")</f>
        <v>1.2328429358099776E-4</v>
      </c>
      <c r="M44" s="50">
        <f>IFERROR(INDEX(Haz_Fn!$A$1:$D$101,MATCH((M26-Proj_Prop_Yr),Haz_Fn!$A$1:$A$101,0),MATCH("PoF_Relay_DIG",Haz_Fn!$A$1:$D$1,0)),"")</f>
        <v>2.7738966055724503E-4</v>
      </c>
      <c r="N44" s="50">
        <f>IFERROR(INDEX(Haz_Fn!$A$1:$D$101,MATCH((N26-Proj_Prop_Yr),Haz_Fn!$A$1:$A$101,0),MATCH("PoF_Relay_DIG",Haz_Fn!$A$1:$D$1,0)),"")</f>
        <v>4.9313717432399094E-4</v>
      </c>
      <c r="O44" s="50">
        <f>IFERROR(INDEX(Haz_Fn!$A$1:$D$101,MATCH((O26-Proj_Prop_Yr),Haz_Fn!$A$1:$A$101,0),MATCH("PoF_Relay_DIG",Haz_Fn!$A$1:$D$1,0)),"")</f>
        <v>7.7052683488123587E-4</v>
      </c>
      <c r="P44" s="50">
        <f>IFERROR(INDEX(Haz_Fn!$A$1:$D$101,MATCH((P26-Proj_Prop_Yr),Haz_Fn!$A$1:$A$101,0),MATCH("PoF_Relay_DIG",Haz_Fn!$A$1:$D$1,0)),"")</f>
        <v>1.1095586422289799E-3</v>
      </c>
      <c r="Q44" s="50">
        <f>IFERROR(INDEX(Haz_Fn!$A$1:$D$101,MATCH((Q26-Proj_Prop_Yr),Haz_Fn!$A$1:$A$101,0),MATCH("PoF_Relay_DIG",Haz_Fn!$A$1:$D$1,0)),"")</f>
        <v>1.5102325963672223E-3</v>
      </c>
      <c r="R44" s="50">
        <f>IFERROR(INDEX(Haz_Fn!$A$1:$D$101,MATCH((R26-Proj_Prop_Yr),Haz_Fn!$A$1:$A$101,0),MATCH("PoF_Relay_DIG",Haz_Fn!$A$1:$D$1,0)),"")</f>
        <v>1.9725486972959633E-3</v>
      </c>
      <c r="S44" s="50">
        <f>IFERROR(INDEX(Haz_Fn!$A$1:$D$101,MATCH((S26-Proj_Prop_Yr),Haz_Fn!$A$1:$A$101,0),MATCH("PoF_Relay_DIG",Haz_Fn!$A$1:$D$1,0)),"")</f>
        <v>2.4965069450152057E-3</v>
      </c>
      <c r="T44" s="50">
        <f>IFERROR(INDEX(Haz_Fn!$A$1:$D$101,MATCH((T26-Proj_Prop_Yr),Haz_Fn!$A$1:$A$101,0),MATCH("PoF_Relay_DIG",Haz_Fn!$A$1:$D$1,0)),"")</f>
        <v>3.0821073395249452E-3</v>
      </c>
      <c r="U44" s="50">
        <f>IFERROR(INDEX(Haz_Fn!$A$1:$D$101,MATCH((U26-Proj_Prop_Yr),Haz_Fn!$A$1:$A$101,0),MATCH("PoF_Relay_DIG",Haz_Fn!$A$1:$D$1,0)),"")</f>
        <v>3.729349880825183E-3</v>
      </c>
      <c r="V44" s="50">
        <f>IFERROR(INDEX(Haz_Fn!$A$1:$D$101,MATCH((V26-Proj_Prop_Yr),Haz_Fn!$A$1:$A$101,0),MATCH("PoF_Relay_DIG",Haz_Fn!$A$1:$D$1,0)),"")</f>
        <v>4.4382345689159197E-3</v>
      </c>
      <c r="W44" s="50">
        <f>IFERROR(INDEX(Haz_Fn!$A$1:$D$101,MATCH((W26-Proj_Prop_Yr),Haz_Fn!$A$1:$A$101,0),MATCH("PoF_Relay_DIG",Haz_Fn!$A$1:$D$1,0)),"")</f>
        <v>5.2087614037971556E-3</v>
      </c>
      <c r="X44" s="50">
        <f>IFERROR(INDEX(Haz_Fn!$A$1:$D$101,MATCH((X26-Proj_Prop_Yr),Haz_Fn!$A$1:$A$101,0),MATCH("PoF_Relay_DIG",Haz_Fn!$A$1:$D$1,0)),"")</f>
        <v>6.0409303854688876E-3</v>
      </c>
      <c r="Y44" s="50">
        <f>IFERROR(INDEX(Haz_Fn!$A$1:$D$101,MATCH((Y26-Proj_Prop_Yr),Haz_Fn!$A$1:$A$101,0),MATCH("PoF_Relay_DIG",Haz_Fn!$A$1:$D$1,0)),"")</f>
        <v>6.9347415139311246E-3</v>
      </c>
      <c r="Z44" s="50">
        <f>IFERROR(INDEX(Haz_Fn!$A$1:$D$101,MATCH((Z26-Proj_Prop_Yr),Haz_Fn!$A$1:$A$101,0),MATCH("PoF_Relay_DIG",Haz_Fn!$A$1:$D$1,0)),"")</f>
        <v>7.8901947891838551E-3</v>
      </c>
      <c r="AA44" s="50">
        <f>IFERROR(INDEX(Haz_Fn!$A$1:$D$101,MATCH((AA26-Proj_Prop_Yr),Haz_Fn!$A$1:$A$101,0),MATCH("PoF_Relay_DIG",Haz_Fn!$A$1:$D$1,0)),"")</f>
        <v>8.9072902112270896E-3</v>
      </c>
      <c r="AB44" s="50">
        <f>IFERROR(INDEX(Haz_Fn!$A$1:$D$101,MATCH((AB26-Proj_Prop_Yr),Haz_Fn!$A$1:$A$101,0),MATCH("PoF_Relay_DIG",Haz_Fn!$A$1:$D$1,0)),"")</f>
        <v>9.986027780060816E-3</v>
      </c>
      <c r="AC44" s="50">
        <f>IFERROR(INDEX(Haz_Fn!$A$1:$D$101,MATCH((AC26-Proj_Prop_Yr),Haz_Fn!$A$1:$A$101,0),MATCH("PoF_Relay_DIG",Haz_Fn!$A$1:$D$1,0)),"")</f>
        <v>1.1126407495685043E-2</v>
      </c>
      <c r="AD44" s="50">
        <f>IFERROR(INDEX(Haz_Fn!$A$1:$D$101,MATCH((AD26-Proj_Prop_Yr),Haz_Fn!$A$1:$A$101,0),MATCH("PoF_Relay_DIG",Haz_Fn!$A$1:$D$1,0)),"")</f>
        <v>1.2328429358099772E-2</v>
      </c>
      <c r="AE44" s="50">
        <f>IFERROR(INDEX(Haz_Fn!$A$1:$D$101,MATCH((AE26-Proj_Prop_Yr),Haz_Fn!$A$1:$A$101,0),MATCH("PoF_Relay_DIG",Haz_Fn!$A$1:$D$1,0)),"")</f>
        <v>1.3592093367305004E-2</v>
      </c>
      <c r="AF44" s="50">
        <f>IFERROR(INDEX(Haz_Fn!$A$1:$D$101,MATCH((AF26-Proj_Prop_Yr),Haz_Fn!$A$1:$A$101,0),MATCH("PoF_Relay_DIG",Haz_Fn!$A$1:$D$1,0)),"")</f>
        <v>1.4917399523300736E-2</v>
      </c>
      <c r="AG44" s="50">
        <f>IFERROR(INDEX(Haz_Fn!$A$1:$D$101,MATCH((AG26-Proj_Prop_Yr),Haz_Fn!$A$1:$A$101,0),MATCH("PoF_Relay_DIG",Haz_Fn!$A$1:$D$1,0)),"")</f>
        <v>1.6304347826086953E-2</v>
      </c>
      <c r="AH44" s="50">
        <f>IFERROR(INDEX(Haz_Fn!$A$1:$D$101,MATCH((AH26-Proj_Prop_Yr),Haz_Fn!$A$1:$A$101,0),MATCH("PoF_Relay_DIG",Haz_Fn!$A$1:$D$1,0)),"")</f>
        <v>1.7752938275663682E-2</v>
      </c>
    </row>
    <row r="45" spans="2:35" s="47" customFormat="1" ht="14.25" customHeight="1" x14ac:dyDescent="0.2">
      <c r="B45" s="104"/>
      <c r="C45" s="65" t="s">
        <v>108</v>
      </c>
      <c r="D45" s="52" t="str">
        <f t="shared" ref="D45:AH45" si="14">IF(D44="","",IF(D44=RELAY_DIG_PoF_Yr1,Total_No._RELAY_DIG,(C45-C45*C44)))</f>
        <v/>
      </c>
      <c r="E45" s="52" t="str">
        <f t="shared" si="14"/>
        <v/>
      </c>
      <c r="F45" s="52" t="str">
        <f t="shared" si="14"/>
        <v/>
      </c>
      <c r="G45" s="52" t="str">
        <f t="shared" si="14"/>
        <v/>
      </c>
      <c r="H45" s="52" t="str">
        <f t="shared" si="14"/>
        <v/>
      </c>
      <c r="I45" s="52" t="str">
        <f t="shared" si="14"/>
        <v/>
      </c>
      <c r="J45" s="52" t="str">
        <f t="shared" si="14"/>
        <v/>
      </c>
      <c r="K45" s="52">
        <f t="shared" si="14"/>
        <v>41</v>
      </c>
      <c r="L45" s="52">
        <f t="shared" si="14"/>
        <v>40.998736335990792</v>
      </c>
      <c r="M45" s="52">
        <f t="shared" si="14"/>
        <v>40.993681835743892</v>
      </c>
      <c r="N45" s="52">
        <f t="shared" si="14"/>
        <v>40.982310612254487</v>
      </c>
      <c r="O45" s="52">
        <f t="shared" si="14"/>
        <v>40.962100711401895</v>
      </c>
      <c r="P45" s="52">
        <f t="shared" si="14"/>
        <v>40.930538313590652</v>
      </c>
      <c r="Q45" s="52">
        <f t="shared" si="14"/>
        <v>40.885123481073727</v>
      </c>
      <c r="R45" s="52">
        <f t="shared" si="14"/>
        <v>40.823377434886112</v>
      </c>
      <c r="S45" s="52">
        <f t="shared" si="14"/>
        <v>40.742851334907705</v>
      </c>
      <c r="T45" s="52">
        <f t="shared" si="14"/>
        <v>40.641136523590383</v>
      </c>
      <c r="U45" s="52">
        <f t="shared" si="14"/>
        <v>40.515876178424392</v>
      </c>
      <c r="V45" s="52">
        <f t="shared" si="14"/>
        <v>40.364778300426856</v>
      </c>
      <c r="W45" s="52">
        <f t="shared" si="14"/>
        <v>40.185629946007275</v>
      </c>
      <c r="X45" s="52">
        <f t="shared" si="14"/>
        <v>39.976312587757235</v>
      </c>
      <c r="Y45" s="52">
        <f t="shared" si="14"/>
        <v>39.734818466346852</v>
      </c>
      <c r="Z45" s="52">
        <f t="shared" si="14"/>
        <v>39.459267771179761</v>
      </c>
      <c r="AA45" s="52">
        <f t="shared" si="14"/>
        <v>39.147926462226586</v>
      </c>
      <c r="AB45" s="52">
        <f t="shared" si="14"/>
        <v>38.799224520059759</v>
      </c>
      <c r="AC45" s="52">
        <f t="shared" si="14"/>
        <v>38.411774386157624</v>
      </c>
      <c r="AD45" s="52">
        <f t="shared" si="14"/>
        <v>37.984389331704918</v>
      </c>
      <c r="AE45" s="52">
        <f t="shared" si="14"/>
        <v>37.516101471118432</v>
      </c>
      <c r="AF45" s="52">
        <f t="shared" si="14"/>
        <v>37.006179117145699</v>
      </c>
      <c r="AG45" s="52">
        <f t="shared" si="14"/>
        <v>36.454143158424408</v>
      </c>
      <c r="AH45" s="52">
        <f t="shared" si="14"/>
        <v>35.85978212866749</v>
      </c>
      <c r="AI45" s="60"/>
    </row>
    <row r="46" spans="2:35" s="47" customFormat="1" ht="14.25" customHeight="1" x14ac:dyDescent="0.2">
      <c r="B46" s="104"/>
      <c r="C46" s="65" t="s">
        <v>109</v>
      </c>
      <c r="D46" s="52" t="str">
        <f t="shared" ref="D46:AH46" si="15">IF(D44="","",IF(D44=RELAY_DIG_PoF_Yr1,Total_Fdr_Relays,(C46-C46*C44)))</f>
        <v/>
      </c>
      <c r="E46" s="52" t="str">
        <f t="shared" si="15"/>
        <v/>
      </c>
      <c r="F46" s="52" t="str">
        <f t="shared" si="15"/>
        <v/>
      </c>
      <c r="G46" s="52" t="str">
        <f t="shared" si="15"/>
        <v/>
      </c>
      <c r="H46" s="52" t="str">
        <f t="shared" si="15"/>
        <v/>
      </c>
      <c r="I46" s="52" t="str">
        <f t="shared" si="15"/>
        <v/>
      </c>
      <c r="J46" s="52" t="str">
        <f t="shared" si="15"/>
        <v/>
      </c>
      <c r="K46" s="52">
        <f t="shared" si="15"/>
        <v>9</v>
      </c>
      <c r="L46" s="52">
        <f t="shared" si="15"/>
        <v>8.9997226103394432</v>
      </c>
      <c r="M46" s="52">
        <f t="shared" si="15"/>
        <v>8.998613085895002</v>
      </c>
      <c r="N46" s="52">
        <f t="shared" si="15"/>
        <v>8.9961169636656191</v>
      </c>
      <c r="O46" s="52">
        <f t="shared" si="15"/>
        <v>8.9916806439662693</v>
      </c>
      <c r="P46" s="52">
        <f t="shared" si="15"/>
        <v>8.9847523127394116</v>
      </c>
      <c r="Q46" s="52">
        <f t="shared" si="15"/>
        <v>8.9747832031625254</v>
      </c>
      <c r="R46" s="52">
        <f t="shared" si="15"/>
        <v>8.9612291930237795</v>
      </c>
      <c r="S46" s="52">
        <f t="shared" si="15"/>
        <v>8.9435527320529093</v>
      </c>
      <c r="T46" s="52">
        <f t="shared" si="15"/>
        <v>8.9212250905442296</v>
      </c>
      <c r="U46" s="52">
        <f t="shared" si="15"/>
        <v>8.8937289172151086</v>
      </c>
      <c r="V46" s="52">
        <f t="shared" si="15"/>
        <v>8.8605610903376011</v>
      </c>
      <c r="W46" s="52">
        <f t="shared" si="15"/>
        <v>8.8212358418064731</v>
      </c>
      <c r="X46" s="52">
        <f t="shared" si="15"/>
        <v>8.775288129019879</v>
      </c>
      <c r="Y46" s="52">
        <f t="shared" si="15"/>
        <v>8.7222772243200382</v>
      </c>
      <c r="Z46" s="52">
        <f t="shared" si="15"/>
        <v>8.66179048635653</v>
      </c>
      <c r="AA46" s="52">
        <f t="shared" si="15"/>
        <v>8.5934472721960766</v>
      </c>
      <c r="AB46" s="52">
        <f t="shared" si="15"/>
        <v>8.5169029434277483</v>
      </c>
      <c r="AC46" s="52">
        <f t="shared" si="15"/>
        <v>8.4318529140345966</v>
      </c>
      <c r="AD46" s="52">
        <f t="shared" si="15"/>
        <v>8.3380366825693688</v>
      </c>
      <c r="AE46" s="52">
        <f t="shared" si="15"/>
        <v>8.2352417863430674</v>
      </c>
      <c r="AF46" s="52">
        <f t="shared" si="15"/>
        <v>8.1233076110807616</v>
      </c>
      <c r="AG46" s="52">
        <f t="shared" si="15"/>
        <v>8.0021289859956006</v>
      </c>
      <c r="AH46" s="52">
        <f t="shared" si="15"/>
        <v>7.8716594916587157</v>
      </c>
    </row>
    <row r="47" spans="2:35" s="47" customFormat="1" ht="14.25" customHeight="1" x14ac:dyDescent="0.2">
      <c r="B47" s="104"/>
      <c r="C47" s="65" t="s">
        <v>111</v>
      </c>
      <c r="D47" s="52" t="str">
        <f t="shared" ref="D47:AH47" si="16">IF(D44="","",IF(D44=RELAY_DIG_PoF_Yr1,HV_Bus_No.s*3,(C47-C47*C44)))</f>
        <v/>
      </c>
      <c r="E47" s="52" t="str">
        <f t="shared" si="16"/>
        <v/>
      </c>
      <c r="F47" s="52" t="str">
        <f t="shared" si="16"/>
        <v/>
      </c>
      <c r="G47" s="52" t="str">
        <f t="shared" si="16"/>
        <v/>
      </c>
      <c r="H47" s="52" t="str">
        <f t="shared" si="16"/>
        <v/>
      </c>
      <c r="I47" s="52" t="str">
        <f t="shared" si="16"/>
        <v/>
      </c>
      <c r="J47" s="52" t="str">
        <f t="shared" si="16"/>
        <v/>
      </c>
      <c r="K47" s="52">
        <f t="shared" si="16"/>
        <v>6</v>
      </c>
      <c r="L47" s="52">
        <f t="shared" si="16"/>
        <v>5.9998150735596285</v>
      </c>
      <c r="M47" s="52">
        <f t="shared" si="16"/>
        <v>5.9990753905966683</v>
      </c>
      <c r="N47" s="52">
        <f t="shared" si="16"/>
        <v>5.9974113091104133</v>
      </c>
      <c r="O47" s="52">
        <f t="shared" si="16"/>
        <v>5.9944537626441798</v>
      </c>
      <c r="P47" s="52">
        <f t="shared" si="16"/>
        <v>5.989834875159608</v>
      </c>
      <c r="Q47" s="52">
        <f t="shared" si="16"/>
        <v>5.9831888021083497</v>
      </c>
      <c r="R47" s="52">
        <f t="shared" si="16"/>
        <v>5.9741527953491866</v>
      </c>
      <c r="S47" s="52">
        <f t="shared" si="16"/>
        <v>5.9623684880352732</v>
      </c>
      <c r="T47" s="52">
        <f t="shared" si="16"/>
        <v>5.9474833936961531</v>
      </c>
      <c r="U47" s="52">
        <f t="shared" si="16"/>
        <v>5.9291526114767397</v>
      </c>
      <c r="V47" s="52">
        <f t="shared" si="16"/>
        <v>5.9070407268917346</v>
      </c>
      <c r="W47" s="52">
        <f t="shared" si="16"/>
        <v>5.8808238945376496</v>
      </c>
      <c r="X47" s="52">
        <f t="shared" si="16"/>
        <v>5.8501920860132541</v>
      </c>
      <c r="Y47" s="52">
        <f t="shared" si="16"/>
        <v>5.8148514828800266</v>
      </c>
      <c r="Z47" s="52">
        <f t="shared" si="16"/>
        <v>5.7745269909043548</v>
      </c>
      <c r="AA47" s="52">
        <f t="shared" si="16"/>
        <v>5.7289648481307198</v>
      </c>
      <c r="AB47" s="52">
        <f t="shared" si="16"/>
        <v>5.677935295618501</v>
      </c>
      <c r="AC47" s="52">
        <f t="shared" si="16"/>
        <v>5.6212352760230671</v>
      </c>
      <c r="AD47" s="52">
        <f t="shared" si="16"/>
        <v>5.5586911217129149</v>
      </c>
      <c r="AE47" s="52">
        <f t="shared" si="16"/>
        <v>5.4901611908953809</v>
      </c>
      <c r="AF47" s="52">
        <f t="shared" si="16"/>
        <v>5.4155384073871762</v>
      </c>
      <c r="AG47" s="52">
        <f t="shared" si="16"/>
        <v>5.3347526573304016</v>
      </c>
      <c r="AH47" s="52">
        <f t="shared" si="16"/>
        <v>5.2477729944391447</v>
      </c>
    </row>
    <row r="48" spans="2:35" s="47" customFormat="1" ht="14.25" customHeight="1" x14ac:dyDescent="0.2">
      <c r="B48" s="104"/>
      <c r="C48" s="65" t="s">
        <v>95</v>
      </c>
      <c r="D48" s="4" t="str">
        <f t="shared" ref="D48:AH48" si="17">IFERROR(D46*D44*D28*PoC_RELAY_DIG_BusTrip*Bus_Trip_Duration*VCR,"")</f>
        <v/>
      </c>
      <c r="E48" s="4" t="str">
        <f t="shared" si="17"/>
        <v/>
      </c>
      <c r="F48" s="4" t="str">
        <f t="shared" si="17"/>
        <v/>
      </c>
      <c r="G48" s="4" t="str">
        <f t="shared" si="17"/>
        <v/>
      </c>
      <c r="H48" s="4" t="str">
        <f t="shared" si="17"/>
        <v/>
      </c>
      <c r="I48" s="4" t="str">
        <f t="shared" si="17"/>
        <v/>
      </c>
      <c r="J48" s="4" t="str">
        <f t="shared" si="17"/>
        <v/>
      </c>
      <c r="K48" s="4">
        <f t="shared" si="17"/>
        <v>51.126278622503484</v>
      </c>
      <c r="L48" s="4">
        <f t="shared" si="17"/>
        <v>206.17634073532378</v>
      </c>
      <c r="M48" s="4">
        <f t="shared" si="17"/>
        <v>470.35203680640683</v>
      </c>
      <c r="N48" s="4">
        <f t="shared" si="17"/>
        <v>840.86214805755083</v>
      </c>
      <c r="O48" s="4">
        <f t="shared" si="17"/>
        <v>1316.8809554083075</v>
      </c>
      <c r="P48" s="4">
        <f t="shared" si="17"/>
        <v>1907.5275849530253</v>
      </c>
      <c r="Q48" s="4">
        <f t="shared" si="17"/>
        <v>2593.4761802932403</v>
      </c>
      <c r="R48" s="4">
        <f t="shared" si="17"/>
        <v>3382.2817019139379</v>
      </c>
      <c r="S48" s="4">
        <f t="shared" si="17"/>
        <v>4272.256389226005</v>
      </c>
      <c r="T48" s="4">
        <f t="shared" si="17"/>
        <v>5261.2230512091573</v>
      </c>
      <c r="U48" s="4">
        <f t="shared" si="17"/>
        <v>6346.4589504040568</v>
      </c>
      <c r="V48" s="4">
        <f t="shared" si="17"/>
        <v>7524.64357821664</v>
      </c>
      <c r="W48" s="4">
        <f t="shared" si="17"/>
        <v>8791.8112374983721</v>
      </c>
      <c r="X48" s="4">
        <f t="shared" si="17"/>
        <v>10143.30941378215</v>
      </c>
      <c r="Y48" s="4">
        <f t="shared" si="17"/>
        <v>11573.763965512375</v>
      </c>
      <c r="Z48" s="4">
        <f t="shared" si="17"/>
        <v>13077.052193073258</v>
      </c>
      <c r="AA48" s="4">
        <f t="shared" si="17"/>
        <v>14646.284853345542</v>
      </c>
      <c r="AB48" s="4">
        <f t="shared" si="17"/>
        <v>16273.798167956813</v>
      </c>
      <c r="AC48" s="4">
        <f t="shared" si="17"/>
        <v>17951.156826600556</v>
      </c>
      <c r="AD48" s="4">
        <f t="shared" si="17"/>
        <v>19669.168909394855</v>
      </c>
      <c r="AE48" s="4">
        <f t="shared" si="17"/>
        <v>21417.913542334049</v>
      </c>
      <c r="AF48" s="4">
        <f t="shared" si="17"/>
        <v>23186.781956188552</v>
      </c>
      <c r="AG48" s="4">
        <f t="shared" si="17"/>
        <v>24964.532441241263</v>
      </c>
      <c r="AH48" s="4">
        <f t="shared" si="17"/>
        <v>26739.359478446309</v>
      </c>
    </row>
    <row r="49" spans="2:34" s="47" customFormat="1" ht="14.25" customHeight="1" x14ac:dyDescent="0.2">
      <c r="B49" s="104"/>
      <c r="C49" s="65" t="s">
        <v>96</v>
      </c>
      <c r="D49" s="4" t="str">
        <f t="shared" ref="D49:AH49" si="18">IFERROR(D47*D44*PoC_RELAY_DIG_FdrTrip*D28*Bus_Trip_Duration*VCR,"")</f>
        <v/>
      </c>
      <c r="E49" s="4" t="str">
        <f t="shared" si="18"/>
        <v/>
      </c>
      <c r="F49" s="4" t="str">
        <f t="shared" si="18"/>
        <v/>
      </c>
      <c r="G49" s="4" t="str">
        <f t="shared" si="18"/>
        <v/>
      </c>
      <c r="H49" s="4" t="str">
        <f t="shared" si="18"/>
        <v/>
      </c>
      <c r="I49" s="4" t="str">
        <f t="shared" si="18"/>
        <v/>
      </c>
      <c r="J49" s="4" t="str">
        <f t="shared" si="18"/>
        <v/>
      </c>
      <c r="K49" s="4">
        <f t="shared" si="18"/>
        <v>12.659840420810388</v>
      </c>
      <c r="L49" s="4">
        <f t="shared" si="18"/>
        <v>51.053189134461128</v>
      </c>
      <c r="M49" s="4">
        <f t="shared" si="18"/>
        <v>116.4681233996817</v>
      </c>
      <c r="N49" s="4">
        <f t="shared" si="18"/>
        <v>208.21348428091736</v>
      </c>
      <c r="O49" s="4">
        <f t="shared" si="18"/>
        <v>326.08480800586671</v>
      </c>
      <c r="P49" s="4">
        <f t="shared" si="18"/>
        <v>472.34016389313012</v>
      </c>
      <c r="Q49" s="4">
        <f t="shared" si="18"/>
        <v>642.19410178689782</v>
      </c>
      <c r="R49" s="4">
        <f t="shared" si="18"/>
        <v>837.51737380726104</v>
      </c>
      <c r="S49" s="4">
        <f t="shared" si="18"/>
        <v>1057.8920582845349</v>
      </c>
      <c r="T49" s="4">
        <f t="shared" si="18"/>
        <v>1302.7790412517913</v>
      </c>
      <c r="U49" s="4">
        <f t="shared" si="18"/>
        <v>1571.5041210524334</v>
      </c>
      <c r="V49" s="4">
        <f t="shared" si="18"/>
        <v>1863.2450765107874</v>
      </c>
      <c r="W49" s="4">
        <f t="shared" si="18"/>
        <v>2177.0199254757881</v>
      </c>
      <c r="X49" s="4">
        <f t="shared" si="18"/>
        <v>2511.6766167460564</v>
      </c>
      <c r="Y49" s="4">
        <f t="shared" si="18"/>
        <v>2865.8844105078269</v>
      </c>
      <c r="Z49" s="4">
        <f t="shared" si="18"/>
        <v>3238.1272097133792</v>
      </c>
      <c r="AA49" s="4">
        <f t="shared" si="18"/>
        <v>3626.6991065427083</v>
      </c>
      <c r="AB49" s="4">
        <f t="shared" si="18"/>
        <v>4029.70240349407</v>
      </c>
      <c r="AC49" s="4">
        <f t="shared" si="18"/>
        <v>4445.0483570629967</v>
      </c>
      <c r="AD49" s="4">
        <f t="shared" si="18"/>
        <v>4870.4608728025369</v>
      </c>
      <c r="AE49" s="4">
        <f t="shared" si="18"/>
        <v>5303.4833533398605</v>
      </c>
      <c r="AF49" s="4">
        <f t="shared" si="18"/>
        <v>5741.4888653419284</v>
      </c>
      <c r="AG49" s="4">
        <f t="shared" si="18"/>
        <v>6181.6937473549824</v>
      </c>
      <c r="AH49" s="4">
        <f t="shared" si="18"/>
        <v>6621.174727996231</v>
      </c>
    </row>
    <row r="50" spans="2:34" s="47" customFormat="1" ht="14.25" customHeight="1" x14ac:dyDescent="0.2">
      <c r="B50" s="104"/>
      <c r="C50" s="54" t="s">
        <v>98</v>
      </c>
      <c r="D50" s="4" t="str">
        <f t="shared" ref="D50:AH50" si="19">IFERROR(D46*D44*PoC_RELAY_DIG_BusTrip*D47*D44*PoC_RELAY_DIG_BusTrip*D28*Bus_Trip_Duration*HV_Bus_No.s*VCR,"")</f>
        <v/>
      </c>
      <c r="E50" s="4" t="str">
        <f t="shared" si="19"/>
        <v/>
      </c>
      <c r="F50" s="4" t="str">
        <f t="shared" si="19"/>
        <v/>
      </c>
      <c r="G50" s="4" t="str">
        <f t="shared" si="19"/>
        <v/>
      </c>
      <c r="H50" s="4" t="str">
        <f t="shared" si="19"/>
        <v/>
      </c>
      <c r="I50" s="4" t="str">
        <f t="shared" si="19"/>
        <v/>
      </c>
      <c r="J50" s="4" t="str">
        <f t="shared" si="19"/>
        <v/>
      </c>
      <c r="K50" s="4">
        <f t="shared" si="19"/>
        <v>6.6182205005706398E-3</v>
      </c>
      <c r="L50" s="4">
        <f t="shared" si="19"/>
        <v>0.10675358862520913</v>
      </c>
      <c r="M50" s="4">
        <f t="shared" si="19"/>
        <v>0.54789288153028792</v>
      </c>
      <c r="N50" s="4">
        <f t="shared" si="19"/>
        <v>1.7408222122039578</v>
      </c>
      <c r="O50" s="4">
        <f t="shared" si="19"/>
        <v>4.2577674745247789</v>
      </c>
      <c r="P50" s="4">
        <f t="shared" si="19"/>
        <v>8.8742973738211361</v>
      </c>
      <c r="Q50" s="4">
        <f t="shared" si="19"/>
        <v>16.404267806401265</v>
      </c>
      <c r="R50" s="4">
        <f t="shared" si="19"/>
        <v>27.900492898305146</v>
      </c>
      <c r="S50" s="4">
        <f t="shared" si="19"/>
        <v>44.5150575761757</v>
      </c>
      <c r="T50" s="4">
        <f t="shared" si="19"/>
        <v>67.509633771631812</v>
      </c>
      <c r="U50" s="4">
        <f t="shared" si="19"/>
        <v>98.232517484364976</v>
      </c>
      <c r="V50" s="4">
        <f t="shared" si="19"/>
        <v>138.09062345004418</v>
      </c>
      <c r="W50" s="4">
        <f t="shared" si="19"/>
        <v>188.5163548867769</v>
      </c>
      <c r="X50" s="4">
        <f t="shared" si="19"/>
        <v>250.92947071500083</v>
      </c>
      <c r="Y50" s="4">
        <f t="shared" si="19"/>
        <v>326.69430650893844</v>
      </c>
      <c r="Z50" s="4">
        <f t="shared" si="19"/>
        <v>417.07296335535688</v>
      </c>
      <c r="AA50" s="4">
        <f t="shared" si="19"/>
        <v>523.17535342289841</v>
      </c>
      <c r="AB50" s="4">
        <f t="shared" si="19"/>
        <v>645.90727251070427</v>
      </c>
      <c r="AC50" s="4">
        <f t="shared" si="19"/>
        <v>785.9179458260536</v>
      </c>
      <c r="AD50" s="4">
        <f t="shared" si="19"/>
        <v>943.54874921945463</v>
      </c>
      <c r="AE50" s="4">
        <f t="shared" si="19"/>
        <v>1118.7850278269236</v>
      </c>
      <c r="AF50" s="4">
        <f t="shared" si="19"/>
        <v>1311.2131002135006</v>
      </c>
      <c r="AG50" s="4">
        <f t="shared" si="19"/>
        <v>1519.9846311839017</v>
      </c>
      <c r="AH50" s="4">
        <f t="shared" si="19"/>
        <v>1743.7905638374411</v>
      </c>
    </row>
    <row r="51" spans="2:34" s="47" customFormat="1" ht="14.25" customHeight="1" x14ac:dyDescent="0.2">
      <c r="B51" s="104"/>
      <c r="C51" s="65" t="s">
        <v>20</v>
      </c>
      <c r="D51" s="4" t="str">
        <f t="shared" ref="D51:AH51" si="20">IFERROR(D46*D44*D29*Fdr_Trip_Duration*VCR*PoC_RELAY_DIG_FdrTrip,"")</f>
        <v/>
      </c>
      <c r="E51" s="4" t="str">
        <f t="shared" si="20"/>
        <v/>
      </c>
      <c r="F51" s="4" t="str">
        <f t="shared" si="20"/>
        <v/>
      </c>
      <c r="G51" s="4" t="str">
        <f t="shared" si="20"/>
        <v/>
      </c>
      <c r="H51" s="4" t="str">
        <f t="shared" si="20"/>
        <v/>
      </c>
      <c r="I51" s="4" t="str">
        <f t="shared" si="20"/>
        <v/>
      </c>
      <c r="J51" s="4" t="str">
        <f t="shared" si="20"/>
        <v/>
      </c>
      <c r="K51" s="4">
        <f t="shared" si="20"/>
        <v>4.2199468069367958</v>
      </c>
      <c r="L51" s="4">
        <f t="shared" si="20"/>
        <v>17.017729711487046</v>
      </c>
      <c r="M51" s="4">
        <f t="shared" si="20"/>
        <v>38.822707799893919</v>
      </c>
      <c r="N51" s="4">
        <f t="shared" si="20"/>
        <v>69.404494760305809</v>
      </c>
      <c r="O51" s="4">
        <f t="shared" si="20"/>
        <v>108.69493600195557</v>
      </c>
      <c r="P51" s="4">
        <f t="shared" si="20"/>
        <v>157.4467212977101</v>
      </c>
      <c r="Q51" s="4">
        <f t="shared" si="20"/>
        <v>214.06470059563264</v>
      </c>
      <c r="R51" s="4">
        <f t="shared" si="20"/>
        <v>279.1724579357537</v>
      </c>
      <c r="S51" s="4">
        <f t="shared" si="20"/>
        <v>352.63068609484509</v>
      </c>
      <c r="T51" s="4">
        <f t="shared" si="20"/>
        <v>434.25968041726395</v>
      </c>
      <c r="U51" s="4">
        <f t="shared" si="20"/>
        <v>523.83470701747785</v>
      </c>
      <c r="V51" s="4">
        <f t="shared" si="20"/>
        <v>621.08169217026273</v>
      </c>
      <c r="W51" s="4">
        <f t="shared" si="20"/>
        <v>725.67330849192945</v>
      </c>
      <c r="X51" s="4">
        <f t="shared" si="20"/>
        <v>837.22553891535233</v>
      </c>
      <c r="Y51" s="4">
        <f t="shared" si="20"/>
        <v>955.29480350260906</v>
      </c>
      <c r="Z51" s="4">
        <f t="shared" si="20"/>
        <v>1079.3757365711265</v>
      </c>
      <c r="AA51" s="4">
        <f t="shared" si="20"/>
        <v>1208.8997021809025</v>
      </c>
      <c r="AB51" s="4">
        <f t="shared" si="20"/>
        <v>1343.2341344980234</v>
      </c>
      <c r="AC51" s="4">
        <f t="shared" si="20"/>
        <v>1481.6827856876657</v>
      </c>
      <c r="AD51" s="4">
        <f t="shared" si="20"/>
        <v>1623.4869576008455</v>
      </c>
      <c r="AE51" s="4">
        <f t="shared" si="20"/>
        <v>1767.8277844466204</v>
      </c>
      <c r="AF51" s="4">
        <f t="shared" si="20"/>
        <v>1913.8296217806433</v>
      </c>
      <c r="AG51" s="4">
        <f t="shared" si="20"/>
        <v>2060.564582451661</v>
      </c>
      <c r="AH51" s="4">
        <f t="shared" si="20"/>
        <v>2207.0582426654109</v>
      </c>
    </row>
    <row r="52" spans="2:34" ht="15" customHeight="1" x14ac:dyDescent="0.25">
      <c r="B52" s="104"/>
      <c r="C52" s="66" t="s">
        <v>21</v>
      </c>
      <c r="D52" s="62">
        <f>SUM(D48:D51)</f>
        <v>0</v>
      </c>
      <c r="E52" s="62">
        <f t="shared" ref="E52:H52" si="21">SUM(E48:E51)</f>
        <v>0</v>
      </c>
      <c r="F52" s="62">
        <f t="shared" si="21"/>
        <v>0</v>
      </c>
      <c r="G52" s="62">
        <f t="shared" si="21"/>
        <v>0</v>
      </c>
      <c r="H52" s="62">
        <f t="shared" si="21"/>
        <v>0</v>
      </c>
      <c r="I52" s="62">
        <f t="shared" ref="I52" si="22">SUM(I48:I51)</f>
        <v>0</v>
      </c>
      <c r="J52" s="62">
        <f t="shared" ref="J52" si="23">SUM(J48:J51)</f>
        <v>0</v>
      </c>
      <c r="K52" s="81">
        <f t="shared" ref="K52:L52" si="24">SUM(K48:K51)</f>
        <v>68.012684070751234</v>
      </c>
      <c r="L52" s="81">
        <f t="shared" si="24"/>
        <v>274.3540131698972</v>
      </c>
      <c r="M52" s="81">
        <f t="shared" ref="M52" si="25">SUM(M48:M51)</f>
        <v>626.19076088751274</v>
      </c>
      <c r="N52" s="81">
        <f t="shared" ref="N52" si="26">SUM(N48:N51)</f>
        <v>1120.2209493109781</v>
      </c>
      <c r="O52" s="81">
        <f t="shared" ref="O52:P52" si="27">SUM(O48:O51)</f>
        <v>1755.9184668906546</v>
      </c>
      <c r="P52" s="81">
        <f t="shared" si="27"/>
        <v>2546.1887675176868</v>
      </c>
      <c r="Q52" s="81">
        <f t="shared" ref="Q52" si="28">SUM(Q48:Q51)</f>
        <v>3466.139250482172</v>
      </c>
      <c r="R52" s="81">
        <f t="shared" ref="R52" si="29">SUM(R48:R51)</f>
        <v>4526.8720265552574</v>
      </c>
      <c r="S52" s="81">
        <f t="shared" ref="S52:T52" si="30">SUM(S48:S51)</f>
        <v>5727.2941911815606</v>
      </c>
      <c r="T52" s="81">
        <f t="shared" si="30"/>
        <v>7065.7714066498447</v>
      </c>
      <c r="U52" s="81">
        <f t="shared" ref="U52" si="31">SUM(U48:U51)</f>
        <v>8540.0302959583332</v>
      </c>
      <c r="V52" s="81">
        <f t="shared" ref="V52" si="32">SUM(V48:V51)</f>
        <v>10147.060970347733</v>
      </c>
      <c r="W52" s="81">
        <f t="shared" ref="W52:X52" si="33">SUM(W48:W51)</f>
        <v>11883.020826352866</v>
      </c>
      <c r="X52" s="81">
        <f t="shared" si="33"/>
        <v>13743.141040158558</v>
      </c>
      <c r="Y52" s="81">
        <f t="shared" ref="Y52" si="34">SUM(Y48:Y51)</f>
        <v>15721.63748603175</v>
      </c>
      <c r="Z52" s="81">
        <f t="shared" ref="Z52" si="35">SUM(Z48:Z51)</f>
        <v>17811.628102713123</v>
      </c>
      <c r="AA52" s="81">
        <f t="shared" ref="AA52:AB52" si="36">SUM(AA48:AA51)</f>
        <v>20005.05901549205</v>
      </c>
      <c r="AB52" s="81">
        <f t="shared" si="36"/>
        <v>22292.641978459611</v>
      </c>
      <c r="AC52" s="81">
        <f t="shared" ref="AC52" si="37">SUM(AC48:AC51)</f>
        <v>24663.805915177272</v>
      </c>
      <c r="AD52" s="81">
        <f t="shared" ref="AD52" si="38">SUM(AD48:AD51)</f>
        <v>27106.665489017694</v>
      </c>
      <c r="AE52" s="81">
        <f t="shared" ref="AE52:AF52" si="39">SUM(AE48:AE51)</f>
        <v>29608.009707947454</v>
      </c>
      <c r="AF52" s="81">
        <f t="shared" si="39"/>
        <v>32153.313543524622</v>
      </c>
      <c r="AG52" s="81">
        <f t="shared" ref="AG52" si="40">SUM(AG48:AG51)</f>
        <v>34726.775402231804</v>
      </c>
      <c r="AH52" s="81">
        <f t="shared" ref="AH52" si="41">SUM(AH48:AH51)</f>
        <v>37311.3830129454</v>
      </c>
    </row>
    <row r="53" spans="2:34" ht="15" customHeight="1" x14ac:dyDescent="0.25">
      <c r="B53" s="104"/>
      <c r="C53" s="66" t="s">
        <v>101</v>
      </c>
      <c r="D53" s="63" t="str">
        <f t="shared" ref="D53:AH53" si="42">IFERROR(D45*D44*New_Unplnd_CAPEX_Cost,"")</f>
        <v/>
      </c>
      <c r="E53" s="63" t="str">
        <f t="shared" si="42"/>
        <v/>
      </c>
      <c r="F53" s="63" t="str">
        <f t="shared" si="42"/>
        <v/>
      </c>
      <c r="G53" s="63" t="str">
        <f t="shared" si="42"/>
        <v/>
      </c>
      <c r="H53" s="63" t="str">
        <f t="shared" si="42"/>
        <v/>
      </c>
      <c r="I53" s="63" t="str">
        <f t="shared" si="42"/>
        <v/>
      </c>
      <c r="J53" s="63" t="str">
        <f t="shared" si="42"/>
        <v/>
      </c>
      <c r="K53" s="63">
        <f t="shared" si="42"/>
        <v>25.273280184104543</v>
      </c>
      <c r="L53" s="63">
        <f t="shared" si="42"/>
        <v>101.09000493792418</v>
      </c>
      <c r="M53" s="63">
        <f t="shared" si="42"/>
        <v>227.42446978817398</v>
      </c>
      <c r="N53" s="63">
        <f t="shared" si="42"/>
        <v>404.19801705190571</v>
      </c>
      <c r="O53" s="63">
        <f t="shared" si="42"/>
        <v>631.2479562248584</v>
      </c>
      <c r="P53" s="63">
        <f t="shared" si="42"/>
        <v>908.29665033857771</v>
      </c>
      <c r="Q53" s="63">
        <f t="shared" si="42"/>
        <v>1234.9209237523291</v>
      </c>
      <c r="R53" s="63">
        <f t="shared" si="42"/>
        <v>1610.5219995681205</v>
      </c>
      <c r="S53" s="63">
        <f t="shared" si="42"/>
        <v>2034.2962263463826</v>
      </c>
      <c r="T53" s="63">
        <f t="shared" si="42"/>
        <v>2505.206903319865</v>
      </c>
      <c r="U53" s="63">
        <f t="shared" si="42"/>
        <v>3021.9575599506975</v>
      </c>
      <c r="V53" s="63">
        <f t="shared" si="42"/>
        <v>3582.9670883916333</v>
      </c>
      <c r="W53" s="63">
        <f t="shared" si="42"/>
        <v>4186.3471650007568</v>
      </c>
      <c r="X53" s="63">
        <f t="shared" si="42"/>
        <v>4829.8824282077012</v>
      </c>
      <c r="Y53" s="63">
        <f t="shared" si="42"/>
        <v>5511.0139033418518</v>
      </c>
      <c r="Z53" s="63">
        <f t="shared" si="42"/>
        <v>6226.8261790634597</v>
      </c>
      <c r="AA53" s="63">
        <f t="shared" si="42"/>
        <v>6974.0388433365761</v>
      </c>
      <c r="AB53" s="63">
        <f t="shared" si="42"/>
        <v>7749.0026780426715</v>
      </c>
      <c r="AC53" s="63">
        <f t="shared" si="42"/>
        <v>8547.7010890541387</v>
      </c>
      <c r="AD53" s="63">
        <f t="shared" si="42"/>
        <v>9365.7572117296531</v>
      </c>
      <c r="AE53" s="63">
        <f t="shared" si="42"/>
        <v>10198.447079454607</v>
      </c>
      <c r="AF53" s="63">
        <f t="shared" si="42"/>
        <v>11040.719174425816</v>
      </c>
      <c r="AG53" s="63">
        <f t="shared" si="42"/>
        <v>11887.220595138389</v>
      </c>
      <c r="AH53" s="63">
        <f t="shared" si="42"/>
        <v>12732.329974179631</v>
      </c>
    </row>
    <row r="54" spans="2:34" ht="15" customHeight="1" x14ac:dyDescent="0.25">
      <c r="B54" s="104"/>
      <c r="C54" s="66" t="s">
        <v>23</v>
      </c>
      <c r="D54" s="83" t="str">
        <f t="shared" ref="D54:AH54" si="43">IFERROR(D46*D44*PoC_RELAY_DIG_BusTrip*PoC_Safety*Coc_Safety*Safety_Disp_Factor,"")</f>
        <v/>
      </c>
      <c r="E54" s="83" t="str">
        <f t="shared" si="43"/>
        <v/>
      </c>
      <c r="F54" s="83" t="str">
        <f t="shared" si="43"/>
        <v/>
      </c>
      <c r="G54" s="83" t="str">
        <f t="shared" si="43"/>
        <v/>
      </c>
      <c r="H54" s="83" t="str">
        <f t="shared" si="43"/>
        <v/>
      </c>
      <c r="I54" s="83" t="str">
        <f t="shared" si="43"/>
        <v/>
      </c>
      <c r="J54" s="83" t="str">
        <f t="shared" si="43"/>
        <v/>
      </c>
      <c r="K54" s="83">
        <f t="shared" si="43"/>
        <v>3.0255999835620941</v>
      </c>
      <c r="L54" s="83">
        <f t="shared" si="43"/>
        <v>12.102026925291742</v>
      </c>
      <c r="M54" s="83">
        <f t="shared" si="43"/>
        <v>27.226203604765566</v>
      </c>
      <c r="N54" s="83">
        <f t="shared" si="43"/>
        <v>48.388713488692204</v>
      </c>
      <c r="O54" s="83">
        <f t="shared" si="43"/>
        <v>75.570080023833142</v>
      </c>
      <c r="P54" s="83">
        <f t="shared" si="43"/>
        <v>108.73706579893539</v>
      </c>
      <c r="Q54" s="83">
        <f t="shared" si="43"/>
        <v>147.83901018734804</v>
      </c>
      <c r="R54" s="83">
        <f t="shared" si="43"/>
        <v>192.8042303936632</v>
      </c>
      <c r="S54" s="83">
        <f t="shared" si="43"/>
        <v>243.53651699177414</v>
      </c>
      <c r="T54" s="83">
        <f t="shared" si="43"/>
        <v>299.91176097004859</v>
      </c>
      <c r="U54" s="83">
        <f t="shared" si="43"/>
        <v>361.77475488372687</v>
      </c>
      <c r="V54" s="83">
        <f t="shared" si="43"/>
        <v>428.93621582842195</v>
      </c>
      <c r="W54" s="83">
        <f t="shared" si="43"/>
        <v>501.17008244849171</v>
      </c>
      <c r="X54" s="83">
        <f t="shared" si="43"/>
        <v>578.2111419230414</v>
      </c>
      <c r="Y54" s="83">
        <f t="shared" si="43"/>
        <v>659.75304566316822</v>
      </c>
      <c r="Z54" s="83">
        <f t="shared" si="43"/>
        <v>745.44677413372051</v>
      </c>
      <c r="AA54" s="83">
        <f t="shared" si="43"/>
        <v>834.89961160766347</v>
      </c>
      <c r="AB54" s="83">
        <f t="shared" si="43"/>
        <v>927.67469060285771</v>
      </c>
      <c r="AC54" s="83">
        <f t="shared" si="43"/>
        <v>1023.2911630838314</v>
      </c>
      <c r="AD54" s="83">
        <f t="shared" si="43"/>
        <v>1121.2250510987558</v>
      </c>
      <c r="AE54" s="83">
        <f t="shared" si="43"/>
        <v>1220.9108232560832</v>
      </c>
      <c r="AF54" s="83">
        <f t="shared" si="43"/>
        <v>1321.7437352538893</v>
      </c>
      <c r="AG54" s="83">
        <f t="shared" si="43"/>
        <v>1423.0829625301369</v>
      </c>
      <c r="AH54" s="83">
        <f t="shared" si="43"/>
        <v>1524.2555410284167</v>
      </c>
    </row>
    <row r="55" spans="2:34" ht="15" customHeight="1" x14ac:dyDescent="0.25">
      <c r="B55" s="104"/>
      <c r="C55" s="66" t="s">
        <v>70</v>
      </c>
      <c r="D55" s="63" t="str">
        <f t="shared" ref="D55:AH55" si="44">IF(D44="","",Total_No._RELAY_DIG*1750/9)</f>
        <v/>
      </c>
      <c r="E55" s="63" t="str">
        <f t="shared" si="44"/>
        <v/>
      </c>
      <c r="F55" s="63" t="str">
        <f t="shared" si="44"/>
        <v/>
      </c>
      <c r="G55" s="63" t="str">
        <f t="shared" si="44"/>
        <v/>
      </c>
      <c r="H55" s="63" t="str">
        <f t="shared" si="44"/>
        <v/>
      </c>
      <c r="I55" s="63" t="str">
        <f t="shared" si="44"/>
        <v/>
      </c>
      <c r="J55" s="63" t="str">
        <f t="shared" si="44"/>
        <v/>
      </c>
      <c r="K55" s="63">
        <f t="shared" si="44"/>
        <v>7972.2222222222226</v>
      </c>
      <c r="L55" s="63">
        <f t="shared" si="44"/>
        <v>7972.2222222222226</v>
      </c>
      <c r="M55" s="63">
        <f t="shared" si="44"/>
        <v>7972.2222222222226</v>
      </c>
      <c r="N55" s="84">
        <f t="shared" si="44"/>
        <v>7972.2222222222226</v>
      </c>
      <c r="O55" s="84">
        <f t="shared" si="44"/>
        <v>7972.2222222222226</v>
      </c>
      <c r="P55" s="84">
        <f t="shared" si="44"/>
        <v>7972.2222222222226</v>
      </c>
      <c r="Q55" s="84">
        <f t="shared" si="44"/>
        <v>7972.2222222222226</v>
      </c>
      <c r="R55" s="84">
        <f t="shared" si="44"/>
        <v>7972.2222222222226</v>
      </c>
      <c r="S55" s="84">
        <f t="shared" si="44"/>
        <v>7972.2222222222226</v>
      </c>
      <c r="T55" s="84">
        <f t="shared" si="44"/>
        <v>7972.2222222222226</v>
      </c>
      <c r="U55" s="84">
        <f t="shared" si="44"/>
        <v>7972.2222222222226</v>
      </c>
      <c r="V55" s="84">
        <f t="shared" si="44"/>
        <v>7972.2222222222226</v>
      </c>
      <c r="W55" s="84">
        <f t="shared" si="44"/>
        <v>7972.2222222222226</v>
      </c>
      <c r="X55" s="84">
        <f t="shared" si="44"/>
        <v>7972.2222222222226</v>
      </c>
      <c r="Y55" s="84">
        <f t="shared" si="44"/>
        <v>7972.2222222222226</v>
      </c>
      <c r="Z55" s="84">
        <f t="shared" si="44"/>
        <v>7972.2222222222226</v>
      </c>
      <c r="AA55" s="84">
        <f t="shared" si="44"/>
        <v>7972.2222222222226</v>
      </c>
      <c r="AB55" s="84">
        <f t="shared" si="44"/>
        <v>7972.2222222222226</v>
      </c>
      <c r="AC55" s="84">
        <f t="shared" si="44"/>
        <v>7972.2222222222226</v>
      </c>
      <c r="AD55" s="84">
        <f t="shared" si="44"/>
        <v>7972.2222222222226</v>
      </c>
      <c r="AE55" s="84">
        <f t="shared" si="44"/>
        <v>7972.2222222222226</v>
      </c>
      <c r="AF55" s="84">
        <f t="shared" si="44"/>
        <v>7972.2222222222226</v>
      </c>
      <c r="AG55" s="84">
        <f t="shared" si="44"/>
        <v>7972.2222222222226</v>
      </c>
      <c r="AH55" s="84">
        <f t="shared" si="44"/>
        <v>7972.2222222222226</v>
      </c>
    </row>
    <row r="56" spans="2:34" s="47" customFormat="1" ht="15" customHeight="1" x14ac:dyDescent="0.25">
      <c r="B56" s="104"/>
      <c r="C56" s="67" t="s">
        <v>112</v>
      </c>
      <c r="D56" s="64">
        <f>IF(SUM(D52:D55)=0,D43,SUM(D52:D55))</f>
        <v>116440.18581743492</v>
      </c>
      <c r="E56" s="64">
        <f t="shared" ref="E56:H56" si="45">IF(SUM(E52:E55)=0,E43,SUM(E52:E55))</f>
        <v>127330.51458887458</v>
      </c>
      <c r="F56" s="64">
        <f t="shared" si="45"/>
        <v>138084.7136292514</v>
      </c>
      <c r="G56" s="64">
        <f t="shared" si="45"/>
        <v>149612.16509376792</v>
      </c>
      <c r="H56" s="64">
        <f t="shared" si="45"/>
        <v>161675.951536243</v>
      </c>
      <c r="I56" s="64">
        <f t="shared" ref="I56" si="46">IF(SUM(I52:I55)=0,I43,SUM(I52:I55))</f>
        <v>174056.32534929589</v>
      </c>
      <c r="J56" s="64">
        <f t="shared" ref="J56" si="47">IF(SUM(J52:J55)=0,J43,SUM(J52:J55))</f>
        <v>186722.87939126589</v>
      </c>
      <c r="K56" s="64">
        <f t="shared" ref="K56:L56" si="48">IF(SUM(K52:K55)=0,K43,SUM(K52:K55))</f>
        <v>8068.5337864606408</v>
      </c>
      <c r="L56" s="64">
        <f t="shared" si="48"/>
        <v>8359.7682672553365</v>
      </c>
      <c r="M56" s="64">
        <f t="shared" ref="M56" si="49">IF(SUM(M52:M55)=0,M43,SUM(M52:M55))</f>
        <v>8853.0636565026743</v>
      </c>
      <c r="N56" s="64">
        <f t="shared" ref="N56" si="50">IF(SUM(N52:N55)=0,N43,SUM(N52:N55))</f>
        <v>9545.0299020737984</v>
      </c>
      <c r="O56" s="64">
        <f t="shared" ref="O56:P56" si="51">IF(SUM(O52:O55)=0,O43,SUM(O52:O55))</f>
        <v>10434.958725361568</v>
      </c>
      <c r="P56" s="64">
        <f t="shared" si="51"/>
        <v>11535.444705877422</v>
      </c>
      <c r="Q56" s="64">
        <f t="shared" ref="Q56" si="52">IF(SUM(Q52:Q55)=0,Q43,SUM(Q52:Q55))</f>
        <v>12821.121406644072</v>
      </c>
      <c r="R56" s="64">
        <f t="shared" ref="R56" si="53">IF(SUM(R52:R55)=0,R43,SUM(R52:R55))</f>
        <v>14302.420478739265</v>
      </c>
      <c r="S56" s="64">
        <f t="shared" ref="S56:T56" si="54">IF(SUM(S52:S55)=0,S43,SUM(S52:S55))</f>
        <v>15977.349156741941</v>
      </c>
      <c r="T56" s="64">
        <f t="shared" si="54"/>
        <v>17843.112293161979</v>
      </c>
      <c r="U56" s="64">
        <f t="shared" ref="U56" si="55">IF(SUM(U52:U55)=0,U43,SUM(U52:U55))</f>
        <v>19895.98483301498</v>
      </c>
      <c r="V56" s="64">
        <f t="shared" ref="V56" si="56">IF(SUM(V52:V55)=0,V43,SUM(V52:V55))</f>
        <v>22131.186496790011</v>
      </c>
      <c r="W56" s="64">
        <f t="shared" ref="W56:X56" si="57">IF(SUM(W52:W55)=0,W43,SUM(W52:W55))</f>
        <v>24542.760296024335</v>
      </c>
      <c r="X56" s="64">
        <f t="shared" si="57"/>
        <v>27123.456832511525</v>
      </c>
      <c r="Y56" s="64">
        <f t="shared" ref="Y56" si="58">IF(SUM(Y52:Y55)=0,Y43,SUM(Y52:Y55))</f>
        <v>29864.626657258992</v>
      </c>
      <c r="Z56" s="64">
        <f t="shared" ref="Z56" si="59">IF(SUM(Z52:Z55)=0,Z43,SUM(Z52:Z55))</f>
        <v>32756.123278132527</v>
      </c>
      <c r="AA56" s="64">
        <f t="shared" ref="AA56:AB56" si="60">IF(SUM(AA52:AA55)=0,AA43,SUM(AA52:AA55))</f>
        <v>35786.219692658517</v>
      </c>
      <c r="AB56" s="64">
        <f t="shared" si="60"/>
        <v>38941.541569327361</v>
      </c>
      <c r="AC56" s="64">
        <f t="shared" ref="AC56" si="61">IF(SUM(AC52:AC55)=0,AC43,SUM(AC52:AC55))</f>
        <v>42207.020389537458</v>
      </c>
      <c r="AD56" s="64">
        <f t="shared" ref="AD56" si="62">IF(SUM(AD52:AD55)=0,AD43,SUM(AD52:AD55))</f>
        <v>45565.869974068322</v>
      </c>
      <c r="AE56" s="64">
        <f t="shared" ref="AE56:AF56" si="63">IF(SUM(AE52:AE55)=0,AE43,SUM(AE52:AE55))</f>
        <v>48999.58983288036</v>
      </c>
      <c r="AF56" s="64">
        <f t="shared" si="63"/>
        <v>52487.998675426556</v>
      </c>
      <c r="AG56" s="64">
        <f t="shared" ref="AG56" si="64">IF(SUM(AG52:AG55)=0,AG43,SUM(AG52:AG55))</f>
        <v>56009.301182122552</v>
      </c>
      <c r="AH56" s="64">
        <f t="shared" ref="AH56" si="65">IF(SUM(AH52:AH55)=0,AH43,SUM(AH52:AH55))</f>
        <v>59540.190750375667</v>
      </c>
    </row>
    <row r="57" spans="2:34" s="47" customFormat="1" ht="15" customHeight="1" x14ac:dyDescent="0.25">
      <c r="B57" s="104"/>
      <c r="C57" s="67" t="s">
        <v>115</v>
      </c>
      <c r="D57" s="64" t="str">
        <f t="shared" ref="D57:AH57" si="66">IF(D26=Proj_Prop_Yr,Total_Proj_Cost_k*1000,"")</f>
        <v/>
      </c>
      <c r="E57" s="64" t="str">
        <f t="shared" si="66"/>
        <v/>
      </c>
      <c r="F57" s="64" t="str">
        <f t="shared" si="66"/>
        <v/>
      </c>
      <c r="G57" s="64" t="str">
        <f t="shared" si="66"/>
        <v/>
      </c>
      <c r="H57" s="64" t="str">
        <f t="shared" si="66"/>
        <v/>
      </c>
      <c r="I57" s="64" t="str">
        <f t="shared" si="66"/>
        <v/>
      </c>
      <c r="J57" s="64">
        <f t="shared" si="66"/>
        <v>3113000</v>
      </c>
      <c r="K57" s="64" t="str">
        <f t="shared" si="66"/>
        <v/>
      </c>
      <c r="L57" s="64" t="str">
        <f t="shared" si="66"/>
        <v/>
      </c>
      <c r="M57" s="64" t="str">
        <f t="shared" si="66"/>
        <v/>
      </c>
      <c r="N57" s="64" t="str">
        <f t="shared" si="66"/>
        <v/>
      </c>
      <c r="O57" s="64" t="str">
        <f t="shared" si="66"/>
        <v/>
      </c>
      <c r="P57" s="64" t="str">
        <f t="shared" si="66"/>
        <v/>
      </c>
      <c r="Q57" s="64" t="str">
        <f t="shared" si="66"/>
        <v/>
      </c>
      <c r="R57" s="64" t="str">
        <f t="shared" si="66"/>
        <v/>
      </c>
      <c r="S57" s="64" t="str">
        <f t="shared" si="66"/>
        <v/>
      </c>
      <c r="T57" s="64" t="str">
        <f t="shared" si="66"/>
        <v/>
      </c>
      <c r="U57" s="64" t="str">
        <f t="shared" si="66"/>
        <v/>
      </c>
      <c r="V57" s="64" t="str">
        <f t="shared" si="66"/>
        <v/>
      </c>
      <c r="W57" s="64" t="str">
        <f t="shared" si="66"/>
        <v/>
      </c>
      <c r="X57" s="64" t="str">
        <f t="shared" si="66"/>
        <v/>
      </c>
      <c r="Y57" s="64" t="str">
        <f t="shared" si="66"/>
        <v/>
      </c>
      <c r="Z57" s="64" t="str">
        <f t="shared" si="66"/>
        <v/>
      </c>
      <c r="AA57" s="64" t="str">
        <f t="shared" si="66"/>
        <v/>
      </c>
      <c r="AB57" s="64" t="str">
        <f t="shared" si="66"/>
        <v/>
      </c>
      <c r="AC57" s="64" t="str">
        <f t="shared" si="66"/>
        <v/>
      </c>
      <c r="AD57" s="64" t="str">
        <f t="shared" si="66"/>
        <v/>
      </c>
      <c r="AE57" s="64" t="str">
        <f t="shared" si="66"/>
        <v/>
      </c>
      <c r="AF57" s="64" t="str">
        <f t="shared" si="66"/>
        <v/>
      </c>
      <c r="AG57" s="64" t="str">
        <f t="shared" si="66"/>
        <v/>
      </c>
      <c r="AH57" s="64" t="str">
        <f t="shared" si="66"/>
        <v/>
      </c>
    </row>
    <row r="58" spans="2:34" ht="15" customHeight="1" x14ac:dyDescent="0.25">
      <c r="B58" s="104"/>
      <c r="C58" s="67" t="s">
        <v>113</v>
      </c>
      <c r="D58" s="64">
        <f>-PMT(WACC,Asset_Life,Total_Proj_Cost_k)*1000</f>
        <v>169257.9552939095</v>
      </c>
      <c r="E58" s="64">
        <f>D58</f>
        <v>169257.9552939095</v>
      </c>
      <c r="F58" s="64">
        <f t="shared" ref="F58:AH58" si="67">E58</f>
        <v>169257.9552939095</v>
      </c>
      <c r="G58" s="64">
        <f t="shared" si="67"/>
        <v>169257.9552939095</v>
      </c>
      <c r="H58" s="64">
        <f t="shared" si="67"/>
        <v>169257.9552939095</v>
      </c>
      <c r="I58" s="64">
        <f t="shared" si="67"/>
        <v>169257.9552939095</v>
      </c>
      <c r="J58" s="64">
        <f t="shared" si="67"/>
        <v>169257.9552939095</v>
      </c>
      <c r="K58" s="64">
        <f t="shared" si="67"/>
        <v>169257.9552939095</v>
      </c>
      <c r="L58" s="64">
        <f t="shared" si="67"/>
        <v>169257.9552939095</v>
      </c>
      <c r="M58" s="64">
        <f t="shared" si="67"/>
        <v>169257.9552939095</v>
      </c>
      <c r="N58" s="64">
        <f t="shared" si="67"/>
        <v>169257.9552939095</v>
      </c>
      <c r="O58" s="64">
        <f t="shared" si="67"/>
        <v>169257.9552939095</v>
      </c>
      <c r="P58" s="64">
        <f t="shared" si="67"/>
        <v>169257.9552939095</v>
      </c>
      <c r="Q58" s="64">
        <f t="shared" si="67"/>
        <v>169257.9552939095</v>
      </c>
      <c r="R58" s="64">
        <f t="shared" si="67"/>
        <v>169257.9552939095</v>
      </c>
      <c r="S58" s="64">
        <f t="shared" si="67"/>
        <v>169257.9552939095</v>
      </c>
      <c r="T58" s="64">
        <f t="shared" si="67"/>
        <v>169257.9552939095</v>
      </c>
      <c r="U58" s="64">
        <f t="shared" si="67"/>
        <v>169257.9552939095</v>
      </c>
      <c r="V58" s="64">
        <f t="shared" si="67"/>
        <v>169257.9552939095</v>
      </c>
      <c r="W58" s="64">
        <f t="shared" si="67"/>
        <v>169257.9552939095</v>
      </c>
      <c r="X58" s="64">
        <f t="shared" si="67"/>
        <v>169257.9552939095</v>
      </c>
      <c r="Y58" s="64">
        <f t="shared" si="67"/>
        <v>169257.9552939095</v>
      </c>
      <c r="Z58" s="64">
        <f t="shared" si="67"/>
        <v>169257.9552939095</v>
      </c>
      <c r="AA58" s="64">
        <f t="shared" si="67"/>
        <v>169257.9552939095</v>
      </c>
      <c r="AB58" s="64">
        <f t="shared" si="67"/>
        <v>169257.9552939095</v>
      </c>
      <c r="AC58" s="64">
        <f t="shared" si="67"/>
        <v>169257.9552939095</v>
      </c>
      <c r="AD58" s="64">
        <f t="shared" si="67"/>
        <v>169257.9552939095</v>
      </c>
      <c r="AE58" s="64">
        <f t="shared" si="67"/>
        <v>169257.9552939095</v>
      </c>
      <c r="AF58" s="64">
        <f t="shared" si="67"/>
        <v>169257.9552939095</v>
      </c>
      <c r="AG58" s="64">
        <f t="shared" si="67"/>
        <v>169257.9552939095</v>
      </c>
      <c r="AH58" s="64">
        <f t="shared" si="67"/>
        <v>169257.9552939095</v>
      </c>
    </row>
  </sheetData>
  <mergeCells count="2">
    <mergeCell ref="B31:B43"/>
    <mergeCell ref="B44:B58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6C4CFA-6723-450D-85F9-2E30110E35B3}">
          <x14:formula1>
            <xm:f>'Risk Data'!$E$1:$E$2</xm:f>
          </x14:formula1>
          <xm:sqref>C15</xm:sqref>
        </x14:dataValidation>
        <x14:dataValidation type="list" allowBlank="1" showInputMessage="1" showErrorMessage="1" xr:uid="{00000000-0002-0000-0000-000000000000}">
          <x14:formula1>
            <xm:f>'ZSS Data'!$B$2:$B$5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CC"/>
  </sheetPr>
  <dimension ref="A1:AM1048565"/>
  <sheetViews>
    <sheetView showGridLines="0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4.25" x14ac:dyDescent="0.2"/>
  <cols>
    <col min="1" max="1" width="3.5" customWidth="1"/>
    <col min="2" max="2" width="11.875" customWidth="1"/>
    <col min="3" max="3" width="60.875" customWidth="1"/>
    <col min="4" max="5" width="13" customWidth="1"/>
    <col min="6" max="6" width="23.5" customWidth="1"/>
    <col min="7" max="7" width="9.625" customWidth="1"/>
    <col min="8" max="8" width="10.25" customWidth="1"/>
    <col min="9" max="9" width="6" customWidth="1"/>
    <col min="10" max="10" width="7.375" customWidth="1"/>
    <col min="11" max="11" width="14.375" customWidth="1"/>
    <col min="12" max="12" width="11" customWidth="1"/>
    <col min="13" max="13" width="11.5" customWidth="1"/>
    <col min="14" max="16" width="10.75" customWidth="1"/>
    <col min="17" max="17" width="12.75" customWidth="1"/>
    <col min="18" max="18" width="13.625" customWidth="1"/>
    <col min="22" max="23" width="10.75" customWidth="1"/>
    <col min="24" max="24" width="13.375" customWidth="1"/>
    <col min="25" max="26" width="10.75" customWidth="1"/>
    <col min="27" max="27" width="11.75" customWidth="1"/>
    <col min="28" max="28" width="10.875" customWidth="1"/>
    <col min="30" max="30" width="9.625" customWidth="1"/>
    <col min="31" max="31" width="10.25" customWidth="1"/>
    <col min="32" max="32" width="10.625" customWidth="1"/>
    <col min="33" max="33" width="10.25" customWidth="1"/>
    <col min="34" max="34" width="11.75" customWidth="1"/>
    <col min="35" max="35" width="10.5" customWidth="1"/>
    <col min="36" max="36" width="11.75" customWidth="1"/>
    <col min="37" max="37" width="11.375" customWidth="1"/>
    <col min="38" max="38" width="12.625" customWidth="1"/>
    <col min="39" max="39" width="11.625" customWidth="1"/>
  </cols>
  <sheetData>
    <row r="1" spans="1:39" s="6" customFormat="1" ht="105" x14ac:dyDescent="0.2">
      <c r="A1"/>
      <c r="B1" s="5" t="s">
        <v>6</v>
      </c>
      <c r="C1" s="5" t="s">
        <v>5</v>
      </c>
      <c r="D1" s="5" t="s">
        <v>28</v>
      </c>
      <c r="E1" s="5" t="s">
        <v>29</v>
      </c>
      <c r="F1" s="5" t="s">
        <v>10</v>
      </c>
      <c r="G1" s="5" t="s">
        <v>7</v>
      </c>
      <c r="H1" s="5" t="s">
        <v>8</v>
      </c>
      <c r="I1" s="5" t="s">
        <v>27</v>
      </c>
      <c r="J1" s="5" t="s">
        <v>30</v>
      </c>
      <c r="K1" s="5" t="s">
        <v>12</v>
      </c>
      <c r="L1" s="5" t="s">
        <v>13</v>
      </c>
      <c r="M1" s="5" t="s">
        <v>14</v>
      </c>
      <c r="N1" s="5" t="s">
        <v>39</v>
      </c>
      <c r="O1" s="5" t="s">
        <v>40</v>
      </c>
      <c r="P1" s="5" t="s">
        <v>38</v>
      </c>
      <c r="Q1" s="5" t="s">
        <v>15</v>
      </c>
      <c r="R1" s="5" t="s">
        <v>11</v>
      </c>
      <c r="S1" s="5" t="s">
        <v>50</v>
      </c>
      <c r="T1" s="5" t="s">
        <v>51</v>
      </c>
      <c r="U1" s="5" t="s">
        <v>18</v>
      </c>
      <c r="V1" s="5" t="s">
        <v>41</v>
      </c>
      <c r="W1" s="36" t="s">
        <v>94</v>
      </c>
      <c r="X1" s="5" t="s">
        <v>42</v>
      </c>
      <c r="Y1" s="5" t="s">
        <v>43</v>
      </c>
      <c r="Z1" s="5" t="s">
        <v>44</v>
      </c>
      <c r="AA1" s="5" t="s">
        <v>45</v>
      </c>
      <c r="AB1" s="5" t="s">
        <v>46</v>
      </c>
      <c r="AC1" s="5" t="s">
        <v>47</v>
      </c>
      <c r="AD1" s="5" t="s">
        <v>48</v>
      </c>
      <c r="AE1" s="5" t="s">
        <v>24</v>
      </c>
      <c r="AF1" s="5" t="s">
        <v>25</v>
      </c>
      <c r="AG1" s="5" t="s">
        <v>26</v>
      </c>
      <c r="AH1" s="5" t="s">
        <v>54</v>
      </c>
      <c r="AI1" s="5" t="s">
        <v>70</v>
      </c>
      <c r="AJ1" s="5" t="s">
        <v>55</v>
      </c>
      <c r="AK1" s="5" t="s">
        <v>56</v>
      </c>
      <c r="AL1" s="36" t="s">
        <v>64</v>
      </c>
      <c r="AM1"/>
    </row>
    <row r="2" spans="1:39" x14ac:dyDescent="0.2">
      <c r="B2" s="12" t="s">
        <v>63</v>
      </c>
      <c r="C2" s="12" t="s">
        <v>68</v>
      </c>
      <c r="D2" s="12">
        <v>2028</v>
      </c>
      <c r="E2" s="12">
        <v>2</v>
      </c>
      <c r="F2" s="12" t="s">
        <v>9</v>
      </c>
      <c r="G2" s="12">
        <v>2</v>
      </c>
      <c r="H2" s="12">
        <v>19</v>
      </c>
      <c r="I2" s="72">
        <v>4</v>
      </c>
      <c r="J2" s="12">
        <v>4</v>
      </c>
      <c r="K2" s="13"/>
      <c r="L2" s="18">
        <v>0</v>
      </c>
      <c r="M2" s="13">
        <f>1548+100</f>
        <v>1648</v>
      </c>
      <c r="N2" s="40">
        <v>4</v>
      </c>
      <c r="O2" s="40">
        <v>0</v>
      </c>
      <c r="P2" s="40">
        <v>0</v>
      </c>
      <c r="Q2" s="12" t="s">
        <v>3</v>
      </c>
      <c r="R2" s="13">
        <v>150000</v>
      </c>
      <c r="S2" s="12">
        <v>0</v>
      </c>
      <c r="T2" s="12">
        <v>0</v>
      </c>
      <c r="U2" s="12" t="s">
        <v>83</v>
      </c>
      <c r="V2" s="40">
        <v>2002</v>
      </c>
      <c r="W2" s="40">
        <v>22</v>
      </c>
      <c r="X2" s="40">
        <v>0</v>
      </c>
      <c r="Y2" s="40">
        <v>30</v>
      </c>
      <c r="Z2" s="40">
        <v>0</v>
      </c>
      <c r="AA2" s="40">
        <v>1</v>
      </c>
      <c r="AB2" s="73">
        <f>V2</f>
        <v>2002</v>
      </c>
      <c r="AC2" s="73">
        <f t="shared" ref="AC2:AC5" si="0">W2</f>
        <v>22</v>
      </c>
      <c r="AD2" s="73">
        <f t="shared" ref="AD2:AD5" si="1">X2</f>
        <v>0</v>
      </c>
      <c r="AE2" s="19">
        <f>INDEX(LOAD!$A$2:$C$10,MATCH('ZSS Data'!B2,LOAD!$A$2:$A$10,0),MATCH(2024,LOAD!$A$2:$C$2,0))*0.5</f>
        <v>5.7682499999999992</v>
      </c>
      <c r="AF2" s="19">
        <f t="shared" ref="AF2:AF5" si="2">IFERROR(AE2/G2,"")</f>
        <v>2.8841249999999996</v>
      </c>
      <c r="AG2" s="19">
        <f t="shared" ref="AG2:AG5" si="3">IFERROR(AE2/I2,"")</f>
        <v>1.4420624999999998</v>
      </c>
      <c r="AH2" s="73">
        <v>6</v>
      </c>
      <c r="AI2" s="13">
        <f>Y2*1750/AH2</f>
        <v>8750</v>
      </c>
      <c r="AJ2" s="73">
        <v>4</v>
      </c>
      <c r="AK2" s="13">
        <f>Y2*1750/AJ2</f>
        <v>13125</v>
      </c>
      <c r="AL2" s="13">
        <v>20000</v>
      </c>
    </row>
    <row r="3" spans="1:39" x14ac:dyDescent="0.2">
      <c r="B3" s="12" t="s">
        <v>72</v>
      </c>
      <c r="C3" s="12" t="s">
        <v>73</v>
      </c>
      <c r="D3" s="12">
        <v>2026</v>
      </c>
      <c r="E3" s="12">
        <v>2</v>
      </c>
      <c r="F3" s="12" t="s">
        <v>9</v>
      </c>
      <c r="G3" s="12">
        <v>1</v>
      </c>
      <c r="H3" s="12">
        <v>9</v>
      </c>
      <c r="I3" s="72">
        <v>8</v>
      </c>
      <c r="J3" s="12">
        <f>I3</f>
        <v>8</v>
      </c>
      <c r="K3" s="13"/>
      <c r="L3" s="18">
        <v>0</v>
      </c>
      <c r="M3" s="13">
        <v>890</v>
      </c>
      <c r="N3" s="40">
        <f>J3</f>
        <v>8</v>
      </c>
      <c r="O3" s="40">
        <v>0</v>
      </c>
      <c r="P3" s="40">
        <v>0</v>
      </c>
      <c r="Q3" s="12" t="s">
        <v>3</v>
      </c>
      <c r="R3" s="13">
        <v>180000</v>
      </c>
      <c r="S3" s="12">
        <v>0</v>
      </c>
      <c r="T3" s="12">
        <v>0</v>
      </c>
      <c r="U3" s="12" t="s">
        <v>82</v>
      </c>
      <c r="V3" s="40">
        <v>2002</v>
      </c>
      <c r="W3" s="40">
        <v>22</v>
      </c>
      <c r="X3" s="40">
        <v>0</v>
      </c>
      <c r="Y3" s="40">
        <v>6</v>
      </c>
      <c r="Z3" s="40">
        <v>0</v>
      </c>
      <c r="AA3" s="40">
        <v>0</v>
      </c>
      <c r="AB3" s="73">
        <f t="shared" ref="AB3:AB5" si="4">V3</f>
        <v>2002</v>
      </c>
      <c r="AC3" s="73">
        <f t="shared" si="0"/>
        <v>22</v>
      </c>
      <c r="AD3" s="73">
        <f t="shared" si="1"/>
        <v>0</v>
      </c>
      <c r="AE3" s="19">
        <f>INDEX(LOAD!$A$2:$C$10,MATCH('ZSS Data'!B3,LOAD!$A$2:$A$10,0),MATCH(2024,LOAD!$A$2:$C$2,0))*0.5</f>
        <v>0</v>
      </c>
      <c r="AF3" s="19">
        <f t="shared" ref="AF3" si="5">IFERROR(AE3/G3,"")</f>
        <v>0</v>
      </c>
      <c r="AG3" s="19">
        <f t="shared" ref="AG3" si="6">IFERROR(AE3/I3,"")</f>
        <v>0</v>
      </c>
      <c r="AH3" s="73">
        <v>6</v>
      </c>
      <c r="AI3" s="13">
        <f t="shared" ref="AI3:AI5" si="7">Y3*1750/AH3</f>
        <v>1750</v>
      </c>
      <c r="AJ3" s="73">
        <v>4</v>
      </c>
      <c r="AK3" s="13">
        <f t="shared" ref="AK3:AK5" si="8">Y3*1750/AJ3</f>
        <v>2625</v>
      </c>
      <c r="AL3" s="13">
        <v>20000</v>
      </c>
    </row>
    <row r="4" spans="1:39" x14ac:dyDescent="0.2">
      <c r="B4" s="12" t="s">
        <v>74</v>
      </c>
      <c r="C4" s="12" t="s">
        <v>75</v>
      </c>
      <c r="D4" s="12">
        <v>2030</v>
      </c>
      <c r="E4" s="12">
        <v>2</v>
      </c>
      <c r="F4" s="12" t="s">
        <v>9</v>
      </c>
      <c r="G4" s="12">
        <v>2</v>
      </c>
      <c r="H4" s="12">
        <v>41</v>
      </c>
      <c r="I4" s="72">
        <v>9</v>
      </c>
      <c r="J4" s="12">
        <v>9</v>
      </c>
      <c r="K4" s="13"/>
      <c r="L4" s="18">
        <v>0</v>
      </c>
      <c r="M4" s="13">
        <f>3013+100</f>
        <v>3113</v>
      </c>
      <c r="N4" s="15">
        <v>9</v>
      </c>
      <c r="O4" s="15">
        <v>0</v>
      </c>
      <c r="P4" s="15">
        <v>0</v>
      </c>
      <c r="Q4" s="3" t="s">
        <v>3</v>
      </c>
      <c r="R4" s="4">
        <v>150000</v>
      </c>
      <c r="S4" s="3">
        <v>0</v>
      </c>
      <c r="T4" s="3">
        <v>0</v>
      </c>
      <c r="U4" s="3" t="s">
        <v>82</v>
      </c>
      <c r="V4" s="40">
        <v>2004</v>
      </c>
      <c r="W4" s="40">
        <v>20</v>
      </c>
      <c r="X4" s="15">
        <v>0</v>
      </c>
      <c r="Y4" s="15">
        <v>41</v>
      </c>
      <c r="Z4" s="15">
        <v>0</v>
      </c>
      <c r="AA4" s="15">
        <v>2</v>
      </c>
      <c r="AB4" s="8">
        <f t="shared" si="4"/>
        <v>2004</v>
      </c>
      <c r="AC4" s="8">
        <f t="shared" si="0"/>
        <v>20</v>
      </c>
      <c r="AD4" s="8">
        <f t="shared" si="1"/>
        <v>0</v>
      </c>
      <c r="AE4" s="19">
        <f>INDEX(LOAD!$A$2:$C$10,MATCH('ZSS Data'!B4,LOAD!$A$2:$A$10,0),MATCH(2024,LOAD!$A$2:$C$2,0))*0.5</f>
        <v>13.055</v>
      </c>
      <c r="AF4" s="7">
        <f t="shared" si="2"/>
        <v>6.5274999999999999</v>
      </c>
      <c r="AG4" s="7">
        <f t="shared" si="3"/>
        <v>1.4505555555555556</v>
      </c>
      <c r="AH4" s="8">
        <v>6</v>
      </c>
      <c r="AI4" s="13">
        <f t="shared" si="7"/>
        <v>11958.333333333334</v>
      </c>
      <c r="AJ4" s="8">
        <v>4</v>
      </c>
      <c r="AK4" s="13">
        <f t="shared" si="8"/>
        <v>17937.5</v>
      </c>
      <c r="AL4" s="4">
        <v>20000</v>
      </c>
    </row>
    <row r="5" spans="1:39" x14ac:dyDescent="0.2">
      <c r="B5" s="12" t="s">
        <v>76</v>
      </c>
      <c r="C5" s="3" t="s">
        <v>77</v>
      </c>
      <c r="D5" s="3">
        <v>2032</v>
      </c>
      <c r="E5" s="3">
        <v>2</v>
      </c>
      <c r="F5" s="3" t="s">
        <v>9</v>
      </c>
      <c r="G5" s="3">
        <v>0</v>
      </c>
      <c r="H5" s="3">
        <v>13</v>
      </c>
      <c r="I5" s="16">
        <v>0</v>
      </c>
      <c r="J5" s="3">
        <v>11</v>
      </c>
      <c r="K5" s="4"/>
      <c r="L5" s="18">
        <v>0</v>
      </c>
      <c r="M5" s="13">
        <v>1251</v>
      </c>
      <c r="N5" s="15">
        <v>13</v>
      </c>
      <c r="O5" s="15">
        <v>0</v>
      </c>
      <c r="P5" s="15">
        <v>0</v>
      </c>
      <c r="Q5" s="3" t="s">
        <v>3</v>
      </c>
      <c r="R5" s="4">
        <f>R4</f>
        <v>150000</v>
      </c>
      <c r="S5" s="3">
        <v>0</v>
      </c>
      <c r="T5" s="3">
        <v>0</v>
      </c>
      <c r="U5" s="3" t="s">
        <v>83</v>
      </c>
      <c r="V5" s="40">
        <v>2005</v>
      </c>
      <c r="W5" s="40">
        <v>19</v>
      </c>
      <c r="X5" s="15">
        <v>0</v>
      </c>
      <c r="Y5" s="15">
        <v>13</v>
      </c>
      <c r="Z5" s="15">
        <v>0</v>
      </c>
      <c r="AA5" s="15">
        <v>5</v>
      </c>
      <c r="AB5" s="8">
        <f t="shared" si="4"/>
        <v>2005</v>
      </c>
      <c r="AC5" s="8">
        <f t="shared" si="0"/>
        <v>19</v>
      </c>
      <c r="AD5" s="8">
        <f t="shared" si="1"/>
        <v>0</v>
      </c>
      <c r="AE5" s="19">
        <f>INDEX(LOAD!$A$2:$C$10,MATCH('ZSS Data'!B5,LOAD!$A$2:$A$10,0),MATCH(2024,LOAD!$A$2:$C$2,0))*0.5</f>
        <v>8.629249999999999</v>
      </c>
      <c r="AF5" s="7" t="str">
        <f t="shared" si="2"/>
        <v/>
      </c>
      <c r="AG5" s="7" t="str">
        <f t="shared" si="3"/>
        <v/>
      </c>
      <c r="AH5" s="8">
        <v>6</v>
      </c>
      <c r="AI5" s="13">
        <f t="shared" si="7"/>
        <v>3791.6666666666665</v>
      </c>
      <c r="AJ5" s="8">
        <v>4</v>
      </c>
      <c r="AK5" s="13">
        <f t="shared" si="8"/>
        <v>5687.5</v>
      </c>
      <c r="AL5" s="4">
        <v>20000</v>
      </c>
    </row>
    <row r="6" spans="1:39" x14ac:dyDescent="0.2">
      <c r="B6" s="12"/>
      <c r="C6" s="3"/>
      <c r="D6" s="3"/>
      <c r="E6" s="3"/>
      <c r="F6" s="3"/>
      <c r="G6" s="3"/>
      <c r="H6" s="3"/>
      <c r="I6" s="3"/>
      <c r="J6" s="3"/>
      <c r="K6" s="4"/>
      <c r="L6" s="18"/>
      <c r="M6" s="13"/>
      <c r="N6" s="15"/>
      <c r="O6" s="15"/>
      <c r="P6" s="15"/>
      <c r="Q6" s="3"/>
      <c r="R6" s="4"/>
      <c r="S6" s="3"/>
      <c r="T6" s="3"/>
      <c r="U6" s="3"/>
      <c r="V6" s="15"/>
      <c r="W6" s="15"/>
      <c r="X6" s="15"/>
      <c r="Y6" s="15"/>
      <c r="Z6" s="15"/>
      <c r="AA6" s="15"/>
      <c r="AB6" s="8"/>
      <c r="AC6" s="8"/>
      <c r="AD6" s="8"/>
      <c r="AE6" s="7"/>
      <c r="AF6" s="7"/>
      <c r="AG6" s="7"/>
      <c r="AH6" s="8"/>
      <c r="AI6" s="4"/>
      <c r="AJ6" s="8"/>
      <c r="AK6" s="4"/>
      <c r="AL6" s="4"/>
    </row>
    <row r="7" spans="1:39" x14ac:dyDescent="0.2">
      <c r="B7" s="12"/>
      <c r="C7" s="3"/>
      <c r="D7" s="3"/>
      <c r="E7" s="3"/>
      <c r="F7" s="3"/>
      <c r="G7" s="3"/>
      <c r="H7" s="3"/>
      <c r="I7" s="3"/>
      <c r="J7" s="3"/>
      <c r="K7" s="4"/>
      <c r="L7" s="18"/>
      <c r="M7" s="13"/>
      <c r="N7" s="15"/>
      <c r="O7" s="15"/>
      <c r="P7" s="15"/>
      <c r="Q7" s="3"/>
      <c r="R7" s="4"/>
      <c r="S7" s="3"/>
      <c r="T7" s="3"/>
      <c r="U7" s="3"/>
      <c r="V7" s="15"/>
      <c r="W7" s="15"/>
      <c r="X7" s="15"/>
      <c r="Y7" s="15"/>
      <c r="Z7" s="15"/>
      <c r="AA7" s="15"/>
      <c r="AB7" s="8"/>
      <c r="AC7" s="8"/>
      <c r="AD7" s="8"/>
      <c r="AE7" s="7"/>
      <c r="AF7" s="7"/>
      <c r="AG7" s="7"/>
      <c r="AH7" s="8"/>
      <c r="AI7" s="4"/>
      <c r="AJ7" s="8"/>
      <c r="AK7" s="4"/>
      <c r="AL7" s="4"/>
    </row>
    <row r="8" spans="1:39" x14ac:dyDescent="0.2">
      <c r="K8" s="41"/>
    </row>
    <row r="9" spans="1:39" x14ac:dyDescent="0.2">
      <c r="B9" s="45"/>
    </row>
    <row r="10" spans="1:39" x14ac:dyDescent="0.2">
      <c r="B10" s="45"/>
    </row>
    <row r="11" spans="1:39" x14ac:dyDescent="0.2">
      <c r="B11" s="45"/>
    </row>
    <row r="12" spans="1:39" x14ac:dyDescent="0.2">
      <c r="B12" s="45"/>
      <c r="C12" s="45"/>
    </row>
    <row r="13" spans="1:39" x14ac:dyDescent="0.2">
      <c r="B13" s="45"/>
      <c r="C13" s="45"/>
    </row>
    <row r="14" spans="1:39" x14ac:dyDescent="0.2">
      <c r="B14" s="45"/>
      <c r="C14" s="45"/>
    </row>
    <row r="15" spans="1:39" x14ac:dyDescent="0.2">
      <c r="B15" s="45"/>
      <c r="C15" s="45"/>
    </row>
    <row r="16" spans="1:39" x14ac:dyDescent="0.2">
      <c r="B16" s="45"/>
      <c r="C16" s="45"/>
    </row>
    <row r="17" spans="2:3" x14ac:dyDescent="0.2">
      <c r="B17" s="45"/>
    </row>
    <row r="18" spans="2:3" x14ac:dyDescent="0.2">
      <c r="B18" s="45"/>
    </row>
    <row r="19" spans="2:3" x14ac:dyDescent="0.2">
      <c r="B19" s="45"/>
    </row>
    <row r="20" spans="2:3" x14ac:dyDescent="0.2">
      <c r="B20" s="45"/>
    </row>
    <row r="21" spans="2:3" x14ac:dyDescent="0.2">
      <c r="B21" s="45"/>
    </row>
    <row r="22" spans="2:3" x14ac:dyDescent="0.2">
      <c r="B22" s="45"/>
    </row>
    <row r="23" spans="2:3" x14ac:dyDescent="0.2">
      <c r="B23" s="45"/>
    </row>
    <row r="24" spans="2:3" x14ac:dyDescent="0.2">
      <c r="B24" s="45"/>
      <c r="C24" s="45"/>
    </row>
    <row r="25" spans="2:3" x14ac:dyDescent="0.2">
      <c r="B25" s="45"/>
      <c r="C25" s="45"/>
    </row>
    <row r="26" spans="2:3" x14ac:dyDescent="0.2">
      <c r="B26" s="45"/>
      <c r="C26" s="45"/>
    </row>
    <row r="1048565" spans="6:6" x14ac:dyDescent="0.2">
      <c r="F1048565" s="3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CC"/>
  </sheetPr>
  <dimension ref="A1:E24"/>
  <sheetViews>
    <sheetView showGridLines="0" workbookViewId="0"/>
  </sheetViews>
  <sheetFormatPr defaultRowHeight="14.25" x14ac:dyDescent="0.2"/>
  <cols>
    <col min="1" max="1" width="30.75" customWidth="1"/>
    <col min="2" max="2" width="12.375" customWidth="1"/>
    <col min="3" max="3" width="11.5" customWidth="1"/>
  </cols>
  <sheetData>
    <row r="1" spans="1:5" ht="15" x14ac:dyDescent="0.25">
      <c r="A1" s="30" t="s">
        <v>31</v>
      </c>
      <c r="B1" s="11" t="s">
        <v>16</v>
      </c>
      <c r="C1" s="11" t="s">
        <v>17</v>
      </c>
      <c r="D1" s="45"/>
      <c r="E1" s="45"/>
    </row>
    <row r="2" spans="1:5" x14ac:dyDescent="0.2">
      <c r="A2" s="3" t="s">
        <v>2</v>
      </c>
      <c r="B2" s="3">
        <v>0.37</v>
      </c>
      <c r="C2" s="3">
        <v>0.16</v>
      </c>
      <c r="D2" s="45"/>
      <c r="E2" s="45"/>
    </row>
    <row r="3" spans="1:5" x14ac:dyDescent="0.2">
      <c r="A3" s="3" t="s">
        <v>1</v>
      </c>
      <c r="B3" s="3">
        <v>0.32</v>
      </c>
      <c r="C3" s="3">
        <v>0.16</v>
      </c>
    </row>
    <row r="4" spans="1:5" x14ac:dyDescent="0.2">
      <c r="A4" s="3" t="s">
        <v>3</v>
      </c>
      <c r="B4" s="3">
        <v>0.35</v>
      </c>
      <c r="C4" s="3">
        <v>0.13</v>
      </c>
    </row>
    <row r="6" spans="1:5" x14ac:dyDescent="0.2">
      <c r="A6" s="3" t="s">
        <v>22</v>
      </c>
      <c r="B6" s="3">
        <v>1.9599999999999999E-3</v>
      </c>
    </row>
    <row r="7" spans="1:5" x14ac:dyDescent="0.2">
      <c r="A7" s="9" t="s">
        <v>32</v>
      </c>
      <c r="B7" s="10">
        <v>5300000</v>
      </c>
    </row>
    <row r="8" spans="1:5" x14ac:dyDescent="0.2">
      <c r="A8" s="3" t="s">
        <v>33</v>
      </c>
      <c r="B8" s="3">
        <v>3</v>
      </c>
    </row>
    <row r="9" spans="1:5" x14ac:dyDescent="0.2">
      <c r="A9" s="12" t="s">
        <v>52</v>
      </c>
      <c r="B9" s="3">
        <v>0.25</v>
      </c>
    </row>
    <row r="10" spans="1:5" x14ac:dyDescent="0.2">
      <c r="A10" s="12" t="s">
        <v>34</v>
      </c>
      <c r="B10" s="12">
        <v>2</v>
      </c>
    </row>
    <row r="11" spans="1:5" x14ac:dyDescent="0.2">
      <c r="A11" s="12" t="s">
        <v>35</v>
      </c>
      <c r="B11" s="12">
        <v>2</v>
      </c>
    </row>
    <row r="12" spans="1:5" x14ac:dyDescent="0.2">
      <c r="A12" s="12" t="s">
        <v>36</v>
      </c>
      <c r="B12" s="13">
        <f>INDEX(VCR!$D$5:$D$12, MATCH('Risk Model'!$C$3, VCR!$A$5:$A$12,0))*10^3</f>
        <v>39182</v>
      </c>
      <c r="E12" s="74"/>
    </row>
    <row r="13" spans="1:5" x14ac:dyDescent="0.2">
      <c r="A13" s="12" t="s">
        <v>37</v>
      </c>
      <c r="B13" s="14">
        <v>3.5000000000000003E-2</v>
      </c>
    </row>
    <row r="14" spans="1:5" x14ac:dyDescent="0.2">
      <c r="A14" s="12" t="s">
        <v>49</v>
      </c>
      <c r="B14" s="12">
        <v>30</v>
      </c>
    </row>
    <row r="15" spans="1:5" x14ac:dyDescent="0.2">
      <c r="A15" s="12" t="s">
        <v>53</v>
      </c>
      <c r="B15" s="19">
        <v>0.25</v>
      </c>
    </row>
    <row r="16" spans="1:5" s="45" customFormat="1" x14ac:dyDescent="0.2"/>
    <row r="17" spans="1:2" s="45" customFormat="1" x14ac:dyDescent="0.2">
      <c r="A17" s="55" t="s">
        <v>100</v>
      </c>
      <c r="B17" s="56" t="str">
        <f>'Risk Model'!C3</f>
        <v>FTN</v>
      </c>
    </row>
    <row r="18" spans="1:2" x14ac:dyDescent="0.2">
      <c r="A18" s="12" t="s">
        <v>97</v>
      </c>
      <c r="B18" s="46">
        <f>INDEX('ZSS Data'!$B$1:$AM$7,MATCH('Risk Model'!$C$3,'ZSS Data'!$B$1:$B$7,0),MATCH("# Bus",'ZSS Data'!$B$1:$AM$1,0))</f>
        <v>2</v>
      </c>
    </row>
    <row r="19" spans="1:2" x14ac:dyDescent="0.2">
      <c r="A19" s="12" t="s">
        <v>11</v>
      </c>
      <c r="B19" s="4">
        <f>INDEX('ZSS Data'!$B$1:$AM$7,MATCH('Risk Model'!$C$3,'ZSS Data'!$B$1:$B$7,0),MATCH(A19,'ZSS Data'!$B$1:$AM$1,0))</f>
        <v>150000</v>
      </c>
    </row>
    <row r="20" spans="1:2" x14ac:dyDescent="0.2">
      <c r="A20" s="46" t="s">
        <v>28</v>
      </c>
      <c r="B20" s="58">
        <f>INDEX('ZSS Data'!$B$1:$AM$7,MATCH('Risk Model'!$C$3,'ZSS Data'!$B$1:$B$7,0),MATCH(A20,'ZSS Data'!$B$1:$AM$1,0))</f>
        <v>2030</v>
      </c>
    </row>
    <row r="21" spans="1:2" x14ac:dyDescent="0.2">
      <c r="A21" s="12" t="s">
        <v>107</v>
      </c>
      <c r="B21" s="46">
        <f>INDEX('ZSS Data'!$B$1:$AM$7,MATCH('Risk Model'!$C$3,'ZSS Data'!$B$1:$B$7,0),MATCH("# RELAY_DIG",'ZSS Data'!$B$1:$AM$1,0))</f>
        <v>41</v>
      </c>
    </row>
    <row r="22" spans="1:2" x14ac:dyDescent="0.2">
      <c r="A22" s="46" t="s">
        <v>110</v>
      </c>
      <c r="B22" s="46">
        <f>INDEX('ZSS Data'!$B$1:$AM$7,MATCH('Risk Model'!$C$3,'ZSS Data'!$B$1:$B$7,0),MATCH("# Fdr Relays RELAY_DIG",'ZSS Data'!$B$1:$AM$1,0))</f>
        <v>9</v>
      </c>
    </row>
    <row r="23" spans="1:2" x14ac:dyDescent="0.2">
      <c r="A23" s="46" t="s">
        <v>64</v>
      </c>
      <c r="B23" s="4">
        <f>INDEX('ZSS Data'!$B$1:$AM$7,MATCH('Risk Model'!$C$3,'ZSS Data'!$B$1:$B$7,0),MATCH(A23,'ZSS Data'!$B$1:$AM$1,0))</f>
        <v>20000</v>
      </c>
    </row>
    <row r="24" spans="1:2" x14ac:dyDescent="0.2">
      <c r="A24" s="46" t="s">
        <v>14</v>
      </c>
      <c r="B24" s="4">
        <f>INDEX('ZSS Data'!$B$1:$AM$7,MATCH('Risk Model'!$C$3,'ZSS Data'!$B$1:$B$7,0),MATCH(A24,'ZSS Data'!$B$1:$AM$1,0))</f>
        <v>3113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230-7A5E-4818-9E3D-96FBF056CB71}">
  <sheetPr codeName="Sheet5">
    <tabColor rgb="FFFFFFCC"/>
  </sheetPr>
  <dimension ref="A1:I17"/>
  <sheetViews>
    <sheetView showGridLines="0" zoomScale="85" zoomScaleNormal="85" workbookViewId="0"/>
  </sheetViews>
  <sheetFormatPr defaultRowHeight="14.25" x14ac:dyDescent="0.2"/>
  <cols>
    <col min="2" max="4" width="10.5" customWidth="1"/>
    <col min="5" max="7" width="10.875" customWidth="1"/>
    <col min="9" max="9" width="24.375" customWidth="1"/>
    <col min="10" max="10" width="21.375" customWidth="1"/>
    <col min="11" max="11" width="10.875" customWidth="1"/>
    <col min="12" max="12" width="11.5" customWidth="1"/>
    <col min="13" max="13" width="9.5" customWidth="1"/>
  </cols>
  <sheetData>
    <row r="1" spans="1:9" x14ac:dyDescent="0.2">
      <c r="D1" s="105" t="s">
        <v>151</v>
      </c>
      <c r="E1" s="45"/>
    </row>
    <row r="2" spans="1:9" ht="15" customHeight="1" x14ac:dyDescent="0.2">
      <c r="D2" s="105"/>
      <c r="E2" s="45"/>
    </row>
    <row r="3" spans="1:9" x14ac:dyDescent="0.2">
      <c r="D3" s="105"/>
      <c r="E3" s="45"/>
    </row>
    <row r="4" spans="1:9" x14ac:dyDescent="0.2">
      <c r="A4" t="s">
        <v>92</v>
      </c>
      <c r="B4" t="s">
        <v>4</v>
      </c>
      <c r="D4" s="87"/>
    </row>
    <row r="5" spans="1:9" x14ac:dyDescent="0.2">
      <c r="A5" t="s">
        <v>79</v>
      </c>
      <c r="B5" t="s">
        <v>87</v>
      </c>
      <c r="C5" s="44"/>
      <c r="D5" s="88">
        <v>51.454000000000001</v>
      </c>
      <c r="E5" s="43"/>
      <c r="F5" s="42"/>
    </row>
    <row r="6" spans="1:9" x14ac:dyDescent="0.2">
      <c r="A6" t="s">
        <v>63</v>
      </c>
      <c r="B6" t="s">
        <v>91</v>
      </c>
      <c r="C6" s="44"/>
      <c r="D6" s="88">
        <v>42.154000000000003</v>
      </c>
      <c r="E6" s="43"/>
      <c r="F6" s="42"/>
      <c r="I6" s="45"/>
    </row>
    <row r="7" spans="1:9" x14ac:dyDescent="0.2">
      <c r="A7" t="s">
        <v>81</v>
      </c>
      <c r="B7" t="s">
        <v>85</v>
      </c>
      <c r="C7" s="44"/>
      <c r="D7" s="88">
        <v>32.747</v>
      </c>
      <c r="E7" s="43"/>
      <c r="F7" s="42"/>
      <c r="I7" s="45"/>
    </row>
    <row r="8" spans="1:9" x14ac:dyDescent="0.2">
      <c r="A8" t="s">
        <v>76</v>
      </c>
      <c r="B8" t="s">
        <v>90</v>
      </c>
      <c r="C8" s="44"/>
      <c r="D8" s="88">
        <v>28.821000000000002</v>
      </c>
      <c r="E8" s="43"/>
      <c r="F8" s="42"/>
      <c r="I8" s="45"/>
    </row>
    <row r="9" spans="1:9" x14ac:dyDescent="0.2">
      <c r="A9" s="86" t="s">
        <v>74</v>
      </c>
      <c r="B9" s="86" t="s">
        <v>88</v>
      </c>
      <c r="C9" s="44"/>
      <c r="D9" s="88">
        <v>39.182000000000002</v>
      </c>
      <c r="E9" s="43"/>
      <c r="F9" s="42"/>
      <c r="I9" s="45"/>
    </row>
    <row r="10" spans="1:9" x14ac:dyDescent="0.2">
      <c r="A10" t="s">
        <v>72</v>
      </c>
      <c r="B10" t="s">
        <v>89</v>
      </c>
      <c r="C10" s="44"/>
      <c r="D10" s="88">
        <v>52.2</v>
      </c>
      <c r="E10" s="43"/>
      <c r="F10" s="42"/>
      <c r="I10" s="45"/>
    </row>
    <row r="11" spans="1:9" x14ac:dyDescent="0.2">
      <c r="A11" t="s">
        <v>78</v>
      </c>
      <c r="B11" t="s">
        <v>86</v>
      </c>
      <c r="C11" s="44"/>
      <c r="D11" s="88">
        <v>37.335999999999999</v>
      </c>
      <c r="E11" s="43"/>
      <c r="F11" s="42"/>
      <c r="I11" s="45"/>
    </row>
    <row r="12" spans="1:9" x14ac:dyDescent="0.2">
      <c r="A12" t="s">
        <v>80</v>
      </c>
      <c r="B12" t="s">
        <v>84</v>
      </c>
      <c r="C12" s="44"/>
      <c r="D12" s="88">
        <v>40.453000000000003</v>
      </c>
      <c r="E12" s="43"/>
      <c r="F12" s="42"/>
      <c r="I12" s="45"/>
    </row>
    <row r="13" spans="1:9" x14ac:dyDescent="0.2">
      <c r="I13" s="45"/>
    </row>
    <row r="14" spans="1:9" x14ac:dyDescent="0.2">
      <c r="I14" s="45"/>
    </row>
    <row r="15" spans="1:9" x14ac:dyDescent="0.2">
      <c r="I15" s="45"/>
    </row>
    <row r="16" spans="1:9" x14ac:dyDescent="0.2">
      <c r="I16" s="45"/>
    </row>
    <row r="17" spans="9:9" x14ac:dyDescent="0.2">
      <c r="I17" s="45"/>
    </row>
  </sheetData>
  <mergeCells count="1">
    <mergeCell ref="D1:D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CC"/>
  </sheetPr>
  <dimension ref="A1:AR77"/>
  <sheetViews>
    <sheetView showGridLines="0" zoomScaleNormal="100" workbookViewId="0"/>
  </sheetViews>
  <sheetFormatPr defaultRowHeight="14.25" x14ac:dyDescent="0.2"/>
  <cols>
    <col min="2" max="9" width="6.75" customWidth="1"/>
    <col min="10" max="10" width="7.875" customWidth="1"/>
    <col min="11" max="11" width="6.75" customWidth="1"/>
    <col min="12" max="12" width="8.625" customWidth="1"/>
    <col min="13" max="34" width="6.75" customWidth="1"/>
  </cols>
  <sheetData>
    <row r="1" spans="1:44" x14ac:dyDescent="0.2">
      <c r="N1" t="s">
        <v>129</v>
      </c>
    </row>
    <row r="2" spans="1:44" x14ac:dyDescent="0.2">
      <c r="A2" s="2" t="s">
        <v>6</v>
      </c>
      <c r="B2" s="2">
        <v>2023</v>
      </c>
      <c r="C2" s="2">
        <f>B2+1</f>
        <v>2024</v>
      </c>
      <c r="D2" s="2">
        <f t="shared" ref="D2:AO2" si="0">C2+1</f>
        <v>2025</v>
      </c>
      <c r="E2" s="2">
        <f t="shared" si="0"/>
        <v>2026</v>
      </c>
      <c r="F2" s="2">
        <f t="shared" si="0"/>
        <v>2027</v>
      </c>
      <c r="G2" s="2">
        <f t="shared" si="0"/>
        <v>2028</v>
      </c>
      <c r="H2" s="2">
        <f t="shared" si="0"/>
        <v>2029</v>
      </c>
      <c r="I2" s="2">
        <f t="shared" si="0"/>
        <v>2030</v>
      </c>
      <c r="J2" s="2">
        <f t="shared" si="0"/>
        <v>2031</v>
      </c>
      <c r="K2" s="2">
        <f t="shared" si="0"/>
        <v>2032</v>
      </c>
      <c r="L2" s="2">
        <f t="shared" si="0"/>
        <v>2033</v>
      </c>
      <c r="M2" s="2">
        <f t="shared" si="0"/>
        <v>2034</v>
      </c>
      <c r="N2" s="2">
        <f t="shared" si="0"/>
        <v>2035</v>
      </c>
      <c r="O2" s="2">
        <f t="shared" si="0"/>
        <v>2036</v>
      </c>
      <c r="P2" s="2">
        <f t="shared" si="0"/>
        <v>2037</v>
      </c>
      <c r="Q2" s="2">
        <f t="shared" si="0"/>
        <v>2038</v>
      </c>
      <c r="R2" s="2">
        <f t="shared" si="0"/>
        <v>2039</v>
      </c>
      <c r="S2" s="2">
        <f t="shared" si="0"/>
        <v>2040</v>
      </c>
      <c r="T2" s="2">
        <f t="shared" si="0"/>
        <v>2041</v>
      </c>
      <c r="U2" s="2">
        <f t="shared" si="0"/>
        <v>2042</v>
      </c>
      <c r="V2" s="2">
        <f t="shared" si="0"/>
        <v>2043</v>
      </c>
      <c r="W2" s="2">
        <f t="shared" si="0"/>
        <v>2044</v>
      </c>
      <c r="X2" s="2">
        <f t="shared" si="0"/>
        <v>2045</v>
      </c>
      <c r="Y2" s="2">
        <f t="shared" si="0"/>
        <v>2046</v>
      </c>
      <c r="Z2" s="2">
        <f t="shared" si="0"/>
        <v>2047</v>
      </c>
      <c r="AA2" s="2">
        <f t="shared" si="0"/>
        <v>2048</v>
      </c>
      <c r="AB2" s="2">
        <f t="shared" si="0"/>
        <v>2049</v>
      </c>
      <c r="AC2" s="2">
        <f t="shared" si="0"/>
        <v>2050</v>
      </c>
      <c r="AD2" s="2">
        <f t="shared" si="0"/>
        <v>2051</v>
      </c>
      <c r="AE2" s="2">
        <f t="shared" si="0"/>
        <v>2052</v>
      </c>
      <c r="AF2" s="2">
        <f t="shared" si="0"/>
        <v>2053</v>
      </c>
      <c r="AG2" s="2">
        <f t="shared" si="0"/>
        <v>2054</v>
      </c>
      <c r="AH2" s="2">
        <f t="shared" si="0"/>
        <v>2055</v>
      </c>
      <c r="AI2" s="2">
        <f t="shared" si="0"/>
        <v>2056</v>
      </c>
      <c r="AJ2" s="2">
        <f t="shared" si="0"/>
        <v>2057</v>
      </c>
      <c r="AK2" s="2">
        <f t="shared" si="0"/>
        <v>2058</v>
      </c>
      <c r="AL2" s="2">
        <f t="shared" si="0"/>
        <v>2059</v>
      </c>
      <c r="AM2" s="2">
        <f t="shared" si="0"/>
        <v>2060</v>
      </c>
      <c r="AN2" s="2">
        <f t="shared" si="0"/>
        <v>2061</v>
      </c>
      <c r="AO2" s="2">
        <f t="shared" si="0"/>
        <v>2062</v>
      </c>
    </row>
    <row r="3" spans="1:44" x14ac:dyDescent="0.2">
      <c r="A3" s="75" t="s">
        <v>63</v>
      </c>
      <c r="B3" s="100">
        <v>11.1335</v>
      </c>
      <c r="C3" s="100">
        <v>11.536499999999998</v>
      </c>
      <c r="D3" s="100">
        <v>11.8385</v>
      </c>
      <c r="E3" s="100">
        <v>11.821999999999999</v>
      </c>
      <c r="F3" s="100">
        <v>11.898</v>
      </c>
      <c r="G3" s="100">
        <v>12.03</v>
      </c>
      <c r="H3" s="100">
        <v>12.153500000000001</v>
      </c>
      <c r="I3" s="100">
        <v>12.232999999999999</v>
      </c>
      <c r="J3" s="100">
        <v>12.3535</v>
      </c>
      <c r="K3" s="100">
        <v>12.519500000000001</v>
      </c>
      <c r="L3" s="100">
        <v>12.715</v>
      </c>
      <c r="M3" s="100">
        <v>12.837</v>
      </c>
      <c r="N3" s="100">
        <v>12.912999999999998</v>
      </c>
      <c r="O3" s="76">
        <v>13.068999999999999</v>
      </c>
      <c r="P3" s="76">
        <f>O3</f>
        <v>13.068999999999999</v>
      </c>
      <c r="Q3" s="76">
        <f t="shared" ref="Q3:AO10" si="1">P3</f>
        <v>13.068999999999999</v>
      </c>
      <c r="R3" s="76">
        <f t="shared" si="1"/>
        <v>13.068999999999999</v>
      </c>
      <c r="S3" s="76">
        <f t="shared" si="1"/>
        <v>13.068999999999999</v>
      </c>
      <c r="T3" s="76">
        <f t="shared" si="1"/>
        <v>13.068999999999999</v>
      </c>
      <c r="U3" s="76">
        <f t="shared" si="1"/>
        <v>13.068999999999999</v>
      </c>
      <c r="V3" s="76">
        <f t="shared" si="1"/>
        <v>13.068999999999999</v>
      </c>
      <c r="W3" s="76">
        <f t="shared" si="1"/>
        <v>13.068999999999999</v>
      </c>
      <c r="X3" s="76">
        <f t="shared" si="1"/>
        <v>13.068999999999999</v>
      </c>
      <c r="Y3" s="76">
        <f t="shared" si="1"/>
        <v>13.068999999999999</v>
      </c>
      <c r="Z3" s="76">
        <f t="shared" si="1"/>
        <v>13.068999999999999</v>
      </c>
      <c r="AA3" s="76">
        <f t="shared" si="1"/>
        <v>13.068999999999999</v>
      </c>
      <c r="AB3" s="76">
        <f t="shared" si="1"/>
        <v>13.068999999999999</v>
      </c>
      <c r="AC3" s="76">
        <f t="shared" si="1"/>
        <v>13.068999999999999</v>
      </c>
      <c r="AD3" s="76">
        <f t="shared" si="1"/>
        <v>13.068999999999999</v>
      </c>
      <c r="AE3" s="76">
        <f t="shared" si="1"/>
        <v>13.068999999999999</v>
      </c>
      <c r="AF3" s="76">
        <f t="shared" si="1"/>
        <v>13.068999999999999</v>
      </c>
      <c r="AG3" s="76">
        <f t="shared" si="1"/>
        <v>13.068999999999999</v>
      </c>
      <c r="AH3" s="76">
        <f t="shared" si="1"/>
        <v>13.068999999999999</v>
      </c>
      <c r="AI3" s="76">
        <f t="shared" si="1"/>
        <v>13.068999999999999</v>
      </c>
      <c r="AJ3" s="76">
        <f t="shared" si="1"/>
        <v>13.068999999999999</v>
      </c>
      <c r="AK3" s="76">
        <f t="shared" si="1"/>
        <v>13.068999999999999</v>
      </c>
      <c r="AL3" s="76">
        <f t="shared" si="1"/>
        <v>13.068999999999999</v>
      </c>
      <c r="AM3" s="76">
        <f t="shared" si="1"/>
        <v>13.068999999999999</v>
      </c>
      <c r="AN3" s="76">
        <f t="shared" si="1"/>
        <v>13.068999999999999</v>
      </c>
      <c r="AO3" s="76">
        <f t="shared" si="1"/>
        <v>13.068999999999999</v>
      </c>
    </row>
    <row r="4" spans="1:44" x14ac:dyDescent="0.2">
      <c r="A4" s="75" t="s">
        <v>79</v>
      </c>
      <c r="B4" s="100">
        <v>10.118500000000001</v>
      </c>
      <c r="C4" s="100">
        <v>10.6145</v>
      </c>
      <c r="D4" s="100">
        <v>10.849499999999999</v>
      </c>
      <c r="E4" s="100">
        <v>10.828499999999998</v>
      </c>
      <c r="F4" s="100">
        <v>10.8675</v>
      </c>
      <c r="G4" s="100">
        <v>10.984499999999999</v>
      </c>
      <c r="H4" s="100">
        <v>11.088999999999999</v>
      </c>
      <c r="I4" s="100">
        <v>11.154499999999999</v>
      </c>
      <c r="J4" s="100">
        <v>11.250999999999999</v>
      </c>
      <c r="K4" s="100">
        <v>11.399999999999999</v>
      </c>
      <c r="L4" s="100">
        <v>11.594999999999999</v>
      </c>
      <c r="M4" s="100">
        <v>11.685499999999999</v>
      </c>
      <c r="N4" s="100">
        <v>11.7005</v>
      </c>
      <c r="O4" s="76">
        <v>11.772999999999998</v>
      </c>
      <c r="P4" s="76">
        <f t="shared" ref="P4:AE10" si="2">O4</f>
        <v>11.772999999999998</v>
      </c>
      <c r="Q4" s="76">
        <f t="shared" si="2"/>
        <v>11.772999999999998</v>
      </c>
      <c r="R4" s="76">
        <f t="shared" si="2"/>
        <v>11.772999999999998</v>
      </c>
      <c r="S4" s="76">
        <f t="shared" si="2"/>
        <v>11.772999999999998</v>
      </c>
      <c r="T4" s="76">
        <f t="shared" si="2"/>
        <v>11.772999999999998</v>
      </c>
      <c r="U4" s="76">
        <f t="shared" si="2"/>
        <v>11.772999999999998</v>
      </c>
      <c r="V4" s="76">
        <f t="shared" si="2"/>
        <v>11.772999999999998</v>
      </c>
      <c r="W4" s="76">
        <f t="shared" si="2"/>
        <v>11.772999999999998</v>
      </c>
      <c r="X4" s="76">
        <f t="shared" si="2"/>
        <v>11.772999999999998</v>
      </c>
      <c r="Y4" s="76">
        <f t="shared" si="2"/>
        <v>11.772999999999998</v>
      </c>
      <c r="Z4" s="76">
        <f t="shared" si="2"/>
        <v>11.772999999999998</v>
      </c>
      <c r="AA4" s="76">
        <f t="shared" si="2"/>
        <v>11.772999999999998</v>
      </c>
      <c r="AB4" s="76">
        <f t="shared" si="2"/>
        <v>11.772999999999998</v>
      </c>
      <c r="AC4" s="76">
        <f t="shared" si="2"/>
        <v>11.772999999999998</v>
      </c>
      <c r="AD4" s="76">
        <f t="shared" si="2"/>
        <v>11.772999999999998</v>
      </c>
      <c r="AE4" s="76">
        <f t="shared" si="2"/>
        <v>11.772999999999998</v>
      </c>
      <c r="AF4" s="76">
        <f t="shared" si="1"/>
        <v>11.772999999999998</v>
      </c>
      <c r="AG4" s="76">
        <f t="shared" si="1"/>
        <v>11.772999999999998</v>
      </c>
      <c r="AH4" s="76">
        <f t="shared" si="1"/>
        <v>11.772999999999998</v>
      </c>
      <c r="AI4" s="76">
        <f t="shared" si="1"/>
        <v>11.772999999999998</v>
      </c>
      <c r="AJ4" s="76">
        <f t="shared" si="1"/>
        <v>11.772999999999998</v>
      </c>
      <c r="AK4" s="76">
        <f t="shared" si="1"/>
        <v>11.772999999999998</v>
      </c>
      <c r="AL4" s="76">
        <f t="shared" si="1"/>
        <v>11.772999999999998</v>
      </c>
      <c r="AM4" s="76">
        <f t="shared" si="1"/>
        <v>11.772999999999998</v>
      </c>
      <c r="AN4" s="76">
        <f t="shared" si="1"/>
        <v>11.772999999999998</v>
      </c>
      <c r="AO4" s="76">
        <f t="shared" si="1"/>
        <v>11.772999999999998</v>
      </c>
    </row>
    <row r="5" spans="1:44" x14ac:dyDescent="0.2">
      <c r="A5" s="75" t="s">
        <v>81</v>
      </c>
      <c r="B5" s="100">
        <v>20.314500000000002</v>
      </c>
      <c r="C5" s="100">
        <v>20.817999999999998</v>
      </c>
      <c r="D5" s="100">
        <v>21.082999999999998</v>
      </c>
      <c r="E5" s="100">
        <v>21.167999999999999</v>
      </c>
      <c r="F5" s="100">
        <v>21.433499999999999</v>
      </c>
      <c r="G5" s="100">
        <v>21.785499999999999</v>
      </c>
      <c r="H5" s="100">
        <v>22.113499999999995</v>
      </c>
      <c r="I5" s="100">
        <v>22.376999999999999</v>
      </c>
      <c r="J5" s="100">
        <v>22.616999999999997</v>
      </c>
      <c r="K5" s="100">
        <v>23.038499999999999</v>
      </c>
      <c r="L5" s="100">
        <v>23.530499999999996</v>
      </c>
      <c r="M5" s="100">
        <v>23.921500000000002</v>
      </c>
      <c r="N5" s="100">
        <v>24.131499999999999</v>
      </c>
      <c r="O5" s="76">
        <v>24.399499999999996</v>
      </c>
      <c r="P5" s="76">
        <f t="shared" si="2"/>
        <v>24.399499999999996</v>
      </c>
      <c r="Q5" s="76">
        <f t="shared" si="1"/>
        <v>24.399499999999996</v>
      </c>
      <c r="R5" s="76">
        <f t="shared" si="1"/>
        <v>24.399499999999996</v>
      </c>
      <c r="S5" s="76">
        <f t="shared" si="1"/>
        <v>24.399499999999996</v>
      </c>
      <c r="T5" s="76">
        <f t="shared" si="1"/>
        <v>24.399499999999996</v>
      </c>
      <c r="U5" s="76">
        <f t="shared" si="1"/>
        <v>24.399499999999996</v>
      </c>
      <c r="V5" s="76">
        <f t="shared" si="1"/>
        <v>24.399499999999996</v>
      </c>
      <c r="W5" s="76">
        <f t="shared" si="1"/>
        <v>24.399499999999996</v>
      </c>
      <c r="X5" s="76">
        <f t="shared" si="1"/>
        <v>24.399499999999996</v>
      </c>
      <c r="Y5" s="76">
        <f t="shared" si="1"/>
        <v>24.399499999999996</v>
      </c>
      <c r="Z5" s="76">
        <f t="shared" si="1"/>
        <v>24.399499999999996</v>
      </c>
      <c r="AA5" s="76">
        <f t="shared" si="1"/>
        <v>24.399499999999996</v>
      </c>
      <c r="AB5" s="76">
        <f t="shared" si="1"/>
        <v>24.399499999999996</v>
      </c>
      <c r="AC5" s="76">
        <f t="shared" si="1"/>
        <v>24.399499999999996</v>
      </c>
      <c r="AD5" s="76">
        <f t="shared" si="1"/>
        <v>24.399499999999996</v>
      </c>
      <c r="AE5" s="76">
        <f t="shared" si="1"/>
        <v>24.399499999999996</v>
      </c>
      <c r="AF5" s="76">
        <f t="shared" si="1"/>
        <v>24.399499999999996</v>
      </c>
      <c r="AG5" s="76">
        <f t="shared" si="1"/>
        <v>24.399499999999996</v>
      </c>
      <c r="AH5" s="76">
        <f t="shared" si="1"/>
        <v>24.399499999999996</v>
      </c>
      <c r="AI5" s="76">
        <f t="shared" si="1"/>
        <v>24.399499999999996</v>
      </c>
      <c r="AJ5" s="76">
        <f t="shared" si="1"/>
        <v>24.399499999999996</v>
      </c>
      <c r="AK5" s="76">
        <f t="shared" si="1"/>
        <v>24.399499999999996</v>
      </c>
      <c r="AL5" s="76">
        <f t="shared" si="1"/>
        <v>24.399499999999996</v>
      </c>
      <c r="AM5" s="76">
        <f t="shared" si="1"/>
        <v>24.399499999999996</v>
      </c>
      <c r="AN5" s="76">
        <f t="shared" si="1"/>
        <v>24.399499999999996</v>
      </c>
      <c r="AO5" s="76">
        <f t="shared" si="1"/>
        <v>24.399499999999996</v>
      </c>
    </row>
    <row r="6" spans="1:44" x14ac:dyDescent="0.2">
      <c r="A6" s="75" t="s">
        <v>76</v>
      </c>
      <c r="B6" s="100">
        <v>16.867999999999999</v>
      </c>
      <c r="C6" s="100">
        <v>17.258499999999998</v>
      </c>
      <c r="D6" s="100">
        <v>17.774999999999999</v>
      </c>
      <c r="E6" s="100">
        <v>17.861999999999998</v>
      </c>
      <c r="F6" s="100">
        <v>18.006999999999998</v>
      </c>
      <c r="G6" s="100">
        <v>18.198499999999999</v>
      </c>
      <c r="H6" s="100">
        <v>18.350000000000001</v>
      </c>
      <c r="I6" s="100">
        <v>18.457000000000001</v>
      </c>
      <c r="J6" s="100">
        <v>18.567499999999999</v>
      </c>
      <c r="K6" s="100">
        <v>18.774999999999999</v>
      </c>
      <c r="L6" s="100">
        <v>19.006499999999996</v>
      </c>
      <c r="M6" s="100">
        <v>19.145</v>
      </c>
      <c r="N6" s="100">
        <v>19.201999999999998</v>
      </c>
      <c r="O6" s="76">
        <v>19.282999999999998</v>
      </c>
      <c r="P6" s="76">
        <f t="shared" si="2"/>
        <v>19.282999999999998</v>
      </c>
      <c r="Q6" s="76">
        <f t="shared" si="1"/>
        <v>19.282999999999998</v>
      </c>
      <c r="R6" s="76">
        <f t="shared" si="1"/>
        <v>19.282999999999998</v>
      </c>
      <c r="S6" s="76">
        <f t="shared" si="1"/>
        <v>19.282999999999998</v>
      </c>
      <c r="T6" s="76">
        <f t="shared" si="1"/>
        <v>19.282999999999998</v>
      </c>
      <c r="U6" s="76">
        <f t="shared" si="1"/>
        <v>19.282999999999998</v>
      </c>
      <c r="V6" s="76">
        <f t="shared" si="1"/>
        <v>19.282999999999998</v>
      </c>
      <c r="W6" s="76">
        <f t="shared" si="1"/>
        <v>19.282999999999998</v>
      </c>
      <c r="X6" s="76">
        <f t="shared" si="1"/>
        <v>19.282999999999998</v>
      </c>
      <c r="Y6" s="76">
        <f t="shared" si="1"/>
        <v>19.282999999999998</v>
      </c>
      <c r="Z6" s="76">
        <f t="shared" si="1"/>
        <v>19.282999999999998</v>
      </c>
      <c r="AA6" s="76">
        <f t="shared" si="1"/>
        <v>19.282999999999998</v>
      </c>
      <c r="AB6" s="76">
        <f t="shared" si="1"/>
        <v>19.282999999999998</v>
      </c>
      <c r="AC6" s="76">
        <f t="shared" si="1"/>
        <v>19.282999999999998</v>
      </c>
      <c r="AD6" s="76">
        <f t="shared" si="1"/>
        <v>19.282999999999998</v>
      </c>
      <c r="AE6" s="76">
        <f t="shared" si="1"/>
        <v>19.282999999999998</v>
      </c>
      <c r="AF6" s="76">
        <f t="shared" si="1"/>
        <v>19.282999999999998</v>
      </c>
      <c r="AG6" s="76">
        <f t="shared" si="1"/>
        <v>19.282999999999998</v>
      </c>
      <c r="AH6" s="76">
        <f t="shared" si="1"/>
        <v>19.282999999999998</v>
      </c>
      <c r="AI6" s="76">
        <f t="shared" si="1"/>
        <v>19.282999999999998</v>
      </c>
      <c r="AJ6" s="76">
        <f t="shared" si="1"/>
        <v>19.282999999999998</v>
      </c>
      <c r="AK6" s="76">
        <f t="shared" si="1"/>
        <v>19.282999999999998</v>
      </c>
      <c r="AL6" s="76">
        <f t="shared" si="1"/>
        <v>19.282999999999998</v>
      </c>
      <c r="AM6" s="76">
        <f t="shared" si="1"/>
        <v>19.282999999999998</v>
      </c>
      <c r="AN6" s="76">
        <f t="shared" si="1"/>
        <v>19.282999999999998</v>
      </c>
      <c r="AO6" s="76">
        <f t="shared" si="1"/>
        <v>19.282999999999998</v>
      </c>
    </row>
    <row r="7" spans="1:44" x14ac:dyDescent="0.2">
      <c r="A7" s="75" t="s">
        <v>74</v>
      </c>
      <c r="B7" s="100">
        <v>25.5825</v>
      </c>
      <c r="C7" s="100">
        <v>26.11</v>
      </c>
      <c r="D7" s="100">
        <v>26.475499999999997</v>
      </c>
      <c r="E7" s="100">
        <v>26.323</v>
      </c>
      <c r="F7" s="100">
        <v>26.445</v>
      </c>
      <c r="G7" s="100">
        <v>26.630499999999998</v>
      </c>
      <c r="H7" s="100">
        <v>26.741</v>
      </c>
      <c r="I7" s="100">
        <v>26.785999999999998</v>
      </c>
      <c r="J7" s="100">
        <v>26.879999999999995</v>
      </c>
      <c r="K7" s="100">
        <v>27.1005</v>
      </c>
      <c r="L7" s="100">
        <v>27.481000000000002</v>
      </c>
      <c r="M7" s="100">
        <v>27.642499999999998</v>
      </c>
      <c r="N7" s="100">
        <v>27.72</v>
      </c>
      <c r="O7" s="76">
        <v>27.905499999999996</v>
      </c>
      <c r="P7" s="76">
        <f t="shared" si="2"/>
        <v>27.905499999999996</v>
      </c>
      <c r="Q7" s="76">
        <f t="shared" si="1"/>
        <v>27.905499999999996</v>
      </c>
      <c r="R7" s="76">
        <f t="shared" si="1"/>
        <v>27.905499999999996</v>
      </c>
      <c r="S7" s="76">
        <f t="shared" si="1"/>
        <v>27.905499999999996</v>
      </c>
      <c r="T7" s="76">
        <f t="shared" si="1"/>
        <v>27.905499999999996</v>
      </c>
      <c r="U7" s="76">
        <f t="shared" si="1"/>
        <v>27.905499999999996</v>
      </c>
      <c r="V7" s="76">
        <f t="shared" si="1"/>
        <v>27.905499999999996</v>
      </c>
      <c r="W7" s="76">
        <f t="shared" si="1"/>
        <v>27.905499999999996</v>
      </c>
      <c r="X7" s="76">
        <f t="shared" si="1"/>
        <v>27.905499999999996</v>
      </c>
      <c r="Y7" s="76">
        <f t="shared" si="1"/>
        <v>27.905499999999996</v>
      </c>
      <c r="Z7" s="76">
        <f t="shared" si="1"/>
        <v>27.905499999999996</v>
      </c>
      <c r="AA7" s="76">
        <f t="shared" si="1"/>
        <v>27.905499999999996</v>
      </c>
      <c r="AB7" s="76">
        <f t="shared" si="1"/>
        <v>27.905499999999996</v>
      </c>
      <c r="AC7" s="76">
        <f t="shared" si="1"/>
        <v>27.905499999999996</v>
      </c>
      <c r="AD7" s="76">
        <f t="shared" si="1"/>
        <v>27.905499999999996</v>
      </c>
      <c r="AE7" s="76">
        <f t="shared" si="1"/>
        <v>27.905499999999996</v>
      </c>
      <c r="AF7" s="76">
        <f t="shared" si="1"/>
        <v>27.905499999999996</v>
      </c>
      <c r="AG7" s="76">
        <f t="shared" si="1"/>
        <v>27.905499999999996</v>
      </c>
      <c r="AH7" s="76">
        <f t="shared" si="1"/>
        <v>27.905499999999996</v>
      </c>
      <c r="AI7" s="76">
        <f t="shared" si="1"/>
        <v>27.905499999999996</v>
      </c>
      <c r="AJ7" s="76">
        <f t="shared" si="1"/>
        <v>27.905499999999996</v>
      </c>
      <c r="AK7" s="76">
        <f t="shared" si="1"/>
        <v>27.905499999999996</v>
      </c>
      <c r="AL7" s="76">
        <f t="shared" si="1"/>
        <v>27.905499999999996</v>
      </c>
      <c r="AM7" s="76">
        <f t="shared" si="1"/>
        <v>27.905499999999996</v>
      </c>
      <c r="AN7" s="76">
        <f t="shared" si="1"/>
        <v>27.905499999999996</v>
      </c>
      <c r="AO7" s="76">
        <f t="shared" si="1"/>
        <v>27.905499999999996</v>
      </c>
    </row>
    <row r="8" spans="1:44" x14ac:dyDescent="0.2">
      <c r="A8" s="75" t="s">
        <v>78</v>
      </c>
      <c r="B8" s="100">
        <v>27.642499999999998</v>
      </c>
      <c r="C8" s="100">
        <v>28.267499999999998</v>
      </c>
      <c r="D8" s="100">
        <v>28.906499999999998</v>
      </c>
      <c r="E8" s="100">
        <v>28.791499999999999</v>
      </c>
      <c r="F8" s="100">
        <v>28.954000000000001</v>
      </c>
      <c r="G8" s="100">
        <v>29.279499999999999</v>
      </c>
      <c r="H8" s="100">
        <v>29.526499999999999</v>
      </c>
      <c r="I8" s="100">
        <v>29.765499999999996</v>
      </c>
      <c r="J8" s="100">
        <v>30.061499999999995</v>
      </c>
      <c r="K8" s="100">
        <v>30.479999999999997</v>
      </c>
      <c r="L8" s="100">
        <v>31.110999999999997</v>
      </c>
      <c r="M8" s="100">
        <v>31.426499999999997</v>
      </c>
      <c r="N8" s="100">
        <v>31.521000000000001</v>
      </c>
      <c r="O8" s="76">
        <v>31.762999999999998</v>
      </c>
      <c r="P8" s="76">
        <f t="shared" si="2"/>
        <v>31.762999999999998</v>
      </c>
      <c r="Q8" s="76">
        <f t="shared" si="1"/>
        <v>31.762999999999998</v>
      </c>
      <c r="R8" s="76">
        <f t="shared" si="1"/>
        <v>31.762999999999998</v>
      </c>
      <c r="S8" s="76">
        <f t="shared" si="1"/>
        <v>31.762999999999998</v>
      </c>
      <c r="T8" s="76">
        <f t="shared" si="1"/>
        <v>31.762999999999998</v>
      </c>
      <c r="U8" s="76">
        <f t="shared" si="1"/>
        <v>31.762999999999998</v>
      </c>
      <c r="V8" s="76">
        <f t="shared" si="1"/>
        <v>31.762999999999998</v>
      </c>
      <c r="W8" s="76">
        <f t="shared" si="1"/>
        <v>31.762999999999998</v>
      </c>
      <c r="X8" s="76">
        <f t="shared" si="1"/>
        <v>31.762999999999998</v>
      </c>
      <c r="Y8" s="76">
        <f t="shared" si="1"/>
        <v>31.762999999999998</v>
      </c>
      <c r="Z8" s="76">
        <f t="shared" si="1"/>
        <v>31.762999999999998</v>
      </c>
      <c r="AA8" s="76">
        <f t="shared" si="1"/>
        <v>31.762999999999998</v>
      </c>
      <c r="AB8" s="76">
        <f t="shared" si="1"/>
        <v>31.762999999999998</v>
      </c>
      <c r="AC8" s="76">
        <f t="shared" si="1"/>
        <v>31.762999999999998</v>
      </c>
      <c r="AD8" s="76">
        <f t="shared" si="1"/>
        <v>31.762999999999998</v>
      </c>
      <c r="AE8" s="76">
        <f t="shared" si="1"/>
        <v>31.762999999999998</v>
      </c>
      <c r="AF8" s="76">
        <f t="shared" si="1"/>
        <v>31.762999999999998</v>
      </c>
      <c r="AG8" s="76">
        <f t="shared" si="1"/>
        <v>31.762999999999998</v>
      </c>
      <c r="AH8" s="76">
        <f t="shared" si="1"/>
        <v>31.762999999999998</v>
      </c>
      <c r="AI8" s="76">
        <f t="shared" si="1"/>
        <v>31.762999999999998</v>
      </c>
      <c r="AJ8" s="76">
        <f t="shared" si="1"/>
        <v>31.762999999999998</v>
      </c>
      <c r="AK8" s="76">
        <f t="shared" si="1"/>
        <v>31.762999999999998</v>
      </c>
      <c r="AL8" s="76">
        <f t="shared" si="1"/>
        <v>31.762999999999998</v>
      </c>
      <c r="AM8" s="76">
        <f t="shared" si="1"/>
        <v>31.762999999999998</v>
      </c>
      <c r="AN8" s="76">
        <f t="shared" si="1"/>
        <v>31.762999999999998</v>
      </c>
      <c r="AO8" s="76">
        <f t="shared" si="1"/>
        <v>31.762999999999998</v>
      </c>
    </row>
    <row r="9" spans="1:44" s="45" customFormat="1" x14ac:dyDescent="0.2">
      <c r="A9" s="75" t="s">
        <v>72</v>
      </c>
      <c r="B9" s="100">
        <f>SUMIFS(B$14:B$77,$A$14:$A$77,$A9)*'ZSS Data'!$I$3</f>
        <v>0</v>
      </c>
      <c r="C9" s="100">
        <f>SUMIFS(C$14:C$77,$A$14:$A$77,$A9)*'ZSS Data'!$I$3</f>
        <v>0</v>
      </c>
      <c r="D9" s="100">
        <f>SUMIFS(D$14:D$77,$A$14:$A$77,$A9)*'ZSS Data'!$I$3</f>
        <v>0</v>
      </c>
      <c r="E9" s="100">
        <f>SUMIFS(E$14:E$77,$A$14:$A$77,$A9)*'ZSS Data'!$I$3</f>
        <v>0</v>
      </c>
      <c r="F9" s="100">
        <f>SUMIFS(F$14:F$77,$A$14:$A$77,$A9)*'ZSS Data'!$I$3</f>
        <v>0</v>
      </c>
      <c r="G9" s="100">
        <f>SUMIFS(G$14:G$77,$A$14:$A$77,$A9)*'ZSS Data'!$I$3</f>
        <v>0</v>
      </c>
      <c r="H9" s="100">
        <f>SUMIFS(H$14:H$77,$A$14:$A$77,$A9)*'ZSS Data'!$I$3</f>
        <v>0</v>
      </c>
      <c r="I9" s="100">
        <f>SUMIFS(I$14:I$77,$A$14:$A$77,$A9)*'ZSS Data'!$I$3</f>
        <v>0</v>
      </c>
      <c r="J9" s="100">
        <f>SUMIFS(J$14:J$77,$A$14:$A$77,$A9)*'ZSS Data'!$I$3</f>
        <v>0</v>
      </c>
      <c r="K9" s="100">
        <f>SUMIFS(K$14:K$77,$A$14:$A$77,$A9)*'ZSS Data'!$I$3</f>
        <v>0</v>
      </c>
      <c r="L9" s="100">
        <f>SUMIFS(L$14:L$77,$A$14:$A$77,$A9)*'ZSS Data'!$I$3</f>
        <v>0</v>
      </c>
      <c r="M9" s="100">
        <f>SUMIFS(M$14:M$77,$A$14:$A$77,$A9)*'ZSS Data'!$I$3</f>
        <v>0</v>
      </c>
      <c r="N9" s="100">
        <f t="shared" ref="N9" si="3">M9</f>
        <v>0</v>
      </c>
      <c r="O9" s="76">
        <f t="shared" ref="O9" si="4">N9</f>
        <v>0</v>
      </c>
      <c r="P9" s="76">
        <f t="shared" si="2"/>
        <v>0</v>
      </c>
      <c r="Q9" s="76">
        <f t="shared" si="1"/>
        <v>0</v>
      </c>
      <c r="R9" s="76">
        <f t="shared" si="1"/>
        <v>0</v>
      </c>
      <c r="S9" s="76">
        <f t="shared" si="1"/>
        <v>0</v>
      </c>
      <c r="T9" s="76">
        <f t="shared" si="1"/>
        <v>0</v>
      </c>
      <c r="U9" s="76">
        <f t="shared" si="1"/>
        <v>0</v>
      </c>
      <c r="V9" s="76">
        <f t="shared" si="1"/>
        <v>0</v>
      </c>
      <c r="W9" s="76">
        <f t="shared" si="1"/>
        <v>0</v>
      </c>
      <c r="X9" s="76">
        <f t="shared" si="1"/>
        <v>0</v>
      </c>
      <c r="Y9" s="76">
        <f t="shared" si="1"/>
        <v>0</v>
      </c>
      <c r="Z9" s="76">
        <f t="shared" si="1"/>
        <v>0</v>
      </c>
      <c r="AA9" s="76">
        <f t="shared" si="1"/>
        <v>0</v>
      </c>
      <c r="AB9" s="76">
        <f t="shared" si="1"/>
        <v>0</v>
      </c>
      <c r="AC9" s="76">
        <f t="shared" si="1"/>
        <v>0</v>
      </c>
      <c r="AD9" s="76">
        <f t="shared" si="1"/>
        <v>0</v>
      </c>
      <c r="AE9" s="76">
        <f t="shared" si="1"/>
        <v>0</v>
      </c>
      <c r="AF9" s="76">
        <f t="shared" si="1"/>
        <v>0</v>
      </c>
      <c r="AG9" s="76">
        <f t="shared" si="1"/>
        <v>0</v>
      </c>
      <c r="AH9" s="76">
        <f t="shared" si="1"/>
        <v>0</v>
      </c>
      <c r="AI9" s="76">
        <f t="shared" si="1"/>
        <v>0</v>
      </c>
      <c r="AJ9" s="76">
        <f t="shared" si="1"/>
        <v>0</v>
      </c>
      <c r="AK9" s="76">
        <f t="shared" si="1"/>
        <v>0</v>
      </c>
      <c r="AL9" s="76">
        <f t="shared" si="1"/>
        <v>0</v>
      </c>
      <c r="AM9" s="76">
        <f t="shared" si="1"/>
        <v>0</v>
      </c>
      <c r="AN9" s="76">
        <f t="shared" si="1"/>
        <v>0</v>
      </c>
      <c r="AO9" s="76">
        <f t="shared" si="1"/>
        <v>0</v>
      </c>
    </row>
    <row r="10" spans="1:44" x14ac:dyDescent="0.2">
      <c r="A10" s="75" t="s">
        <v>80</v>
      </c>
      <c r="B10" s="100">
        <v>17.072999999999997</v>
      </c>
      <c r="C10" s="100">
        <v>17.486499999999999</v>
      </c>
      <c r="D10" s="100">
        <v>18.097999999999999</v>
      </c>
      <c r="E10" s="100">
        <v>17.952500000000001</v>
      </c>
      <c r="F10" s="100">
        <v>17.8675</v>
      </c>
      <c r="G10" s="100">
        <v>17.9025</v>
      </c>
      <c r="H10" s="100">
        <v>17.999499999999998</v>
      </c>
      <c r="I10" s="100">
        <v>18.072499999999998</v>
      </c>
      <c r="J10" s="100">
        <v>18.109500000000001</v>
      </c>
      <c r="K10" s="100">
        <v>18.291</v>
      </c>
      <c r="L10" s="100">
        <v>18.542499999999997</v>
      </c>
      <c r="M10" s="100">
        <v>18.7075</v>
      </c>
      <c r="N10" s="100">
        <v>18.828499999999998</v>
      </c>
      <c r="O10" s="76">
        <v>19.0185</v>
      </c>
      <c r="P10" s="76">
        <f t="shared" si="2"/>
        <v>19.0185</v>
      </c>
      <c r="Q10" s="76">
        <f t="shared" si="1"/>
        <v>19.0185</v>
      </c>
      <c r="R10" s="76">
        <f t="shared" si="1"/>
        <v>19.0185</v>
      </c>
      <c r="S10" s="76">
        <f t="shared" si="1"/>
        <v>19.0185</v>
      </c>
      <c r="T10" s="76">
        <f t="shared" si="1"/>
        <v>19.0185</v>
      </c>
      <c r="U10" s="76">
        <f t="shared" si="1"/>
        <v>19.0185</v>
      </c>
      <c r="V10" s="76">
        <f t="shared" si="1"/>
        <v>19.0185</v>
      </c>
      <c r="W10" s="76">
        <f t="shared" si="1"/>
        <v>19.0185</v>
      </c>
      <c r="X10" s="76">
        <f t="shared" si="1"/>
        <v>19.0185</v>
      </c>
      <c r="Y10" s="76">
        <f t="shared" si="1"/>
        <v>19.0185</v>
      </c>
      <c r="Z10" s="76">
        <f t="shared" si="1"/>
        <v>19.0185</v>
      </c>
      <c r="AA10" s="76">
        <f t="shared" si="1"/>
        <v>19.0185</v>
      </c>
      <c r="AB10" s="76">
        <f t="shared" si="1"/>
        <v>19.0185</v>
      </c>
      <c r="AC10" s="76">
        <f t="shared" si="1"/>
        <v>19.0185</v>
      </c>
      <c r="AD10" s="76">
        <f t="shared" si="1"/>
        <v>19.0185</v>
      </c>
      <c r="AE10" s="76">
        <f t="shared" si="1"/>
        <v>19.0185</v>
      </c>
      <c r="AF10" s="76">
        <f t="shared" si="1"/>
        <v>19.0185</v>
      </c>
      <c r="AG10" s="76">
        <f t="shared" si="1"/>
        <v>19.0185</v>
      </c>
      <c r="AH10" s="76">
        <f t="shared" si="1"/>
        <v>19.0185</v>
      </c>
      <c r="AI10" s="76">
        <f t="shared" si="1"/>
        <v>19.0185</v>
      </c>
      <c r="AJ10" s="76">
        <f t="shared" si="1"/>
        <v>19.0185</v>
      </c>
      <c r="AK10" s="76">
        <f t="shared" si="1"/>
        <v>19.0185</v>
      </c>
      <c r="AL10" s="76">
        <f t="shared" si="1"/>
        <v>19.0185</v>
      </c>
      <c r="AM10" s="76">
        <f t="shared" si="1"/>
        <v>19.0185</v>
      </c>
      <c r="AN10" s="76">
        <f t="shared" si="1"/>
        <v>19.0185</v>
      </c>
      <c r="AO10" s="76">
        <f t="shared" si="1"/>
        <v>19.0185</v>
      </c>
    </row>
    <row r="12" spans="1:44" ht="15" hidden="1" x14ac:dyDescent="0.25">
      <c r="A12" s="106" t="s">
        <v>149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44" ht="15" hidden="1" x14ac:dyDescent="0.25">
      <c r="A13" s="46"/>
      <c r="B13" s="39" t="s">
        <v>117</v>
      </c>
      <c r="C13" s="39" t="s">
        <v>118</v>
      </c>
      <c r="D13" s="39" t="s">
        <v>119</v>
      </c>
      <c r="E13" s="39" t="s">
        <v>120</v>
      </c>
      <c r="F13" s="39" t="s">
        <v>121</v>
      </c>
      <c r="G13" s="39" t="s">
        <v>122</v>
      </c>
      <c r="H13" s="39" t="s">
        <v>123</v>
      </c>
      <c r="I13" s="39" t="s">
        <v>124</v>
      </c>
      <c r="J13" s="39" t="s">
        <v>125</v>
      </c>
      <c r="K13" s="39" t="s">
        <v>126</v>
      </c>
      <c r="L13" s="39" t="s">
        <v>127</v>
      </c>
      <c r="M13" s="39" t="s">
        <v>128</v>
      </c>
      <c r="N13" s="39" t="s">
        <v>133</v>
      </c>
      <c r="O13" s="39" t="s">
        <v>134</v>
      </c>
      <c r="P13" s="39" t="s">
        <v>135</v>
      </c>
      <c r="Q13" s="39" t="s">
        <v>136</v>
      </c>
      <c r="R13" s="39" t="s">
        <v>137</v>
      </c>
      <c r="S13" s="39" t="s">
        <v>138</v>
      </c>
      <c r="T13" s="39" t="s">
        <v>139</v>
      </c>
      <c r="U13" s="39" t="s">
        <v>140</v>
      </c>
      <c r="V13" s="39" t="s">
        <v>141</v>
      </c>
      <c r="W13" s="39" t="s">
        <v>142</v>
      </c>
      <c r="X13" s="39" t="s">
        <v>143</v>
      </c>
      <c r="Y13" s="39" t="s">
        <v>144</v>
      </c>
      <c r="Z13" s="39" t="s">
        <v>145</v>
      </c>
      <c r="AA13" s="39" t="s">
        <v>146</v>
      </c>
      <c r="AB13" s="39" t="s">
        <v>147</v>
      </c>
      <c r="AC13" s="39" t="s">
        <v>148</v>
      </c>
    </row>
    <row r="14" spans="1:44" ht="15" hidden="1" x14ac:dyDescent="0.25">
      <c r="A14" s="46" t="s">
        <v>63</v>
      </c>
      <c r="B14" s="46">
        <v>9.5569103684421304</v>
      </c>
      <c r="C14" s="46">
        <v>9.8988429357313148</v>
      </c>
      <c r="D14" s="46">
        <v>10.159802514693123</v>
      </c>
      <c r="E14" s="46">
        <v>10.155187473907624</v>
      </c>
      <c r="F14" s="46">
        <v>10.216441651606056</v>
      </c>
      <c r="G14" s="46">
        <v>10.311259762289927</v>
      </c>
      <c r="H14" s="46">
        <v>10.411112462921617</v>
      </c>
      <c r="I14" s="46">
        <v>10.492505000411311</v>
      </c>
      <c r="J14" s="46">
        <v>10.589420856906772</v>
      </c>
      <c r="K14" s="46">
        <v>10.73416531790649</v>
      </c>
      <c r="L14" s="46">
        <v>10.930094776709003</v>
      </c>
      <c r="M14" s="46">
        <v>11.026171534879831</v>
      </c>
      <c r="N14" s="46">
        <v>11.07693698352031</v>
      </c>
      <c r="O14" s="46">
        <v>11.207416773001215</v>
      </c>
      <c r="P14" s="35">
        <v>11.382788322850145</v>
      </c>
      <c r="Q14" s="35">
        <v>11.642489254325</v>
      </c>
      <c r="R14" s="35">
        <v>11.892121005904219</v>
      </c>
      <c r="S14" s="35">
        <v>11.99784739480836</v>
      </c>
      <c r="T14" s="35">
        <v>12.124970790990719</v>
      </c>
      <c r="U14" s="35">
        <v>12.279364882723751</v>
      </c>
      <c r="V14" s="35">
        <v>12.439213113566915</v>
      </c>
      <c r="W14" s="35">
        <v>12.67080425116646</v>
      </c>
      <c r="X14" s="35">
        <v>12.871348750754475</v>
      </c>
      <c r="Y14" s="35">
        <v>12.915820961960183</v>
      </c>
      <c r="Z14" s="35">
        <v>13.091192511809115</v>
      </c>
      <c r="AA14" s="35">
        <v>13.256075332600094</v>
      </c>
      <c r="AB14" s="35">
        <v>13.548081549573434</v>
      </c>
      <c r="AC14" s="35">
        <v>13.860226126338043</v>
      </c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</row>
    <row r="15" spans="1:44" hidden="1" x14ac:dyDescent="0.2">
      <c r="A15" s="46" t="s">
        <v>79</v>
      </c>
      <c r="B15" s="46">
        <v>8.758088763388626</v>
      </c>
      <c r="C15" s="46">
        <v>9.1772183765443245</v>
      </c>
      <c r="D15" s="46">
        <v>9.3823779169178358</v>
      </c>
      <c r="E15" s="46">
        <v>9.3282560749788104</v>
      </c>
      <c r="F15" s="46">
        <v>9.3546876722048466</v>
      </c>
      <c r="G15" s="46">
        <v>9.4348215622075866</v>
      </c>
      <c r="H15" s="46">
        <v>9.5262832795929153</v>
      </c>
      <c r="I15" s="46">
        <v>9.5850201623174378</v>
      </c>
      <c r="J15" s="46">
        <v>9.6504698316390485</v>
      </c>
      <c r="K15" s="46">
        <v>9.7872428585547215</v>
      </c>
      <c r="L15" s="46">
        <v>9.9563211709688861</v>
      </c>
      <c r="M15" s="46">
        <v>10.03309866767308</v>
      </c>
      <c r="N15" s="46">
        <v>10.038552806783215</v>
      </c>
      <c r="O15" s="46">
        <v>10.079249075528065</v>
      </c>
      <c r="P15" s="35">
        <v>10.205113824223469</v>
      </c>
      <c r="Q15" s="35">
        <v>10.379226726585447</v>
      </c>
      <c r="R15" s="35">
        <v>10.510545614390987</v>
      </c>
      <c r="S15" s="35">
        <v>10.617530650782081</v>
      </c>
      <c r="T15" s="35">
        <v>10.73836080952967</v>
      </c>
      <c r="U15" s="35">
        <v>10.843667649271492</v>
      </c>
      <c r="V15" s="35">
        <v>10.943520349903181</v>
      </c>
      <c r="W15" s="35">
        <v>11.038338460587052</v>
      </c>
      <c r="X15" s="35">
        <v>11.161685914308549</v>
      </c>
      <c r="Y15" s="35">
        <v>11.273285991485142</v>
      </c>
      <c r="Z15" s="35">
        <v>11.421806394945721</v>
      </c>
      <c r="AA15" s="35">
        <v>11.569487700081662</v>
      </c>
      <c r="AB15" s="35">
        <v>11.643328352649636</v>
      </c>
      <c r="AC15" s="35">
        <v>11.762060765585632</v>
      </c>
    </row>
    <row r="16" spans="1:44" hidden="1" x14ac:dyDescent="0.2">
      <c r="A16" s="46" t="s">
        <v>81</v>
      </c>
      <c r="B16" s="46">
        <v>16.600301705437019</v>
      </c>
      <c r="C16" s="46">
        <v>17.030339596812986</v>
      </c>
      <c r="D16" s="46">
        <v>17.257315693627032</v>
      </c>
      <c r="E16" s="46">
        <v>17.201935204201053</v>
      </c>
      <c r="F16" s="46">
        <v>17.420100768606424</v>
      </c>
      <c r="G16" s="46">
        <v>17.717561124689901</v>
      </c>
      <c r="H16" s="46">
        <v>17.97977935113866</v>
      </c>
      <c r="I16" s="46">
        <v>18.166478728370176</v>
      </c>
      <c r="J16" s="46">
        <v>18.371638268743688</v>
      </c>
      <c r="K16" s="46">
        <v>18.693852025403924</v>
      </c>
      <c r="L16" s="46">
        <v>19.131022252539299</v>
      </c>
      <c r="M16" s="46">
        <v>19.362613390138847</v>
      </c>
      <c r="N16" s="46">
        <v>19.484702196373391</v>
      </c>
      <c r="O16" s="46">
        <v>19.625251165749926</v>
      </c>
      <c r="P16" s="35">
        <v>19.99445442858978</v>
      </c>
      <c r="Q16" s="35">
        <v>20.526862315571346</v>
      </c>
      <c r="R16" s="35">
        <v>21.058011555065956</v>
      </c>
      <c r="S16" s="35">
        <v>21.431829858691309</v>
      </c>
      <c r="T16" s="35">
        <v>21.663420996290853</v>
      </c>
      <c r="U16" s="35">
        <v>21.989410695411962</v>
      </c>
      <c r="V16" s="35">
        <v>22.280577814060663</v>
      </c>
      <c r="W16" s="35">
        <v>22.715230746222126</v>
      </c>
      <c r="X16" s="35">
        <v>23.331128916504976</v>
      </c>
      <c r="Y16" s="35">
        <v>23.613065953582687</v>
      </c>
      <c r="Z16" s="35">
        <v>23.91094585882848</v>
      </c>
      <c r="AA16" s="35">
        <v>24.241131049572758</v>
      </c>
      <c r="AB16" s="35">
        <v>24.653967425293686</v>
      </c>
      <c r="AC16" s="35">
        <v>25.391534852648768</v>
      </c>
    </row>
    <row r="17" spans="1:29" hidden="1" x14ac:dyDescent="0.2">
      <c r="A17" s="46" t="s">
        <v>76</v>
      </c>
      <c r="B17" s="46">
        <v>14.187894022108415</v>
      </c>
      <c r="C17" s="46">
        <v>14.535280728507731</v>
      </c>
      <c r="D17" s="46">
        <v>14.974129152292381</v>
      </c>
      <c r="E17" s="46">
        <v>14.970772758993835</v>
      </c>
      <c r="F17" s="46">
        <v>15.118454064129779</v>
      </c>
      <c r="G17" s="46">
        <v>15.296342908952616</v>
      </c>
      <c r="H17" s="46">
        <v>15.433535485030607</v>
      </c>
      <c r="I17" s="46">
        <v>15.542198718070974</v>
      </c>
      <c r="J17" s="46">
        <v>15.645827361163526</v>
      </c>
      <c r="K17" s="46">
        <v>15.81868161603855</v>
      </c>
      <c r="L17" s="46">
        <v>16.070830662591678</v>
      </c>
      <c r="M17" s="46">
        <v>16.177396149820453</v>
      </c>
      <c r="N17" s="46">
        <v>16.209281886156624</v>
      </c>
      <c r="O17" s="46">
        <v>16.296128562756454</v>
      </c>
      <c r="P17" s="35">
        <v>16.452620400301075</v>
      </c>
      <c r="Q17" s="35">
        <v>16.740011576488918</v>
      </c>
      <c r="R17" s="35">
        <v>17.005586196236223</v>
      </c>
      <c r="S17" s="35">
        <v>17.086978733725918</v>
      </c>
      <c r="T17" s="35">
        <v>17.192705122630059</v>
      </c>
      <c r="U17" s="35">
        <v>17.28710368415161</v>
      </c>
      <c r="V17" s="35">
        <v>17.416744375307879</v>
      </c>
      <c r="W17" s="35">
        <v>17.694905469924723</v>
      </c>
      <c r="X17" s="35">
        <v>17.823287513594039</v>
      </c>
      <c r="Y17" s="35">
        <v>17.875311609721471</v>
      </c>
      <c r="Z17" s="35">
        <v>18.011665087474828</v>
      </c>
      <c r="AA17" s="35">
        <v>18.135432090358645</v>
      </c>
      <c r="AB17" s="35">
        <v>18.565050432572296</v>
      </c>
      <c r="AC17" s="35">
        <v>18.844050625513777</v>
      </c>
    </row>
    <row r="18" spans="1:29" hidden="1" x14ac:dyDescent="0.2">
      <c r="A18" s="46" t="s">
        <v>74</v>
      </c>
      <c r="B18" s="46">
        <v>20.744608330814401</v>
      </c>
      <c r="C18" s="46">
        <v>21.202756016065671</v>
      </c>
      <c r="D18" s="46">
        <v>21.523711125238954</v>
      </c>
      <c r="E18" s="46">
        <v>21.324425273137898</v>
      </c>
      <c r="F18" s="46">
        <v>21.438962194450717</v>
      </c>
      <c r="G18" s="46">
        <v>21.594195384508385</v>
      </c>
      <c r="H18" s="46">
        <v>21.767049639383405</v>
      </c>
      <c r="I18" s="46">
        <v>21.856413610957144</v>
      </c>
      <c r="J18" s="46">
        <v>22.002836268606131</v>
      </c>
      <c r="K18" s="46">
        <v>22.211352202278189</v>
      </c>
      <c r="L18" s="46">
        <v>22.499162927628348</v>
      </c>
      <c r="M18" s="46">
        <v>22.659430707633831</v>
      </c>
      <c r="N18" s="46">
        <v>22.789910497114732</v>
      </c>
      <c r="O18" s="46">
        <v>23.091985893983708</v>
      </c>
      <c r="P18" s="35">
        <v>23.45363727190184</v>
      </c>
      <c r="Q18" s="35">
        <v>23.880318769979265</v>
      </c>
      <c r="R18" s="35">
        <v>24.324201783711725</v>
      </c>
      <c r="S18" s="35">
        <v>24.591874149270623</v>
      </c>
      <c r="T18" s="35">
        <v>25.043728597087124</v>
      </c>
      <c r="U18" s="35">
        <v>25.363425058773455</v>
      </c>
      <c r="V18" s="35">
        <v>25.550124436004971</v>
      </c>
      <c r="W18" s="35">
        <v>25.9256209362796</v>
      </c>
      <c r="X18" s="35">
        <v>26.204621129221085</v>
      </c>
      <c r="Y18" s="35">
        <v>26.572565744573986</v>
      </c>
      <c r="Z18" s="35">
        <v>26.983723923645638</v>
      </c>
      <c r="AA18" s="35">
        <v>27.343277555752188</v>
      </c>
      <c r="AB18" s="35">
        <v>27.4716595994215</v>
      </c>
      <c r="AC18" s="35">
        <v>28.01329756797406</v>
      </c>
    </row>
    <row r="19" spans="1:29" hidden="1" x14ac:dyDescent="0.2">
      <c r="A19" s="46" t="s">
        <v>78</v>
      </c>
      <c r="B19" s="46">
        <v>23.611387756933411</v>
      </c>
      <c r="C19" s="46">
        <v>24.157640766271474</v>
      </c>
      <c r="D19" s="46">
        <v>24.719836643777619</v>
      </c>
      <c r="E19" s="46">
        <v>24.417761246908647</v>
      </c>
      <c r="F19" s="46">
        <v>24.317488997114641</v>
      </c>
      <c r="G19" s="46">
        <v>24.475239482146215</v>
      </c>
      <c r="H19" s="46">
        <v>24.656065171105279</v>
      </c>
      <c r="I19" s="46">
        <v>24.772699838229688</v>
      </c>
      <c r="J19" s="46">
        <v>24.939680404832259</v>
      </c>
      <c r="K19" s="46">
        <v>25.237140760915736</v>
      </c>
      <c r="L19" s="46">
        <v>25.631936522656989</v>
      </c>
      <c r="M19" s="46">
        <v>25.878631430099979</v>
      </c>
      <c r="N19" s="46">
        <v>25.973869089946177</v>
      </c>
      <c r="O19" s="46">
        <v>26.249093340426793</v>
      </c>
      <c r="P19" s="35">
        <v>26.621652996565192</v>
      </c>
      <c r="Q19" s="35">
        <v>27.10077813993237</v>
      </c>
      <c r="R19" s="35">
        <v>27.54466115366483</v>
      </c>
      <c r="S19" s="35">
        <v>27.86435761535116</v>
      </c>
      <c r="T19" s="35">
        <v>28.10056379373621</v>
      </c>
      <c r="U19" s="35">
        <v>28.48529037558183</v>
      </c>
      <c r="V19" s="35">
        <v>28.840228966902874</v>
      </c>
      <c r="W19" s="35">
        <v>29.238800671104993</v>
      </c>
      <c r="X19" s="35">
        <v>29.761978476515559</v>
      </c>
      <c r="Y19" s="35">
        <v>29.974270352648478</v>
      </c>
      <c r="Z19" s="35">
        <v>30.323335255697067</v>
      </c>
      <c r="AA19" s="35">
        <v>30.731137041470177</v>
      </c>
      <c r="AB19" s="35">
        <v>31.152783949599783</v>
      </c>
      <c r="AC19" s="35">
        <v>31.850913755696972</v>
      </c>
    </row>
    <row r="20" spans="1:29" hidden="1" x14ac:dyDescent="0.2">
      <c r="A20" s="46" t="s">
        <v>80</v>
      </c>
      <c r="B20" s="46">
        <v>14.427456593792002</v>
      </c>
      <c r="C20" s="46">
        <v>14.751768096263831</v>
      </c>
      <c r="D20" s="46">
        <v>15.25522709104545</v>
      </c>
      <c r="E20" s="46">
        <v>15.33578053021051</v>
      </c>
      <c r="F20" s="46">
        <v>15.394517412935032</v>
      </c>
      <c r="G20" s="46">
        <v>15.56863031529701</v>
      </c>
      <c r="H20" s="46">
        <v>15.746938709282169</v>
      </c>
      <c r="I20" s="46">
        <v>15.888326776983339</v>
      </c>
      <c r="J20" s="46">
        <v>16.032651688820739</v>
      </c>
      <c r="K20" s="46">
        <v>16.205086394533446</v>
      </c>
      <c r="L20" s="46">
        <v>16.461850481872069</v>
      </c>
      <c r="M20" s="46">
        <v>16.661975432297766</v>
      </c>
      <c r="N20" s="46">
        <v>16.81720862235543</v>
      </c>
      <c r="O20" s="46">
        <v>17.059708038175245</v>
      </c>
      <c r="P20" s="35">
        <v>17.258154791951672</v>
      </c>
      <c r="Q20" s="35">
        <v>17.50988428934248</v>
      </c>
      <c r="R20" s="35">
        <v>17.763711532544878</v>
      </c>
      <c r="S20" s="35">
        <v>17.997819965118335</v>
      </c>
      <c r="T20" s="35">
        <v>18.278917903871406</v>
      </c>
      <c r="U20" s="35">
        <v>18.513865434769496</v>
      </c>
      <c r="V20" s="35">
        <v>18.661966289067756</v>
      </c>
      <c r="W20" s="35">
        <v>18.862510788655772</v>
      </c>
      <c r="X20" s="35">
        <v>19.155775653116063</v>
      </c>
      <c r="Y20" s="35">
        <v>19.383590848254745</v>
      </c>
      <c r="Z20" s="35">
        <v>19.640354935593372</v>
      </c>
      <c r="AA20" s="35">
        <v>19.777967060833685</v>
      </c>
      <c r="AB20" s="35">
        <v>19.919774677697177</v>
      </c>
      <c r="AC20" s="35">
        <v>20.238212491896551</v>
      </c>
    </row>
    <row r="21" spans="1:29" s="45" customFormat="1" ht="15" x14ac:dyDescent="0.25">
      <c r="P21" s="82"/>
    </row>
    <row r="22" spans="1:29" ht="15" x14ac:dyDescent="0.25">
      <c r="A22" s="106" t="s">
        <v>150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ht="15" x14ac:dyDescent="0.25">
      <c r="A23" s="46"/>
      <c r="B23" s="39" t="s">
        <v>117</v>
      </c>
      <c r="C23" s="39" t="s">
        <v>118</v>
      </c>
      <c r="D23" s="39" t="s">
        <v>119</v>
      </c>
      <c r="E23" s="39" t="s">
        <v>120</v>
      </c>
      <c r="F23" s="39" t="s">
        <v>121</v>
      </c>
      <c r="G23" s="39" t="s">
        <v>122</v>
      </c>
      <c r="H23" s="39" t="s">
        <v>123</v>
      </c>
      <c r="I23" s="39" t="s">
        <v>124</v>
      </c>
      <c r="J23" s="39" t="s">
        <v>125</v>
      </c>
      <c r="K23" s="39" t="s">
        <v>126</v>
      </c>
      <c r="L23" s="39" t="s">
        <v>127</v>
      </c>
      <c r="M23" s="39" t="s">
        <v>128</v>
      </c>
      <c r="N23" s="39" t="s">
        <v>133</v>
      </c>
      <c r="O23" s="39" t="s">
        <v>134</v>
      </c>
      <c r="P23" s="39" t="s">
        <v>135</v>
      </c>
      <c r="Q23" s="39" t="s">
        <v>136</v>
      </c>
      <c r="R23" s="39" t="s">
        <v>137</v>
      </c>
      <c r="S23" s="39" t="s">
        <v>138</v>
      </c>
      <c r="T23" s="39" t="s">
        <v>139</v>
      </c>
      <c r="U23" s="39" t="s">
        <v>140</v>
      </c>
      <c r="V23" s="39" t="s">
        <v>141</v>
      </c>
      <c r="W23" s="39" t="s">
        <v>142</v>
      </c>
      <c r="X23" s="39" t="s">
        <v>143</v>
      </c>
      <c r="Y23" s="39" t="s">
        <v>144</v>
      </c>
      <c r="Z23" s="39" t="s">
        <v>145</v>
      </c>
      <c r="AA23" s="39" t="s">
        <v>146</v>
      </c>
      <c r="AB23" s="39" t="s">
        <v>147</v>
      </c>
      <c r="AC23" s="39" t="s">
        <v>148</v>
      </c>
    </row>
    <row r="24" spans="1:29" x14ac:dyDescent="0.2">
      <c r="A24" s="46" t="s">
        <v>63</v>
      </c>
      <c r="B24" s="46">
        <v>11.1335</v>
      </c>
      <c r="C24" s="46">
        <v>11.536499999999998</v>
      </c>
      <c r="D24" s="46">
        <v>11.8385</v>
      </c>
      <c r="E24" s="46">
        <v>11.821999999999999</v>
      </c>
      <c r="F24" s="46">
        <v>11.898</v>
      </c>
      <c r="G24" s="46">
        <v>12.03</v>
      </c>
      <c r="H24" s="46">
        <v>12.153500000000001</v>
      </c>
      <c r="I24" s="46">
        <v>12.232999999999999</v>
      </c>
      <c r="J24" s="46">
        <v>12.3535</v>
      </c>
      <c r="K24" s="46">
        <v>12.519500000000001</v>
      </c>
      <c r="L24" s="46">
        <v>12.715</v>
      </c>
      <c r="M24" s="46">
        <v>12.837</v>
      </c>
      <c r="N24" s="46">
        <v>12.912999999999998</v>
      </c>
      <c r="O24" s="46">
        <v>13.068999999999999</v>
      </c>
      <c r="P24" s="46">
        <v>13.314500000000001</v>
      </c>
      <c r="Q24" s="46">
        <v>13.564999999999998</v>
      </c>
      <c r="R24" s="46">
        <v>13.766999999999999</v>
      </c>
      <c r="S24" s="46">
        <v>13.927999999999999</v>
      </c>
      <c r="T24" s="46">
        <v>14.058</v>
      </c>
      <c r="U24" s="46">
        <v>14.2685</v>
      </c>
      <c r="V24" s="46">
        <v>14.464999999999998</v>
      </c>
      <c r="W24" s="46">
        <v>14.683999999999997</v>
      </c>
      <c r="X24" s="46">
        <v>14.887</v>
      </c>
      <c r="Y24" s="46">
        <v>14.984500000000001</v>
      </c>
      <c r="Z24" s="46">
        <v>15.1785</v>
      </c>
      <c r="AA24" s="46">
        <v>15.426</v>
      </c>
      <c r="AB24" s="46">
        <v>15.690000000000001</v>
      </c>
      <c r="AC24" s="46">
        <v>15.959499999999998</v>
      </c>
    </row>
    <row r="25" spans="1:29" x14ac:dyDescent="0.2">
      <c r="A25" s="46" t="s">
        <v>79</v>
      </c>
      <c r="B25" s="46">
        <v>10.118500000000001</v>
      </c>
      <c r="C25" s="46">
        <v>10.6145</v>
      </c>
      <c r="D25" s="46">
        <v>10.849499999999999</v>
      </c>
      <c r="E25" s="46">
        <v>10.828499999999998</v>
      </c>
      <c r="F25" s="46">
        <v>10.8675</v>
      </c>
      <c r="G25" s="46">
        <v>10.984499999999999</v>
      </c>
      <c r="H25" s="46">
        <v>11.088999999999999</v>
      </c>
      <c r="I25" s="46">
        <v>11.154499999999999</v>
      </c>
      <c r="J25" s="46">
        <v>11.250999999999999</v>
      </c>
      <c r="K25" s="46">
        <v>11.399999999999999</v>
      </c>
      <c r="L25" s="46">
        <v>11.594999999999999</v>
      </c>
      <c r="M25" s="46">
        <v>11.685499999999999</v>
      </c>
      <c r="N25" s="46">
        <v>11.7005</v>
      </c>
      <c r="O25" s="46">
        <v>11.772999999999998</v>
      </c>
      <c r="P25" s="35">
        <v>11.936</v>
      </c>
      <c r="Q25" s="46">
        <v>12.142499999999998</v>
      </c>
      <c r="R25" s="46">
        <v>12.303499999999998</v>
      </c>
      <c r="S25" s="46">
        <v>12.4155</v>
      </c>
      <c r="T25" s="46">
        <v>12.5745</v>
      </c>
      <c r="U25" s="46">
        <v>12.720499999999998</v>
      </c>
      <c r="V25" s="46">
        <v>12.818</v>
      </c>
      <c r="W25" s="46">
        <v>12.949</v>
      </c>
      <c r="X25" s="46">
        <v>13.064499999999999</v>
      </c>
      <c r="Y25" s="46">
        <v>13.1875</v>
      </c>
      <c r="Z25" s="46">
        <v>13.356000000000002</v>
      </c>
      <c r="AA25" s="46">
        <v>13.5075</v>
      </c>
      <c r="AB25" s="46">
        <v>13.600499999999998</v>
      </c>
      <c r="AC25" s="46">
        <v>13.750499999999999</v>
      </c>
    </row>
    <row r="26" spans="1:29" x14ac:dyDescent="0.2">
      <c r="A26" s="46" t="s">
        <v>81</v>
      </c>
      <c r="B26" s="46">
        <v>20.314500000000002</v>
      </c>
      <c r="C26" s="46">
        <v>20.817999999999998</v>
      </c>
      <c r="D26" s="46">
        <v>21.082999999999998</v>
      </c>
      <c r="E26" s="46">
        <v>21.167999999999999</v>
      </c>
      <c r="F26" s="46">
        <v>21.433499999999999</v>
      </c>
      <c r="G26" s="46">
        <v>21.785499999999999</v>
      </c>
      <c r="H26" s="46">
        <v>22.113499999999995</v>
      </c>
      <c r="I26" s="46">
        <v>22.376999999999999</v>
      </c>
      <c r="J26" s="46">
        <v>22.616999999999997</v>
      </c>
      <c r="K26" s="46">
        <v>23.038499999999999</v>
      </c>
      <c r="L26" s="46">
        <v>23.530499999999996</v>
      </c>
      <c r="M26" s="46">
        <v>23.921500000000002</v>
      </c>
      <c r="N26" s="46">
        <v>24.131499999999999</v>
      </c>
      <c r="O26" s="46">
        <v>24.399499999999996</v>
      </c>
      <c r="P26" s="35">
        <v>24.792499999999997</v>
      </c>
      <c r="Q26" s="46">
        <v>25.389999999999997</v>
      </c>
      <c r="R26" s="46">
        <v>25.992999999999995</v>
      </c>
      <c r="S26" s="46">
        <v>26.521999999999998</v>
      </c>
      <c r="T26" s="46">
        <v>26.904499999999999</v>
      </c>
      <c r="U26" s="46">
        <v>27.244999999999997</v>
      </c>
      <c r="V26" s="46">
        <v>27.628999999999998</v>
      </c>
      <c r="W26" s="46">
        <v>28.156500000000001</v>
      </c>
      <c r="X26" s="46">
        <v>28.841499999999996</v>
      </c>
      <c r="Y26" s="46">
        <v>29.406500000000001</v>
      </c>
      <c r="Z26" s="46">
        <v>29.759499999999996</v>
      </c>
      <c r="AA26" s="46">
        <v>30.006999999999998</v>
      </c>
      <c r="AB26" s="46">
        <v>30.434000000000001</v>
      </c>
      <c r="AC26" s="46">
        <v>31.1525</v>
      </c>
    </row>
    <row r="27" spans="1:29" x14ac:dyDescent="0.2">
      <c r="A27" s="46" t="s">
        <v>76</v>
      </c>
      <c r="B27" s="46">
        <v>16.867999999999999</v>
      </c>
      <c r="C27" s="46">
        <v>17.258499999999998</v>
      </c>
      <c r="D27" s="46">
        <v>17.774999999999999</v>
      </c>
      <c r="E27" s="46">
        <v>17.861999999999998</v>
      </c>
      <c r="F27" s="46">
        <v>18.006999999999998</v>
      </c>
      <c r="G27" s="46">
        <v>18.198499999999999</v>
      </c>
      <c r="H27" s="46">
        <v>18.350000000000001</v>
      </c>
      <c r="I27" s="46">
        <v>18.457000000000001</v>
      </c>
      <c r="J27" s="46">
        <v>18.567499999999999</v>
      </c>
      <c r="K27" s="46">
        <v>18.774999999999999</v>
      </c>
      <c r="L27" s="46">
        <v>19.006499999999996</v>
      </c>
      <c r="M27" s="46">
        <v>19.145</v>
      </c>
      <c r="N27" s="46">
        <v>19.201999999999998</v>
      </c>
      <c r="O27" s="46">
        <v>19.282999999999998</v>
      </c>
      <c r="P27" s="35">
        <v>19.485499999999998</v>
      </c>
      <c r="Q27" s="46">
        <v>19.794</v>
      </c>
      <c r="R27" s="46">
        <v>19.985499999999998</v>
      </c>
      <c r="S27" s="46">
        <v>20.102499999999999</v>
      </c>
      <c r="T27" s="46">
        <v>20.2485</v>
      </c>
      <c r="U27" s="46">
        <v>20.339500000000001</v>
      </c>
      <c r="V27" s="46">
        <v>20.497499999999999</v>
      </c>
      <c r="W27" s="46">
        <v>20.6965</v>
      </c>
      <c r="X27" s="46">
        <v>20.874499999999998</v>
      </c>
      <c r="Y27" s="46">
        <v>21.055500000000002</v>
      </c>
      <c r="Z27" s="46">
        <v>21.181999999999999</v>
      </c>
      <c r="AA27" s="46">
        <v>21.295499999999997</v>
      </c>
      <c r="AB27" s="46">
        <v>21.545499999999997</v>
      </c>
      <c r="AC27" s="46">
        <v>21.7685</v>
      </c>
    </row>
    <row r="28" spans="1:29" x14ac:dyDescent="0.2">
      <c r="A28" s="46" t="s">
        <v>74</v>
      </c>
      <c r="B28" s="46">
        <v>25.5825</v>
      </c>
      <c r="C28" s="46">
        <v>26.11</v>
      </c>
      <c r="D28" s="46">
        <v>26.475499999999997</v>
      </c>
      <c r="E28" s="46">
        <v>26.323</v>
      </c>
      <c r="F28" s="46">
        <v>26.445</v>
      </c>
      <c r="G28" s="46">
        <v>26.630499999999998</v>
      </c>
      <c r="H28" s="46">
        <v>26.741</v>
      </c>
      <c r="I28" s="46">
        <v>26.785999999999998</v>
      </c>
      <c r="J28" s="46">
        <v>26.879999999999995</v>
      </c>
      <c r="K28" s="46">
        <v>27.1005</v>
      </c>
      <c r="L28" s="46">
        <v>27.481000000000002</v>
      </c>
      <c r="M28" s="46">
        <v>27.642499999999998</v>
      </c>
      <c r="N28" s="46">
        <v>27.72</v>
      </c>
      <c r="O28" s="46">
        <v>27.905499999999996</v>
      </c>
      <c r="P28" s="35">
        <v>28.337999999999997</v>
      </c>
      <c r="Q28" s="46">
        <v>28.957499999999996</v>
      </c>
      <c r="R28" s="46">
        <v>29.499999999999996</v>
      </c>
      <c r="S28" s="46">
        <v>29.8245</v>
      </c>
      <c r="T28" s="46">
        <v>30.003499999999995</v>
      </c>
      <c r="U28" s="46">
        <v>30.3245</v>
      </c>
      <c r="V28" s="46">
        <v>30.570500000000003</v>
      </c>
      <c r="W28" s="46">
        <v>31.116</v>
      </c>
      <c r="X28" s="46">
        <v>31.650499999999994</v>
      </c>
      <c r="Y28" s="46">
        <v>31.919499999999999</v>
      </c>
      <c r="Z28" s="46">
        <v>32.009500000000003</v>
      </c>
      <c r="AA28" s="46">
        <v>32.231999999999999</v>
      </c>
      <c r="AB28" s="46">
        <v>32.734999999999999</v>
      </c>
      <c r="AC28" s="46">
        <v>33.470999999999997</v>
      </c>
    </row>
    <row r="29" spans="1:29" x14ac:dyDescent="0.2">
      <c r="A29" s="46" t="s">
        <v>78</v>
      </c>
      <c r="B29" s="46">
        <v>27.642499999999998</v>
      </c>
      <c r="C29" s="46">
        <v>28.267499999999998</v>
      </c>
      <c r="D29" s="46">
        <v>28.906499999999998</v>
      </c>
      <c r="E29" s="46">
        <v>28.791499999999999</v>
      </c>
      <c r="F29" s="46">
        <v>28.954000000000001</v>
      </c>
      <c r="G29" s="46">
        <v>29.279499999999999</v>
      </c>
      <c r="H29" s="46">
        <v>29.526499999999999</v>
      </c>
      <c r="I29" s="46">
        <v>29.765499999999996</v>
      </c>
      <c r="J29" s="46">
        <v>30.061499999999995</v>
      </c>
      <c r="K29" s="46">
        <v>30.479999999999997</v>
      </c>
      <c r="L29" s="46">
        <v>31.110999999999997</v>
      </c>
      <c r="M29" s="46">
        <v>31.426499999999997</v>
      </c>
      <c r="N29" s="46">
        <v>31.521000000000001</v>
      </c>
      <c r="O29" s="46">
        <v>31.762999999999998</v>
      </c>
      <c r="P29" s="35">
        <v>32.217500000000001</v>
      </c>
      <c r="Q29" s="46">
        <v>32.835999999999999</v>
      </c>
      <c r="R29" s="46">
        <v>33.564</v>
      </c>
      <c r="S29" s="46">
        <v>33.850499999999997</v>
      </c>
      <c r="T29" s="46">
        <v>33.923499999999997</v>
      </c>
      <c r="U29" s="46">
        <v>34.332999999999998</v>
      </c>
      <c r="V29" s="46">
        <v>34.729999999999997</v>
      </c>
      <c r="W29" s="46">
        <v>35.348500000000001</v>
      </c>
      <c r="X29" s="46">
        <v>36.013999999999996</v>
      </c>
      <c r="Y29" s="46">
        <v>36.172999999999995</v>
      </c>
      <c r="Z29" s="46">
        <v>36.4315</v>
      </c>
      <c r="AA29" s="46">
        <v>36.786000000000001</v>
      </c>
      <c r="AB29" s="46">
        <v>37.595500000000001</v>
      </c>
      <c r="AC29" s="46">
        <v>38.576499999999996</v>
      </c>
    </row>
    <row r="30" spans="1:29" x14ac:dyDescent="0.2">
      <c r="A30" s="46" t="s">
        <v>80</v>
      </c>
      <c r="B30" s="46">
        <v>17.072999999999997</v>
      </c>
      <c r="C30" s="46">
        <v>17.486499999999999</v>
      </c>
      <c r="D30" s="46">
        <v>18.097999999999999</v>
      </c>
      <c r="E30" s="46">
        <v>17.952500000000001</v>
      </c>
      <c r="F30" s="46">
        <v>17.8675</v>
      </c>
      <c r="G30" s="46">
        <v>17.9025</v>
      </c>
      <c r="H30" s="46">
        <v>17.999499999999998</v>
      </c>
      <c r="I30" s="46">
        <v>18.072499999999998</v>
      </c>
      <c r="J30" s="46">
        <v>18.109500000000001</v>
      </c>
      <c r="K30" s="46">
        <v>18.291</v>
      </c>
      <c r="L30" s="46">
        <v>18.542499999999997</v>
      </c>
      <c r="M30" s="46">
        <v>18.7075</v>
      </c>
      <c r="N30" s="46">
        <v>18.828499999999998</v>
      </c>
      <c r="O30" s="46">
        <v>19.0185</v>
      </c>
      <c r="P30" s="35">
        <v>19.247</v>
      </c>
      <c r="Q30" s="46">
        <v>19.569499999999998</v>
      </c>
      <c r="R30" s="46">
        <v>19.838999999999999</v>
      </c>
      <c r="S30" s="46">
        <v>20.090499999999999</v>
      </c>
      <c r="T30" s="46">
        <v>20.320499999999999</v>
      </c>
      <c r="U30" s="46">
        <v>20.603999999999999</v>
      </c>
      <c r="V30" s="46">
        <v>20.823999999999998</v>
      </c>
      <c r="W30" s="46">
        <v>21.105499999999999</v>
      </c>
      <c r="X30" s="46">
        <v>21.426500000000001</v>
      </c>
      <c r="Y30" s="46">
        <v>21.7195</v>
      </c>
      <c r="Z30" s="46">
        <v>21.912499999999998</v>
      </c>
      <c r="AA30" s="46">
        <v>22.220499999999998</v>
      </c>
      <c r="AB30" s="46">
        <v>22.433500000000002</v>
      </c>
      <c r="AC30" s="46">
        <v>22.8245</v>
      </c>
    </row>
    <row r="31" spans="1:29" ht="15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P31" s="82"/>
    </row>
    <row r="32" spans="1:29" ht="15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P32" s="82"/>
    </row>
    <row r="33" spans="1:16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P33" s="82"/>
    </row>
    <row r="34" spans="1:16" ht="15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P34" s="82"/>
    </row>
    <row r="35" spans="1:16" ht="15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P35" s="82"/>
    </row>
    <row r="36" spans="1:16" ht="15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P36" s="82"/>
    </row>
    <row r="37" spans="1:16" ht="15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P37" s="82"/>
    </row>
    <row r="38" spans="1:16" ht="15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P38" s="82"/>
    </row>
    <row r="39" spans="1:16" ht="15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P39" s="82"/>
    </row>
    <row r="40" spans="1:16" ht="15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P40" s="82"/>
    </row>
    <row r="41" spans="1:16" ht="15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P41" s="82"/>
    </row>
    <row r="42" spans="1:16" ht="15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P42" s="82"/>
    </row>
    <row r="43" spans="1:16" ht="15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P43" s="82"/>
    </row>
    <row r="44" spans="1:16" ht="15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P44" s="82"/>
    </row>
    <row r="45" spans="1:16" ht="15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P45" s="82"/>
    </row>
    <row r="46" spans="1:16" ht="15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P46" s="82"/>
    </row>
    <row r="47" spans="1:16" ht="15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P47" s="82"/>
    </row>
    <row r="48" spans="1:16" ht="15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P48" s="82"/>
    </row>
    <row r="49" spans="1:16" ht="15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P49" s="82"/>
    </row>
    <row r="50" spans="1:16" ht="15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P50" s="82"/>
    </row>
    <row r="51" spans="1:16" ht="15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82"/>
    </row>
    <row r="52" spans="1:16" ht="15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82"/>
    </row>
    <row r="53" spans="1:16" ht="15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P53" s="82"/>
    </row>
    <row r="54" spans="1:16" ht="15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P54" s="82"/>
    </row>
    <row r="55" spans="1:16" ht="15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P55" s="82"/>
    </row>
    <row r="56" spans="1:16" ht="15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P56" s="82"/>
    </row>
    <row r="57" spans="1:16" ht="15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P57" s="82"/>
    </row>
    <row r="58" spans="1:16" ht="15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P58" s="82"/>
    </row>
    <row r="59" spans="1:16" ht="15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P59" s="82"/>
    </row>
    <row r="60" spans="1:16" ht="15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P60" s="82"/>
    </row>
    <row r="61" spans="1:16" ht="15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P61" s="82"/>
    </row>
    <row r="62" spans="1:16" ht="15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P62" s="82"/>
    </row>
    <row r="63" spans="1:16" ht="15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P63" s="82"/>
    </row>
    <row r="64" spans="1:16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</row>
    <row r="65" spans="1:14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</row>
    <row r="67" spans="1:14" x14ac:dyDescent="0.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</row>
    <row r="68" spans="1:14" x14ac:dyDescent="0.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</row>
    <row r="69" spans="1:14" x14ac:dyDescent="0.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</row>
    <row r="70" spans="1:14" x14ac:dyDescent="0.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</row>
    <row r="71" spans="1:14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</row>
    <row r="72" spans="1:14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1:14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</row>
    <row r="74" spans="1:14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</row>
    <row r="75" spans="1:14" x14ac:dyDescent="0.2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</row>
    <row r="76" spans="1:14" x14ac:dyDescent="0.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</row>
    <row r="77" spans="1:14" x14ac:dyDescent="0.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</row>
  </sheetData>
  <mergeCells count="2">
    <mergeCell ref="A22:AC22"/>
    <mergeCell ref="A12:AC1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CC"/>
  </sheetPr>
  <dimension ref="A1:D101"/>
  <sheetViews>
    <sheetView showGridLines="0" zoomScale="85" zoomScaleNormal="85" workbookViewId="0"/>
  </sheetViews>
  <sheetFormatPr defaultRowHeight="14.25" x14ac:dyDescent="0.2"/>
  <cols>
    <col min="1" max="1" width="11.25" customWidth="1"/>
    <col min="2" max="2" width="16.75" customWidth="1"/>
    <col min="3" max="3" width="18" customWidth="1"/>
    <col min="4" max="4" width="15.25" bestFit="1" customWidth="1"/>
  </cols>
  <sheetData>
    <row r="1" spans="1:4" s="1" customFormat="1" x14ac:dyDescent="0.2">
      <c r="A1" s="2" t="s">
        <v>0</v>
      </c>
      <c r="B1" s="2" t="s">
        <v>1</v>
      </c>
      <c r="C1" s="2" t="s">
        <v>2</v>
      </c>
      <c r="D1" s="2" t="s">
        <v>93</v>
      </c>
    </row>
    <row r="2" spans="1:4" x14ac:dyDescent="0.2">
      <c r="A2" s="29">
        <v>1</v>
      </c>
      <c r="B2" s="17">
        <v>1.718513785714855E-6</v>
      </c>
      <c r="C2" s="17">
        <v>3.3711934156378667E-11</v>
      </c>
      <c r="D2" s="59">
        <v>3.0821073395249441E-5</v>
      </c>
    </row>
    <row r="3" spans="1:4" x14ac:dyDescent="0.2">
      <c r="A3" s="29">
        <v>2</v>
      </c>
      <c r="B3" s="17">
        <v>1.0419119259138023E-5</v>
      </c>
      <c r="C3" s="17">
        <v>1.0787818930041173E-9</v>
      </c>
      <c r="D3" s="17">
        <v>1.2328429358099776E-4</v>
      </c>
    </row>
    <row r="4" spans="1:4" x14ac:dyDescent="0.2">
      <c r="A4" s="29">
        <v>3</v>
      </c>
      <c r="B4" s="17">
        <v>2.9899799950605021E-5</v>
      </c>
      <c r="C4" s="17">
        <v>8.1920000000000213E-9</v>
      </c>
      <c r="D4" s="17">
        <v>2.7738966055724503E-4</v>
      </c>
    </row>
    <row r="5" spans="1:4" x14ac:dyDescent="0.2">
      <c r="A5" s="29">
        <v>4</v>
      </c>
      <c r="B5" s="17">
        <v>6.3169726678092203E-5</v>
      </c>
      <c r="C5" s="17">
        <v>3.4521020576131755E-8</v>
      </c>
      <c r="D5" s="17">
        <v>4.9313717432399094E-4</v>
      </c>
    </row>
    <row r="6" spans="1:4" x14ac:dyDescent="0.2">
      <c r="A6" s="29">
        <v>5</v>
      </c>
      <c r="B6" s="17">
        <v>1.1284310601078108E-4</v>
      </c>
      <c r="C6" s="17">
        <v>1.053497942386833E-7</v>
      </c>
      <c r="D6" s="17">
        <v>7.7052683488123587E-4</v>
      </c>
    </row>
    <row r="7" spans="1:4" x14ac:dyDescent="0.2">
      <c r="A7" s="29">
        <v>6</v>
      </c>
      <c r="B7" s="17">
        <v>1.8127848848191523E-4</v>
      </c>
      <c r="C7" s="17">
        <v>2.6214400000000031E-7</v>
      </c>
      <c r="D7" s="17">
        <v>1.1095586422289799E-3</v>
      </c>
    </row>
    <row r="8" spans="1:4" x14ac:dyDescent="0.2">
      <c r="A8" s="29">
        <v>7</v>
      </c>
      <c r="B8" s="17">
        <v>2.7064993329094976E-4</v>
      </c>
      <c r="C8" s="17">
        <v>5.665964773662556E-7</v>
      </c>
      <c r="D8" s="17">
        <v>1.5102325963672223E-3</v>
      </c>
    </row>
    <row r="9" spans="1:4" x14ac:dyDescent="0.2">
      <c r="A9" s="29">
        <v>8</v>
      </c>
      <c r="B9" s="17">
        <v>3.829896049116727E-4</v>
      </c>
      <c r="C9" s="17">
        <v>1.1046726584362157E-6</v>
      </c>
      <c r="D9" s="17">
        <v>1.9725486972959633E-3</v>
      </c>
    </row>
    <row r="10" spans="1:4" x14ac:dyDescent="0.2">
      <c r="A10" s="29">
        <v>9</v>
      </c>
      <c r="B10" s="17">
        <v>5.2021580770405119E-4</v>
      </c>
      <c r="C10" s="17">
        <v>1.9906560000000067E-6</v>
      </c>
      <c r="D10" s="17">
        <v>2.4965069450152057E-3</v>
      </c>
    </row>
    <row r="11" spans="1:4" x14ac:dyDescent="0.2">
      <c r="A11" s="29">
        <v>10</v>
      </c>
      <c r="B11" s="17">
        <v>6.8415266078812066E-4</v>
      </c>
      <c r="C11" s="17">
        <v>3.3711934156378734E-6</v>
      </c>
      <c r="D11" s="17">
        <v>3.0821073395249452E-3</v>
      </c>
    </row>
    <row r="12" spans="1:4" x14ac:dyDescent="0.2">
      <c r="A12" s="29">
        <v>11</v>
      </c>
      <c r="B12" s="17">
        <v>8.7654456601853298E-4</v>
      </c>
      <c r="C12" s="17">
        <v>5.4293407078189439E-6</v>
      </c>
      <c r="D12" s="17">
        <v>3.729349880825183E-3</v>
      </c>
    </row>
    <row r="13" spans="1:4" x14ac:dyDescent="0.2">
      <c r="A13" s="29">
        <v>12</v>
      </c>
      <c r="B13" s="17">
        <v>1.0990672325760134E-3</v>
      </c>
      <c r="C13" s="17">
        <v>8.3886080000000151E-6</v>
      </c>
      <c r="D13" s="17">
        <v>4.4382345689159197E-3</v>
      </c>
    </row>
    <row r="14" spans="1:4" x14ac:dyDescent="0.2">
      <c r="A14" s="29">
        <v>13</v>
      </c>
      <c r="B14" s="17">
        <v>1.3533363170228864E-3</v>
      </c>
      <c r="C14" s="17">
        <v>1.2517005168724299E-5</v>
      </c>
      <c r="D14" s="17">
        <v>5.2087614037971556E-3</v>
      </c>
    </row>
    <row r="15" spans="1:4" x14ac:dyDescent="0.2">
      <c r="A15" s="29">
        <v>14</v>
      </c>
      <c r="B15" s="17">
        <v>1.6409143504561056E-3</v>
      </c>
      <c r="C15" s="17">
        <v>1.8131087275720189E-5</v>
      </c>
      <c r="D15" s="17">
        <v>6.0409303854688876E-3</v>
      </c>
    </row>
    <row r="16" spans="1:4" x14ac:dyDescent="0.2">
      <c r="A16" s="29">
        <v>15</v>
      </c>
      <c r="B16" s="17">
        <v>1.9633163979093623E-3</v>
      </c>
      <c r="C16" s="17">
        <v>2.5600000000000063E-5</v>
      </c>
      <c r="D16" s="17">
        <v>6.9347415139311246E-3</v>
      </c>
    </row>
    <row r="17" spans="1:4" x14ac:dyDescent="0.2">
      <c r="A17" s="29">
        <v>16</v>
      </c>
      <c r="B17" s="17">
        <v>2.3220147558635782E-3</v>
      </c>
      <c r="C17" s="17">
        <v>3.5349525069958917E-5</v>
      </c>
      <c r="D17" s="17">
        <v>7.8901947891838551E-3</v>
      </c>
    </row>
    <row r="18" spans="1:4" x14ac:dyDescent="0.2">
      <c r="A18" s="29">
        <v>17</v>
      </c>
      <c r="B18" s="17">
        <v>2.7184429044392429E-3</v>
      </c>
      <c r="C18" s="17">
        <v>4.7866125695473322E-5</v>
      </c>
      <c r="D18" s="17">
        <v>8.9072902112270896E-3</v>
      </c>
    </row>
    <row r="19" spans="1:4" x14ac:dyDescent="0.2">
      <c r="A19" s="29">
        <v>18</v>
      </c>
      <c r="B19" s="17">
        <v>3.1539988715904698E-3</v>
      </c>
      <c r="C19" s="17">
        <v>6.3700992000000119E-5</v>
      </c>
      <c r="D19" s="17">
        <v>9.986027780060816E-3</v>
      </c>
    </row>
    <row r="20" spans="1:4" x14ac:dyDescent="0.2">
      <c r="A20" s="29">
        <v>19</v>
      </c>
      <c r="B20" s="17">
        <v>3.6300481261177949E-3</v>
      </c>
      <c r="C20" s="17">
        <v>8.3474086452674982E-5</v>
      </c>
      <c r="D20" s="17">
        <v>1.1126407495685043E-2</v>
      </c>
    </row>
    <row r="21" spans="1:4" x14ac:dyDescent="0.2">
      <c r="A21" s="29">
        <v>20</v>
      </c>
      <c r="B21" s="17">
        <v>4.1479260879148903E-3</v>
      </c>
      <c r="C21" s="17">
        <v>1.0787818930041161E-4</v>
      </c>
      <c r="D21" s="17">
        <v>1.2328429358099772E-2</v>
      </c>
    </row>
    <row r="22" spans="1:4" x14ac:dyDescent="0.2">
      <c r="A22" s="29">
        <v>21</v>
      </c>
      <c r="B22" s="17">
        <v>4.7089403235003931E-3</v>
      </c>
      <c r="C22" s="17">
        <v>1.3768294400000021E-4</v>
      </c>
      <c r="D22" s="17">
        <v>1.3592093367305004E-2</v>
      </c>
    </row>
    <row r="23" spans="1:4" x14ac:dyDescent="0.2">
      <c r="A23" s="29">
        <v>22</v>
      </c>
      <c r="B23" s="17">
        <v>5.3143724799958282E-3</v>
      </c>
      <c r="C23" s="17">
        <v>1.7373890265020629E-4</v>
      </c>
      <c r="D23" s="17">
        <v>1.4917399523300736E-2</v>
      </c>
    </row>
    <row r="24" spans="1:4" x14ac:dyDescent="0.2">
      <c r="A24" s="29">
        <v>23</v>
      </c>
      <c r="B24" s="17">
        <v>5.9654799996322685E-3</v>
      </c>
      <c r="C24" s="17">
        <v>2.1698157142386871E-4</v>
      </c>
      <c r="D24" s="17">
        <v>1.6304347826086953E-2</v>
      </c>
    </row>
    <row r="25" spans="1:4" x14ac:dyDescent="0.2">
      <c r="A25" s="29">
        <v>24</v>
      </c>
      <c r="B25" s="17">
        <v>6.6634976484968075E-3</v>
      </c>
      <c r="C25" s="17">
        <v>2.6843545600000059E-4</v>
      </c>
      <c r="D25" s="17">
        <v>1.7752938275663682E-2</v>
      </c>
    </row>
    <row r="26" spans="1:4" x14ac:dyDescent="0.2">
      <c r="A26" s="29">
        <v>25</v>
      </c>
      <c r="B26" s="17">
        <v>7.4096388868149588E-3</v>
      </c>
      <c r="C26" s="17">
        <v>3.2921810699588523E-4</v>
      </c>
      <c r="D26" s="17">
        <v>1.9263170872030892E-2</v>
      </c>
    </row>
    <row r="27" spans="1:4" x14ac:dyDescent="0.2">
      <c r="A27" s="29">
        <v>26</v>
      </c>
      <c r="B27" s="17">
        <v>8.2050971030870213E-3</v>
      </c>
      <c r="C27" s="17">
        <v>4.0054416539917772E-4</v>
      </c>
      <c r="D27" s="17">
        <v>2.0835045615188622E-2</v>
      </c>
    </row>
    <row r="28" spans="1:4" x14ac:dyDescent="0.2">
      <c r="A28" s="29">
        <v>27</v>
      </c>
      <c r="B28" s="17">
        <v>9.051046730488314E-3</v>
      </c>
      <c r="C28" s="17">
        <v>4.837294080000011E-4</v>
      </c>
      <c r="D28" s="17">
        <v>2.2468562505136846E-2</v>
      </c>
    </row>
    <row r="29" spans="1:4" x14ac:dyDescent="0.2">
      <c r="A29" s="29">
        <v>28</v>
      </c>
      <c r="B29" s="17">
        <v>9.9486442608438842E-3</v>
      </c>
      <c r="C29" s="17">
        <v>5.8019479282304628E-4</v>
      </c>
      <c r="D29" s="17">
        <v>2.4163721541875554E-2</v>
      </c>
    </row>
    <row r="30" spans="1:4" x14ac:dyDescent="0.2">
      <c r="A30" s="29">
        <v>29</v>
      </c>
      <c r="B30" s="17">
        <v>1.0899029169005247E-2</v>
      </c>
      <c r="C30" s="17">
        <v>6.9147050455967162E-4</v>
      </c>
      <c r="D30" s="17">
        <v>2.5920522725404786E-2</v>
      </c>
    </row>
    <row r="31" spans="1:4" x14ac:dyDescent="0.2">
      <c r="A31" s="29">
        <v>30</v>
      </c>
      <c r="B31" s="17">
        <v>1.1903324758450969E-2</v>
      </c>
      <c r="C31" s="17">
        <v>8.1920000000000235E-4</v>
      </c>
      <c r="D31" s="17">
        <v>2.7738966055724502E-2</v>
      </c>
    </row>
    <row r="32" spans="1:4" x14ac:dyDescent="0.2">
      <c r="A32" s="29">
        <v>31</v>
      </c>
      <c r="B32" s="17">
        <v>1.296263893729884E-2</v>
      </c>
      <c r="C32" s="17">
        <v>9.6514405346502172E-4</v>
      </c>
      <c r="D32" s="17">
        <v>2.9619051532834711E-2</v>
      </c>
    </row>
    <row r="33" spans="1:4" x14ac:dyDescent="0.2">
      <c r="A33" s="29">
        <v>32</v>
      </c>
      <c r="B33" s="17">
        <v>1.4078064932576108E-2</v>
      </c>
      <c r="C33" s="17">
        <v>1.1311848022386858E-3</v>
      </c>
      <c r="D33" s="17">
        <v>3.1560779156735427E-2</v>
      </c>
    </row>
    <row r="34" spans="1:4" x14ac:dyDescent="0.2">
      <c r="A34" s="29">
        <v>33</v>
      </c>
      <c r="B34" s="17">
        <v>1.5250681949485787E-2</v>
      </c>
      <c r="C34" s="17">
        <v>1.3193297920000044E-3</v>
      </c>
      <c r="D34" s="17">
        <v>3.3564148927426644E-2</v>
      </c>
    </row>
    <row r="35" spans="1:4" x14ac:dyDescent="0.2">
      <c r="A35" s="29">
        <v>34</v>
      </c>
      <c r="B35" s="17">
        <v>1.6481555781484816E-2</v>
      </c>
      <c r="C35" s="17">
        <v>1.5317160222551498E-3</v>
      </c>
      <c r="D35" s="17">
        <v>3.5629160844908365E-2</v>
      </c>
    </row>
    <row r="36" spans="1:4" x14ac:dyDescent="0.2">
      <c r="A36" s="29">
        <v>35</v>
      </c>
      <c r="B36" s="17">
        <v>1.7771739376217604E-2</v>
      </c>
      <c r="C36" s="17">
        <v>1.7706139917695485E-3</v>
      </c>
      <c r="D36" s="17">
        <v>3.7755814909180549E-2</v>
      </c>
    </row>
    <row r="37" spans="1:4" x14ac:dyDescent="0.2">
      <c r="A37" s="29">
        <v>36</v>
      </c>
      <c r="B37" s="17">
        <v>1.9122273361699117E-2</v>
      </c>
      <c r="C37" s="17">
        <v>2.0384317440000012E-3</v>
      </c>
      <c r="D37" s="17">
        <v>3.9944111120243271E-2</v>
      </c>
    </row>
    <row r="38" spans="1:4" x14ac:dyDescent="0.2">
      <c r="A38" s="29">
        <v>37</v>
      </c>
      <c r="B38" s="17">
        <v>2.0534186536590979E-2</v>
      </c>
      <c r="C38" s="17">
        <v>2.3377189125267516E-3</v>
      </c>
      <c r="D38" s="17">
        <v>4.2194049478096476E-2</v>
      </c>
    </row>
    <row r="39" spans="1:4" x14ac:dyDescent="0.2">
      <c r="A39" s="29">
        <v>38</v>
      </c>
      <c r="B39" s="17">
        <v>2.2008496327947082E-2</v>
      </c>
      <c r="C39" s="17">
        <v>2.6711707664856003E-3</v>
      </c>
      <c r="D39" s="17">
        <v>4.4505629982740186E-2</v>
      </c>
    </row>
    <row r="40" spans="1:4" x14ac:dyDescent="0.2">
      <c r="A40" s="29">
        <v>39</v>
      </c>
      <c r="B40" s="17">
        <v>2.3546209219404507E-2</v>
      </c>
      <c r="C40" s="17">
        <v>3.0416322560000066E-3</v>
      </c>
      <c r="D40" s="17">
        <v>4.6878852634174385E-2</v>
      </c>
    </row>
    <row r="41" spans="1:4" x14ac:dyDescent="0.2">
      <c r="A41" s="29">
        <v>40</v>
      </c>
      <c r="B41" s="17">
        <v>2.5148321152453072E-2</v>
      </c>
      <c r="C41" s="17">
        <v>3.4521020576131728E-3</v>
      </c>
      <c r="D41" s="17">
        <v>4.9313717432399082E-2</v>
      </c>
    </row>
    <row r="42" spans="1:4" x14ac:dyDescent="0.2">
      <c r="A42" s="29">
        <v>41</v>
      </c>
      <c r="B42" s="17">
        <v>2.6815817903120324E-2</v>
      </c>
      <c r="C42" s="17">
        <v>3.9057366197201792E-3</v>
      </c>
      <c r="D42" s="17">
        <v>5.1810224377414324E-2</v>
      </c>
    </row>
    <row r="43" spans="1:4" x14ac:dyDescent="0.2">
      <c r="A43" s="29">
        <v>42</v>
      </c>
      <c r="B43" s="17">
        <v>2.854967543615353E-2</v>
      </c>
      <c r="C43" s="17">
        <v>4.4058542080000094E-3</v>
      </c>
      <c r="D43" s="17">
        <v>5.4368373469220029E-2</v>
      </c>
    </row>
    <row r="44" spans="1:4" x14ac:dyDescent="0.2">
      <c r="A44" s="29">
        <v>43</v>
      </c>
      <c r="B44" s="17">
        <v>3.0350860238556418E-2</v>
      </c>
      <c r="C44" s="17">
        <v>4.9559389508477521E-3</v>
      </c>
      <c r="D44" s="17">
        <v>5.6988164707816209E-2</v>
      </c>
    </row>
    <row r="45" spans="1:4" x14ac:dyDescent="0.2">
      <c r="A45" s="29">
        <v>44</v>
      </c>
      <c r="B45" s="17">
        <v>3.2220329634146512E-2</v>
      </c>
      <c r="C45" s="17">
        <v>5.5596448848065933E-3</v>
      </c>
      <c r="D45" s="17">
        <v>5.9669598093202908E-2</v>
      </c>
    </row>
    <row r="46" spans="1:4" x14ac:dyDescent="0.2">
      <c r="A46" s="29">
        <v>45</v>
      </c>
      <c r="B46" s="17">
        <v>3.415903208062631E-2</v>
      </c>
      <c r="C46" s="17">
        <v>6.2207999999999968E-3</v>
      </c>
      <c r="D46" s="17">
        <v>6.2412673625380104E-2</v>
      </c>
    </row>
    <row r="47" spans="1:4" x14ac:dyDescent="0.2">
      <c r="A47" s="29">
        <v>46</v>
      </c>
      <c r="B47" s="17">
        <v>3.6167907450516297E-2</v>
      </c>
      <c r="C47" s="17">
        <v>6.9434102855638145E-3</v>
      </c>
      <c r="D47" s="17">
        <v>6.5217391304347824E-2</v>
      </c>
    </row>
    <row r="48" spans="1:4" x14ac:dyDescent="0.2">
      <c r="A48" s="29">
        <v>47</v>
      </c>
      <c r="B48" s="17">
        <v>3.8247887297162282E-2</v>
      </c>
      <c r="C48" s="17">
        <v>7.7316637750782053E-3</v>
      </c>
      <c r="D48" s="17">
        <v>6.8083751130105993E-2</v>
      </c>
    </row>
    <row r="49" spans="1:4" x14ac:dyDescent="0.2">
      <c r="A49" s="29">
        <v>48</v>
      </c>
      <c r="B49" s="17">
        <v>4.0399895106918784E-2</v>
      </c>
      <c r="C49" s="17">
        <v>8.5899345920000224E-3</v>
      </c>
      <c r="D49" s="17">
        <v>7.1011753102654757E-2</v>
      </c>
    </row>
    <row r="50" spans="1:4" x14ac:dyDescent="0.2">
      <c r="A50" s="29">
        <v>49</v>
      </c>
      <c r="B50" s="17">
        <v>4.2624846538501855E-2</v>
      </c>
      <c r="C50" s="17">
        <v>9.5227869950946491E-3</v>
      </c>
      <c r="D50" s="17">
        <v>7.4001397221993878E-2</v>
      </c>
    </row>
    <row r="51" spans="1:4" x14ac:dyDescent="0.2">
      <c r="A51" s="29">
        <v>50</v>
      </c>
      <c r="B51" s="17">
        <v>4.4923649650420394E-2</v>
      </c>
      <c r="C51" s="17">
        <v>1.0534979423868314E-2</v>
      </c>
      <c r="D51" s="17">
        <v>7.7052683488123608E-2</v>
      </c>
    </row>
    <row r="52" spans="1:4" x14ac:dyDescent="0.2">
      <c r="A52" s="29">
        <v>51</v>
      </c>
      <c r="B52" s="17">
        <v>4.7297205117306895E-2</v>
      </c>
      <c r="C52" s="17">
        <v>1.1631468544000005E-2</v>
      </c>
      <c r="D52" s="17">
        <v>8.0165611901043779E-2</v>
      </c>
    </row>
    <row r="53" spans="1:4" x14ac:dyDescent="0.2">
      <c r="A53" s="29">
        <v>52</v>
      </c>
      <c r="B53" s="17">
        <v>4.9746406435901919E-2</v>
      </c>
      <c r="C53" s="17">
        <v>1.2817413292773716E-2</v>
      </c>
      <c r="D53" s="17">
        <v>8.3340182460754544E-2</v>
      </c>
    </row>
    <row r="54" spans="1:4" x14ac:dyDescent="0.2">
      <c r="A54" s="29">
        <v>53</v>
      </c>
      <c r="B54" s="17">
        <v>5.2272140121379901E-2</v>
      </c>
      <c r="C54" s="17">
        <v>1.4098178924510332E-2</v>
      </c>
      <c r="D54" s="17">
        <v>8.6576395167255724E-2</v>
      </c>
    </row>
    <row r="55" spans="1:4" x14ac:dyDescent="0.2">
      <c r="A55" s="29">
        <v>54</v>
      </c>
      <c r="B55" s="17">
        <v>5.4875285894643668E-2</v>
      </c>
      <c r="C55" s="17">
        <v>1.5479341056000068E-2</v>
      </c>
      <c r="D55" s="17">
        <v>8.98742500205474E-2</v>
      </c>
    </row>
    <row r="56" spans="1:4" x14ac:dyDescent="0.2">
      <c r="A56" s="29">
        <v>55</v>
      </c>
      <c r="B56" s="17">
        <v>5.7556716861167805E-2</v>
      </c>
      <c r="C56" s="17">
        <v>1.6966689711934227E-2</v>
      </c>
      <c r="D56" s="17">
        <v>9.3233747020629601E-2</v>
      </c>
    </row>
    <row r="57" spans="1:4" x14ac:dyDescent="0.2">
      <c r="A57" s="29">
        <v>56</v>
      </c>
      <c r="B57" s="17">
        <v>6.0317299681918686E-2</v>
      </c>
      <c r="C57" s="17">
        <v>1.8566233370337526E-2</v>
      </c>
      <c r="D57" s="17">
        <v>9.6654886167502341E-2</v>
      </c>
    </row>
    <row r="58" spans="1:4" x14ac:dyDescent="0.2">
      <c r="A58" s="29">
        <v>57</v>
      </c>
      <c r="B58" s="17">
        <v>6.3157894736842038E-2</v>
      </c>
      <c r="C58" s="17">
        <v>2.0284203008000032E-2</v>
      </c>
      <c r="D58" s="17">
        <v>0.10013766746116548</v>
      </c>
    </row>
    <row r="59" spans="1:4" x14ac:dyDescent="0.2">
      <c r="A59" s="29">
        <v>58</v>
      </c>
      <c r="B59" s="17">
        <v>6.6079356281365131E-2</v>
      </c>
      <c r="C59" s="17">
        <v>2.2127056145909461E-2</v>
      </c>
      <c r="D59" s="17">
        <v>0.10368209090161903</v>
      </c>
    </row>
    <row r="60" spans="1:4" x14ac:dyDescent="0.2">
      <c r="A60" s="29">
        <v>59</v>
      </c>
      <c r="B60" s="17">
        <v>6.9082532596331694E-2</v>
      </c>
      <c r="C60" s="17">
        <v>2.4101480894683183E-2</v>
      </c>
      <c r="D60" s="17">
        <v>0.10728815648886332</v>
      </c>
    </row>
    <row r="61" spans="1:4" x14ac:dyDescent="0.2">
      <c r="A61" s="29">
        <v>60</v>
      </c>
      <c r="B61" s="17">
        <v>7.2168266131749939E-2</v>
      </c>
      <c r="C61" s="17">
        <v>2.6214400000000044E-2</v>
      </c>
      <c r="D61" s="17">
        <v>0.11095586422289798</v>
      </c>
    </row>
    <row r="62" spans="1:4" x14ac:dyDescent="0.2">
      <c r="A62" s="29">
        <v>61</v>
      </c>
      <c r="B62" s="17">
        <v>7.5337393644715034E-2</v>
      </c>
      <c r="C62" s="17">
        <v>2.8472974888032965E-2</v>
      </c>
      <c r="D62" s="17">
        <v>0.11468521410372319</v>
      </c>
    </row>
    <row r="63" spans="1:4" x14ac:dyDescent="0.2">
      <c r="A63" s="29">
        <v>62</v>
      </c>
      <c r="B63" s="17">
        <v>7.8590746331826375E-2</v>
      </c>
      <c r="C63" s="17">
        <v>3.0884609710880764E-2</v>
      </c>
      <c r="D63" s="17">
        <v>0.1184762061313388</v>
      </c>
    </row>
    <row r="64" spans="1:4" x14ac:dyDescent="0.2">
      <c r="A64" s="29">
        <v>63</v>
      </c>
      <c r="B64" s="17">
        <v>8.1929149956415079E-2</v>
      </c>
      <c r="C64" s="17">
        <v>3.3456955392000082E-2</v>
      </c>
      <c r="D64" s="17">
        <v>0.12232884030574499</v>
      </c>
    </row>
    <row r="65" spans="1:4" x14ac:dyDescent="0.2">
      <c r="A65" s="29">
        <v>64</v>
      </c>
      <c r="B65" s="17">
        <v>8.5353424970858682E-2</v>
      </c>
      <c r="C65" s="17">
        <v>3.6197913671637889E-2</v>
      </c>
      <c r="D65" s="17">
        <v>0.1262431166269416</v>
      </c>
    </row>
    <row r="66" spans="1:4" x14ac:dyDescent="0.2">
      <c r="A66" s="29">
        <v>65</v>
      </c>
      <c r="B66" s="17">
        <v>8.8864386634249962E-2</v>
      </c>
      <c r="C66" s="17">
        <v>3.9115641152263347E-2</v>
      </c>
      <c r="D66" s="17">
        <v>0.13021903509492877</v>
      </c>
    </row>
    <row r="67" spans="1:4" x14ac:dyDescent="0.2">
      <c r="A67" s="29">
        <v>66</v>
      </c>
      <c r="B67" s="17">
        <v>9.2462845125666646E-2</v>
      </c>
      <c r="C67" s="17">
        <v>4.2218553344000084E-2</v>
      </c>
      <c r="D67" s="17">
        <v>0.13425659570970647</v>
      </c>
    </row>
    <row r="68" spans="1:4" x14ac:dyDescent="0.2">
      <c r="A68" s="29">
        <v>67</v>
      </c>
      <c r="B68" s="17">
        <v>9.6149605653269882E-2</v>
      </c>
      <c r="C68" s="17">
        <v>4.5515328710057583E-2</v>
      </c>
      <c r="D68" s="17">
        <v>0.13835579847127477</v>
      </c>
    </row>
    <row r="69" spans="1:4" x14ac:dyDescent="0.2">
      <c r="A69" s="29">
        <v>68</v>
      </c>
      <c r="B69" s="17">
        <v>9.9925468559447089E-2</v>
      </c>
      <c r="C69" s="17">
        <v>4.9014912712164731E-2</v>
      </c>
      <c r="D69" s="17">
        <v>0.14251664337963332</v>
      </c>
    </row>
    <row r="70" spans="1:4" x14ac:dyDescent="0.2">
      <c r="A70" s="29">
        <v>69</v>
      </c>
      <c r="B70" s="17">
        <v>0.10379122942219784</v>
      </c>
      <c r="C70" s="17">
        <v>5.2726521856000248E-2</v>
      </c>
      <c r="D70" s="17">
        <v>0.14673913043478284</v>
      </c>
    </row>
    <row r="71" spans="1:4" x14ac:dyDescent="0.2">
      <c r="A71" s="29">
        <v>70</v>
      </c>
      <c r="B71" s="17">
        <v>0.10774767915295297</v>
      </c>
      <c r="C71" s="17">
        <v>5.6659647736625671E-2</v>
      </c>
      <c r="D71" s="17">
        <v>0.15102325963672236</v>
      </c>
    </row>
    <row r="72" spans="1:4" x14ac:dyDescent="0.2">
      <c r="A72" s="29">
        <v>71</v>
      </c>
      <c r="B72" s="17">
        <v>0.11179560409099837</v>
      </c>
      <c r="C72" s="17">
        <v>6.0824061083917781E-2</v>
      </c>
      <c r="D72" s="17">
        <v>0.15536903098545221</v>
      </c>
    </row>
    <row r="73" spans="1:4" x14ac:dyDescent="0.2">
      <c r="A73" s="29">
        <v>72</v>
      </c>
      <c r="B73" s="17">
        <v>0.11593578609467137</v>
      </c>
      <c r="C73" s="17">
        <v>6.5229815808000177E-2</v>
      </c>
      <c r="D73" s="17">
        <v>0.1597764444809735</v>
      </c>
    </row>
    <row r="74" spans="1:4" x14ac:dyDescent="0.2">
      <c r="A74" s="29">
        <v>73</v>
      </c>
      <c r="B74" s="17">
        <v>0.12016900262948167</v>
      </c>
      <c r="C74" s="17">
        <v>6.9887253044675093E-2</v>
      </c>
      <c r="D74" s="17">
        <v>0.16424550012328451</v>
      </c>
    </row>
    <row r="75" spans="1:4" x14ac:dyDescent="0.2">
      <c r="A75" s="29">
        <v>74</v>
      </c>
      <c r="B75" s="17">
        <v>0.12449602685330309</v>
      </c>
      <c r="C75" s="17">
        <v>7.480700520085623E-2</v>
      </c>
      <c r="D75" s="17">
        <v>0.16877619791238624</v>
      </c>
    </row>
    <row r="76" spans="1:4" x14ac:dyDescent="0.2">
      <c r="A76" s="29">
        <v>75</v>
      </c>
      <c r="B76" s="17">
        <v>0.12891762769876969</v>
      </c>
      <c r="C76" s="17">
        <v>8.0000000000000029E-2</v>
      </c>
      <c r="D76" s="17">
        <v>0.17336853784827866</v>
      </c>
    </row>
    <row r="77" spans="1:4" x14ac:dyDescent="0.2">
      <c r="A77" s="29">
        <v>76</v>
      </c>
      <c r="B77" s="17">
        <v>0.13343456995301073</v>
      </c>
      <c r="C77" s="17">
        <v>8.5477464527539099E-2</v>
      </c>
      <c r="D77" s="17">
        <v>0.17802251993096113</v>
      </c>
    </row>
    <row r="78" spans="1:4" x14ac:dyDescent="0.2">
      <c r="A78" s="29">
        <v>77</v>
      </c>
      <c r="B78" s="17">
        <v>0.13804761433483462</v>
      </c>
      <c r="C78" s="17">
        <v>9.1250929276313064E-2</v>
      </c>
      <c r="D78" s="17">
        <v>0.18273814416043449</v>
      </c>
    </row>
    <row r="79" spans="1:4" x14ac:dyDescent="0.2">
      <c r="A79" s="29">
        <v>78</v>
      </c>
      <c r="B79" s="17">
        <v>0.14275751756948521</v>
      </c>
      <c r="C79" s="17">
        <v>9.7332232192000087E-2</v>
      </c>
      <c r="D79" s="17">
        <v>0.1875154105366979</v>
      </c>
    </row>
    <row r="80" spans="1:4" x14ac:dyDescent="0.2">
      <c r="A80" s="29">
        <v>79</v>
      </c>
      <c r="B80" s="17">
        <v>0.1475650324610743</v>
      </c>
      <c r="C80" s="17">
        <v>0.10373352271855173</v>
      </c>
      <c r="D80" s="17">
        <v>0.19235431905975287</v>
      </c>
    </row>
    <row r="81" spans="1:4" x14ac:dyDescent="0.2">
      <c r="A81" s="29">
        <v>80</v>
      </c>
      <c r="B81" s="17">
        <v>0.15247090796278748</v>
      </c>
      <c r="C81" s="17">
        <v>0.1104672658436214</v>
      </c>
      <c r="D81" s="17">
        <v>0.1972548697295963</v>
      </c>
    </row>
    <row r="82" spans="1:4" x14ac:dyDescent="0.2">
      <c r="A82" s="29">
        <v>81</v>
      </c>
      <c r="B82" s="17">
        <v>0.15747588924496522</v>
      </c>
      <c r="C82" s="17">
        <v>0.11754624614400051</v>
      </c>
      <c r="D82" s="17">
        <v>0.20221706254623012</v>
      </c>
    </row>
    <row r="83" spans="1:4" x14ac:dyDescent="0.2">
      <c r="A83" s="29">
        <v>82</v>
      </c>
      <c r="B83" s="17">
        <v>0.16258071776114258</v>
      </c>
      <c r="C83" s="17">
        <v>0.12498357183104553</v>
      </c>
      <c r="D83" s="17">
        <v>0.20724089750965533</v>
      </c>
    </row>
    <row r="84" spans="1:4" x14ac:dyDescent="0.2">
      <c r="A84" s="29">
        <v>83</v>
      </c>
      <c r="B84" s="17">
        <v>0.16778613131214229</v>
      </c>
      <c r="C84" s="17">
        <v>0.13279267879611553</v>
      </c>
      <c r="D84" s="17">
        <v>0.21232637461987458</v>
      </c>
    </row>
    <row r="85" spans="1:4" x14ac:dyDescent="0.2">
      <c r="A85" s="29">
        <v>84</v>
      </c>
      <c r="B85" s="17">
        <v>0.17309286410829172</v>
      </c>
      <c r="C85" s="17">
        <v>0.14098733465600011</v>
      </c>
      <c r="D85" s="17">
        <v>0.21747349387687617</v>
      </c>
    </row>
    <row r="86" spans="1:4" x14ac:dyDescent="0.2">
      <c r="A86" s="29">
        <v>85</v>
      </c>
      <c r="B86" s="17">
        <v>0.17850164682984465</v>
      </c>
      <c r="C86" s="17">
        <v>0.14958164279835415</v>
      </c>
      <c r="D86" s="17">
        <v>0.22268225528067739</v>
      </c>
    </row>
    <row r="87" spans="1:4" x14ac:dyDescent="0.2">
      <c r="A87" s="29">
        <v>86</v>
      </c>
      <c r="B87" s="17">
        <v>0.18401320668568613</v>
      </c>
      <c r="C87" s="17">
        <v>0.15859004642712779</v>
      </c>
      <c r="D87" s="17">
        <v>0.22795265883126831</v>
      </c>
    </row>
    <row r="88" spans="1:4" x14ac:dyDescent="0.2">
      <c r="A88" s="29">
        <v>87</v>
      </c>
      <c r="B88" s="17">
        <v>0.18962826747037581</v>
      </c>
      <c r="C88" s="17">
        <v>0.16802733260799999</v>
      </c>
      <c r="D88" s="17">
        <v>0.23328470452863498</v>
      </c>
    </row>
    <row r="89" spans="1:4" x14ac:dyDescent="0.2">
      <c r="A89" s="29">
        <v>88</v>
      </c>
      <c r="B89" s="17">
        <v>0.19534754961960699</v>
      </c>
      <c r="C89" s="17">
        <v>0.17790863631381146</v>
      </c>
      <c r="D89" s="17">
        <v>0.23867839237282143</v>
      </c>
    </row>
    <row r="90" spans="1:4" x14ac:dyDescent="0.2">
      <c r="A90" s="29">
        <v>89</v>
      </c>
      <c r="B90" s="17">
        <v>0.20117177026413974</v>
      </c>
      <c r="C90" s="17">
        <v>0.18824944446999237</v>
      </c>
      <c r="D90" s="17">
        <v>0.24413372236375905</v>
      </c>
    </row>
    <row r="91" spans="1:4" x14ac:dyDescent="0.2">
      <c r="A91" s="29">
        <v>90</v>
      </c>
      <c r="B91" s="17">
        <v>0.20710164328226044</v>
      </c>
      <c r="C91" s="17">
        <v>0.19906560000000054</v>
      </c>
      <c r="D91" s="17">
        <v>0.24965069450153632</v>
      </c>
    </row>
    <row r="92" spans="1:4" x14ac:dyDescent="0.2">
      <c r="A92" s="29">
        <v>91</v>
      </c>
      <c r="B92" s="17">
        <v>0.21313787935085102</v>
      </c>
      <c r="C92" s="17">
        <v>0.21037330587074976</v>
      </c>
      <c r="D92" s="17">
        <v>0.25522930878604072</v>
      </c>
    </row>
    <row r="93" spans="1:4" x14ac:dyDescent="0.2">
      <c r="A93" s="29">
        <v>92</v>
      </c>
      <c r="B93" s="17">
        <v>0.21928118599505017</v>
      </c>
      <c r="C93" s="17">
        <v>0.22218912913804195</v>
      </c>
      <c r="D93" s="17">
        <v>0.26086956521738824</v>
      </c>
    </row>
    <row r="94" spans="1:4" x14ac:dyDescent="0.2">
      <c r="A94" s="29">
        <v>93</v>
      </c>
      <c r="B94" s="17">
        <v>0.22553226763667494</v>
      </c>
      <c r="C94" s="17">
        <v>0.23453000499200075</v>
      </c>
      <c r="D94" s="17">
        <v>0.26657146379556518</v>
      </c>
    </row>
    <row r="95" spans="1:4" x14ac:dyDescent="0.2">
      <c r="A95" s="29">
        <v>94</v>
      </c>
      <c r="B95" s="17">
        <v>0.23189182564132477</v>
      </c>
      <c r="C95" s="17">
        <v>0.2474132408025019</v>
      </c>
      <c r="D95" s="17">
        <v>0.27233500452047987</v>
      </c>
    </row>
    <row r="96" spans="1:4" x14ac:dyDescent="0.2">
      <c r="A96" s="29">
        <v>95</v>
      </c>
      <c r="B96" s="17">
        <v>0.23836055836430484</v>
      </c>
      <c r="C96" s="17">
        <v>0.26085652016460936</v>
      </c>
      <c r="D96" s="17">
        <v>0.27816018739212756</v>
      </c>
    </row>
    <row r="97" spans="1:4" x14ac:dyDescent="0.2">
      <c r="A97" s="29">
        <v>96</v>
      </c>
      <c r="B97" s="17">
        <v>0.24493916119535841</v>
      </c>
      <c r="C97" s="17">
        <v>0.27487790694399927</v>
      </c>
      <c r="D97" s="17">
        <v>0.28404701241063635</v>
      </c>
    </row>
    <row r="98" spans="1:4" x14ac:dyDescent="0.2">
      <c r="A98" s="29">
        <v>97</v>
      </c>
      <c r="B98" s="17">
        <v>0.2516283266022788</v>
      </c>
      <c r="C98" s="17">
        <v>0.28949584932240296</v>
      </c>
      <c r="D98" s="17">
        <v>0.28999547957587718</v>
      </c>
    </row>
    <row r="99" spans="1:4" x14ac:dyDescent="0.2">
      <c r="A99" s="29">
        <v>98</v>
      </c>
      <c r="B99" s="17">
        <v>0.25842874417348038</v>
      </c>
      <c r="C99" s="17">
        <v>0.30472918384302794</v>
      </c>
      <c r="D99" s="17">
        <v>0.296005588887857</v>
      </c>
    </row>
    <row r="100" spans="1:4" x14ac:dyDescent="0.2">
      <c r="A100" s="29">
        <v>99</v>
      </c>
      <c r="B100" s="17">
        <v>0.26534110065937805</v>
      </c>
      <c r="C100" s="17">
        <v>0.32059713945600155</v>
      </c>
      <c r="D100" s="17">
        <v>0.30207734034674827</v>
      </c>
    </row>
    <row r="101" spans="1:4" x14ac:dyDescent="0.2">
      <c r="A101" s="29">
        <v>100</v>
      </c>
      <c r="B101" s="17">
        <v>0.27236608001302703</v>
      </c>
      <c r="C101" s="17">
        <v>0.3371193415637867</v>
      </c>
      <c r="D101" s="17">
        <v>0.30821073395234866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Cover</vt:lpstr>
      <vt:lpstr>Risk Model</vt:lpstr>
      <vt:lpstr>ZSS Data</vt:lpstr>
      <vt:lpstr>Risk Data</vt:lpstr>
      <vt:lpstr>VCR</vt:lpstr>
      <vt:lpstr>LOAD</vt:lpstr>
      <vt:lpstr>Haz_Fn</vt:lpstr>
      <vt:lpstr>Asset_Life</vt:lpstr>
      <vt:lpstr>Bus_Trip_Duration</vt:lpstr>
      <vt:lpstr>Coc_Safety</vt:lpstr>
      <vt:lpstr>Existing_Unplnd_CAPEX_Unit_Cost</vt:lpstr>
      <vt:lpstr>Fdr_Trip_Duration</vt:lpstr>
      <vt:lpstr>HV_Bus_No.s</vt:lpstr>
      <vt:lpstr>New_Unplnd_CAPEX_Cost</vt:lpstr>
      <vt:lpstr>PoC_Reduction_Inc_Maint</vt:lpstr>
      <vt:lpstr>PoC_RELAY_ANA_BusTrip</vt:lpstr>
      <vt:lpstr>PoC_RELAY_ANA_FdrTrip</vt:lpstr>
      <vt:lpstr>PoC_RELAY_DIG_BusTrip</vt:lpstr>
      <vt:lpstr>PoC_RELAY_DIG_FdrTrip</vt:lpstr>
      <vt:lpstr>PoC_RELAY_ELE_BusTrip</vt:lpstr>
      <vt:lpstr>PoC_RELAY_ELE_FdrTrip</vt:lpstr>
      <vt:lpstr>PoC_Safety</vt:lpstr>
      <vt:lpstr>Proj_Prop_Yr</vt:lpstr>
      <vt:lpstr>RELAY_DIG_PoF_Yr1</vt:lpstr>
      <vt:lpstr>Safety_Disp_Factor</vt:lpstr>
      <vt:lpstr>sheets</vt:lpstr>
      <vt:lpstr>Total_Fdr_Relays</vt:lpstr>
      <vt:lpstr>Total_No._RELAY_DIG</vt:lpstr>
      <vt:lpstr>Total_Proj_Cost_k</vt:lpstr>
      <vt:lpstr>VCR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2025-01-25T10:53:54Z</dcterms:created>
  <dcterms:modified xsi:type="dcterms:W3CDTF">2025-01-27T22:36:43Z</dcterms:modified>
</cp:coreProperties>
</file>